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Mitchell Park\8.0  FINANCING\8.8  TAX CREDIT ALLOCATION COMMITTEE\8.8.2  Application\2023 App Rd 1 (9%)\Final\"/>
    </mc:Choice>
  </mc:AlternateContent>
  <xr:revisionPtr revIDLastSave="0" documentId="13_ncr:1_{C2E0CE9A-E9CC-4393-9AE7-B8C9AF83B5FE}" xr6:coauthVersionLast="47" xr6:coauthVersionMax="47" xr10:uidLastSave="{00000000-0000-0000-0000-000000000000}"/>
  <bookViews>
    <workbookView xWindow="-120" yWindow="-120" windowWidth="29040" windowHeight="15840" tabRatio="82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50"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9" i="3" l="1"/>
  <c r="S10" i="4"/>
  <c r="G40" i="25"/>
  <c r="C5" i="9"/>
  <c r="C9" i="9"/>
  <c r="E10" i="10"/>
  <c r="E8" i="10"/>
  <c r="E7" i="10"/>
  <c r="E5" i="10"/>
  <c r="E4" i="10"/>
  <c r="S89" i="4"/>
  <c r="D89" i="4"/>
  <c r="D87" i="4"/>
  <c r="J30" i="4"/>
  <c r="H30" i="4"/>
  <c r="G30" i="4"/>
  <c r="S90" i="4"/>
  <c r="S93" i="4"/>
  <c r="S94" i="4"/>
  <c r="S86" i="4"/>
  <c r="S65" i="4"/>
  <c r="S66" i="4"/>
  <c r="S67" i="4"/>
  <c r="S47" i="4"/>
  <c r="S48" i="4"/>
  <c r="S41" i="4"/>
  <c r="S34" i="4"/>
  <c r="S36" i="4"/>
  <c r="AO621" i="3"/>
  <c r="AO624" i="3"/>
  <c r="L84" i="4"/>
  <c r="C623" i="3"/>
  <c r="AM549" i="3"/>
  <c r="Q546" i="3"/>
  <c r="AM553" i="3"/>
  <c r="C89" i="4"/>
  <c r="C87" i="4"/>
  <c r="C60" i="4"/>
  <c r="C57" i="4"/>
  <c r="C88" i="4"/>
  <c r="S88" i="4"/>
  <c r="C51" i="4"/>
  <c r="S51" i="4"/>
  <c r="D88" i="4"/>
  <c r="C50" i="4"/>
  <c r="S50" i="4"/>
  <c r="D50" i="4"/>
  <c r="D85" i="4"/>
  <c r="C83" i="4"/>
  <c r="S83" i="4"/>
  <c r="C64" i="4"/>
  <c r="S64" i="4"/>
  <c r="D83" i="4"/>
  <c r="D64" i="4"/>
  <c r="C32" i="4"/>
  <c r="D43" i="4"/>
  <c r="D51" i="4"/>
  <c r="D32" i="4"/>
  <c r="D33" i="4"/>
  <c r="D29" i="4"/>
  <c r="D31" i="4"/>
  <c r="D92" i="4"/>
  <c r="C13" i="4"/>
  <c r="D13" i="4"/>
  <c r="C31" i="4"/>
  <c r="S31" i="4"/>
  <c r="C6" i="4"/>
  <c r="D6" i="4"/>
  <c r="C91" i="4"/>
  <c r="S91" i="4"/>
  <c r="D91" i="4"/>
  <c r="C37" i="4"/>
  <c r="S37" i="4"/>
  <c r="D37" i="4"/>
  <c r="C92" i="4"/>
  <c r="S92" i="4"/>
  <c r="C85" i="4"/>
  <c r="S85" i="4"/>
  <c r="C68" i="4"/>
  <c r="S68" i="4"/>
  <c r="C5" i="4"/>
  <c r="D5" i="4"/>
  <c r="C49" i="4"/>
  <c r="S49" i="4"/>
  <c r="D49" i="4"/>
  <c r="S32" i="4"/>
  <c r="C33" i="4"/>
  <c r="S33" i="4"/>
  <c r="D40" i="4"/>
  <c r="C43" i="4"/>
  <c r="S43" i="4"/>
  <c r="C35" i="4"/>
  <c r="S35" i="4"/>
  <c r="D35" i="4"/>
  <c r="C29" i="4"/>
  <c r="C10" i="4"/>
  <c r="AG441" i="3"/>
  <c r="C40" i="4"/>
  <c r="S40" i="4"/>
  <c r="D68" i="4"/>
  <c r="AM552" i="3"/>
  <c r="S29" i="4"/>
  <c r="AO623" i="3"/>
  <c r="K52" i="4"/>
  <c r="W818" i="3"/>
  <c r="D10" i="4"/>
  <c r="S84" i="4"/>
  <c r="AF970" i="3"/>
  <c r="D52" i="4"/>
  <c r="AO650" i="6"/>
  <c r="AO644" i="6"/>
  <c r="AO649" i="6"/>
  <c r="C52" i="4"/>
  <c r="S52" i="4"/>
  <c r="E589" i="6"/>
  <c r="AT618" i="3"/>
  <c r="AT619" i="3"/>
  <c r="AT620" i="3"/>
  <c r="AT621" i="3"/>
  <c r="AT622" i="3"/>
  <c r="AT623" i="3"/>
  <c r="AT625" i="3"/>
  <c r="AT626" i="3"/>
  <c r="AT627" i="3"/>
  <c r="AT628" i="3"/>
  <c r="AT629" i="3"/>
  <c r="AT624" i="3"/>
  <c r="AT552" i="3"/>
  <c r="AT553" i="3"/>
  <c r="AT554" i="3"/>
  <c r="AT555" i="3"/>
  <c r="AT556" i="3"/>
  <c r="AT557" i="3"/>
  <c r="AT547" i="3"/>
  <c r="AT548" i="3"/>
  <c r="AT549" i="3"/>
  <c r="AT550" i="3"/>
  <c r="AT551" i="3"/>
  <c r="AJ963" i="3"/>
  <c r="AG796" i="3"/>
  <c r="AF242" i="3"/>
  <c r="AF618" i="3"/>
  <c r="E40" i="9"/>
  <c r="AO618" i="3"/>
  <c r="F30" i="4"/>
  <c r="AJ968" i="3"/>
  <c r="AF969" i="3"/>
  <c r="AF964" i="3"/>
  <c r="AF215" i="3"/>
  <c r="H6" i="10"/>
  <c r="I6" i="10"/>
  <c r="H8" i="10"/>
  <c r="I8" i="10"/>
  <c r="H9" i="10"/>
  <c r="I9"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E16" i="9"/>
  <c r="E19" i="9"/>
  <c r="E26" i="9"/>
  <c r="E27" i="9"/>
  <c r="E28" i="9"/>
  <c r="E29" i="9"/>
  <c r="E30" i="9"/>
  <c r="E32" i="9"/>
  <c r="E33" i="9"/>
  <c r="AJ124" i="6"/>
  <c r="AD66" i="5"/>
  <c r="Y66" i="5"/>
  <c r="T25" i="5"/>
  <c r="AI7" i="5"/>
  <c r="AG434" i="3"/>
  <c r="A40" i="9"/>
  <c r="AJ47" i="6"/>
  <c r="T696" i="6"/>
  <c r="AJ31" i="6"/>
  <c r="BJ525" i="6"/>
  <c r="Q581" i="6"/>
  <c r="W581" i="6"/>
  <c r="E31" i="9"/>
  <c r="BO805" i="3"/>
  <c r="R933"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W811" i="3"/>
  <c r="W819" i="3"/>
  <c r="E17" i="9"/>
  <c r="G17" i="9"/>
  <c r="I17" i="9"/>
  <c r="K17" i="9"/>
  <c r="M17" i="9"/>
  <c r="O17" i="9"/>
  <c r="Q17" i="9"/>
  <c r="S17" i="9"/>
  <c r="U17" i="9"/>
  <c r="W17" i="9"/>
  <c r="Y17" i="9"/>
  <c r="AA17" i="9"/>
  <c r="AC17" i="9"/>
  <c r="AE17" i="9"/>
  <c r="AG17" i="9"/>
  <c r="W826" i="3"/>
  <c r="E18" i="9"/>
  <c r="G18" i="9"/>
  <c r="I18" i="9"/>
  <c r="K18" i="9"/>
  <c r="M18" i="9"/>
  <c r="O18" i="9"/>
  <c r="Q18" i="9"/>
  <c r="S18" i="9"/>
  <c r="U18" i="9"/>
  <c r="W18" i="9"/>
  <c r="Y18" i="9"/>
  <c r="AA18" i="9"/>
  <c r="AC18" i="9"/>
  <c r="AE18" i="9"/>
  <c r="AG18" i="9"/>
  <c r="W836" i="3"/>
  <c r="W843" i="3"/>
  <c r="E21" i="9"/>
  <c r="G21" i="9"/>
  <c r="I21" i="9"/>
  <c r="K21" i="9"/>
  <c r="M21" i="9"/>
  <c r="O21" i="9"/>
  <c r="Q21" i="9"/>
  <c r="S21" i="9"/>
  <c r="U21" i="9"/>
  <c r="W21" i="9"/>
  <c r="Y21" i="9"/>
  <c r="AA21" i="9"/>
  <c r="AC21" i="9"/>
  <c r="AE21" i="9"/>
  <c r="AG21" i="9"/>
  <c r="Z781" i="3"/>
  <c r="E8" i="9"/>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30" i="28"/>
  <c r="AC692" i="3"/>
  <c r="AC693" i="3"/>
  <c r="AC694" i="3"/>
  <c r="AC695" i="3"/>
  <c r="AC696" i="3"/>
  <c r="AC697" i="3"/>
  <c r="AC698" i="3"/>
  <c r="AC699" i="3"/>
  <c r="AC700" i="3"/>
  <c r="AC701" i="3"/>
  <c r="AC702" i="3"/>
  <c r="AC703" i="3"/>
  <c r="AC704" i="3"/>
  <c r="BA675" i="3"/>
  <c r="BG676"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c r="BI592" i="3"/>
  <c r="BK592" i="3"/>
  <c r="BI593" i="3"/>
  <c r="BK593" i="3"/>
  <c r="BI594" i="3"/>
  <c r="BK594" i="3"/>
  <c r="BI595" i="3"/>
  <c r="BI596" i="3"/>
  <c r="BI597" i="3"/>
  <c r="BK597" i="3"/>
  <c r="BI598" i="3"/>
  <c r="BK598" i="3"/>
  <c r="BI599" i="3"/>
  <c r="BK599" i="3"/>
  <c r="BI600" i="3"/>
  <c r="BI601" i="3"/>
  <c r="BK601" i="3"/>
  <c r="BI602" i="3"/>
  <c r="BK602" i="3"/>
  <c r="BI603" i="3"/>
  <c r="BI604" i="3"/>
  <c r="BI605" i="3"/>
  <c r="BI606" i="3"/>
  <c r="BI607" i="3"/>
  <c r="BK607" i="3"/>
  <c r="BI608" i="3"/>
  <c r="BI609" i="3"/>
  <c r="BK609" i="3"/>
  <c r="BI610" i="3"/>
  <c r="BK610" i="3"/>
  <c r="BI611" i="3"/>
  <c r="BK611" i="3"/>
  <c r="BI612" i="3"/>
  <c r="BI613" i="3"/>
  <c r="BI589" i="3"/>
  <c r="BK589" i="3"/>
  <c r="BE590" i="3"/>
  <c r="BE591" i="3"/>
  <c r="BE592" i="3"/>
  <c r="BG592" i="3"/>
  <c r="BE593" i="3"/>
  <c r="BG593" i="3"/>
  <c r="BE594" i="3"/>
  <c r="BG594" i="3"/>
  <c r="BE595" i="3"/>
  <c r="BE596" i="3"/>
  <c r="BE597" i="3"/>
  <c r="BG597" i="3"/>
  <c r="BE598" i="3"/>
  <c r="BG598" i="3"/>
  <c r="BE599" i="3"/>
  <c r="BE600" i="3"/>
  <c r="BE601" i="3"/>
  <c r="BG601" i="3"/>
  <c r="BE602" i="3"/>
  <c r="BE603" i="3"/>
  <c r="BG603" i="3"/>
  <c r="BE604" i="3"/>
  <c r="BG604" i="3"/>
  <c r="BE605" i="3"/>
  <c r="BE606" i="3"/>
  <c r="BG606" i="3"/>
  <c r="BE607" i="3"/>
  <c r="BE608" i="3"/>
  <c r="BG608" i="3"/>
  <c r="BE609" i="3"/>
  <c r="BG609" i="3"/>
  <c r="BE610" i="3"/>
  <c r="BG610" i="3"/>
  <c r="BE611" i="3"/>
  <c r="BE612" i="3"/>
  <c r="BE613" i="3"/>
  <c r="BG613" i="3"/>
  <c r="BE589" i="3"/>
  <c r="BG589" i="3"/>
  <c r="J107" i="4"/>
  <c r="K107" i="4"/>
  <c r="L107" i="4"/>
  <c r="M107" i="4"/>
  <c r="N107" i="4"/>
  <c r="O107" i="4"/>
  <c r="P107" i="4"/>
  <c r="Q107" i="4"/>
  <c r="I107" i="4"/>
  <c r="H107" i="4"/>
  <c r="G107" i="4"/>
  <c r="B100" i="15"/>
  <c r="C100" i="15"/>
  <c r="D100" i="15"/>
  <c r="B101" i="15"/>
  <c r="C101" i="15"/>
  <c r="E101" i="15"/>
  <c r="D101" i="15"/>
  <c r="B102" i="15"/>
  <c r="C102" i="15"/>
  <c r="E102" i="15"/>
  <c r="D102" i="15"/>
  <c r="B103" i="15"/>
  <c r="C103" i="15"/>
  <c r="E103" i="15"/>
  <c r="D103" i="15"/>
  <c r="E100" i="15"/>
  <c r="B84" i="15"/>
  <c r="C84" i="15"/>
  <c r="D84" i="15"/>
  <c r="B85" i="15"/>
  <c r="C85" i="15"/>
  <c r="E85" i="15"/>
  <c r="D85" i="15"/>
  <c r="B86" i="15"/>
  <c r="C86" i="15"/>
  <c r="E86" i="15"/>
  <c r="D86" i="15"/>
  <c r="B87" i="15"/>
  <c r="E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B73" i="15"/>
  <c r="C73" i="15"/>
  <c r="E73" i="15"/>
  <c r="D73" i="15"/>
  <c r="B74" i="15"/>
  <c r="E74" i="15"/>
  <c r="C74" i="15"/>
  <c r="D74" i="15"/>
  <c r="B76" i="15"/>
  <c r="C76" i="15"/>
  <c r="E76" i="15"/>
  <c r="D76" i="15"/>
  <c r="D72" i="15"/>
  <c r="C72" i="15"/>
  <c r="E72" i="15"/>
  <c r="B72" i="15"/>
  <c r="B66" i="15"/>
  <c r="C66" i="15"/>
  <c r="E66" i="15"/>
  <c r="D66" i="15"/>
  <c r="B67" i="15"/>
  <c r="C67" i="15"/>
  <c r="D67" i="15"/>
  <c r="B68" i="15"/>
  <c r="C68" i="15"/>
  <c r="E68" i="15"/>
  <c r="D68" i="15"/>
  <c r="B69" i="15"/>
  <c r="C69" i="15"/>
  <c r="E69" i="15"/>
  <c r="D69" i="15"/>
  <c r="D65" i="15"/>
  <c r="C65" i="15"/>
  <c r="B65" i="15"/>
  <c r="E65" i="15"/>
  <c r="B57" i="15"/>
  <c r="C57" i="15"/>
  <c r="E57" i="15"/>
  <c r="D57" i="15"/>
  <c r="B58" i="15"/>
  <c r="C58" i="15"/>
  <c r="D58" i="15"/>
  <c r="B59" i="15"/>
  <c r="C59" i="15"/>
  <c r="E59" i="15"/>
  <c r="D59" i="15"/>
  <c r="B60" i="15"/>
  <c r="C60" i="15"/>
  <c r="E60" i="15"/>
  <c r="D60" i="15"/>
  <c r="B61" i="15"/>
  <c r="C61" i="15"/>
  <c r="E61" i="15"/>
  <c r="D61" i="15"/>
  <c r="B48" i="15"/>
  <c r="C48" i="15"/>
  <c r="D48" i="15"/>
  <c r="B49" i="15"/>
  <c r="C49" i="15"/>
  <c r="E49" i="15"/>
  <c r="D49" i="15"/>
  <c r="B50" i="15"/>
  <c r="C50" i="15"/>
  <c r="E50" i="15"/>
  <c r="D50" i="15"/>
  <c r="B51" i="15"/>
  <c r="C51" i="15"/>
  <c r="D51" i="15"/>
  <c r="B52" i="15"/>
  <c r="C52" i="15"/>
  <c r="E52" i="15"/>
  <c r="D52" i="15"/>
  <c r="B53" i="15"/>
  <c r="C53" i="15"/>
  <c r="E53" i="15"/>
  <c r="D53" i="15"/>
  <c r="B44" i="15"/>
  <c r="C44" i="15"/>
  <c r="D44" i="15"/>
  <c r="B42" i="15"/>
  <c r="C42" i="15"/>
  <c r="D42" i="15"/>
  <c r="D41" i="15"/>
  <c r="C41" i="15"/>
  <c r="B41" i="15"/>
  <c r="B38" i="15"/>
  <c r="C38" i="15"/>
  <c r="D38" i="15"/>
  <c r="B32" i="15"/>
  <c r="C32" i="15"/>
  <c r="E32" i="15"/>
  <c r="D32" i="15"/>
  <c r="B33" i="15"/>
  <c r="C33" i="15"/>
  <c r="D33" i="15"/>
  <c r="B34" i="15"/>
  <c r="C34" i="15"/>
  <c r="D34" i="15"/>
  <c r="B35" i="15"/>
  <c r="C35" i="15"/>
  <c r="E35" i="15"/>
  <c r="D35" i="15"/>
  <c r="B36" i="15"/>
  <c r="C36" i="15"/>
  <c r="D36" i="15"/>
  <c r="B37" i="15"/>
  <c r="C37" i="15"/>
  <c r="D37" i="15"/>
  <c r="D30" i="15"/>
  <c r="C30" i="15"/>
  <c r="B30" i="15"/>
  <c r="B19" i="15"/>
  <c r="E19" i="15"/>
  <c r="C19" i="15"/>
  <c r="D19" i="15"/>
  <c r="B20" i="15"/>
  <c r="C20" i="15"/>
  <c r="D20" i="15"/>
  <c r="B21" i="15"/>
  <c r="C21" i="15"/>
  <c r="E21" i="15"/>
  <c r="D21" i="15"/>
  <c r="B22" i="15"/>
  <c r="C22" i="15"/>
  <c r="E22" i="15"/>
  <c r="D22" i="15"/>
  <c r="B23" i="15"/>
  <c r="C23" i="15"/>
  <c r="E23" i="15"/>
  <c r="D23" i="15"/>
  <c r="B24" i="15"/>
  <c r="C24" i="15"/>
  <c r="D24" i="15"/>
  <c r="B25" i="15"/>
  <c r="C25" i="15"/>
  <c r="D25" i="15"/>
  <c r="B26" i="15"/>
  <c r="C26" i="15"/>
  <c r="E26" i="15"/>
  <c r="D26" i="15"/>
  <c r="B28" i="15"/>
  <c r="E28" i="15"/>
  <c r="C28" i="15"/>
  <c r="D28" i="15"/>
  <c r="B5" i="15"/>
  <c r="C5" i="15"/>
  <c r="E5" i="15"/>
  <c r="B6" i="15"/>
  <c r="C6" i="15"/>
  <c r="B7" i="15"/>
  <c r="C7" i="15"/>
  <c r="B8" i="15"/>
  <c r="C8" i="15"/>
  <c r="B10" i="15"/>
  <c r="C10" i="15"/>
  <c r="B11" i="15"/>
  <c r="C11" i="15"/>
  <c r="C12" i="15"/>
  <c r="B14" i="15"/>
  <c r="C14" i="15"/>
  <c r="B15" i="15"/>
  <c r="C15" i="15"/>
  <c r="B16" i="15"/>
  <c r="C16" i="15"/>
  <c r="B18" i="15"/>
  <c r="C18" i="15"/>
  <c r="E18" i="15"/>
  <c r="C28" i="10"/>
  <c r="C5" i="10"/>
  <c r="H5" i="10"/>
  <c r="C6" i="10"/>
  <c r="C7" i="10"/>
  <c r="H7" i="10"/>
  <c r="C8" i="10"/>
  <c r="C9" i="10"/>
  <c r="C10" i="10"/>
  <c r="H10" i="10"/>
  <c r="I10" i="10"/>
  <c r="C11" i="10"/>
  <c r="C12" i="10"/>
  <c r="C13" i="10"/>
  <c r="C14" i="10"/>
  <c r="C15" i="10"/>
  <c r="C16" i="10"/>
  <c r="C17" i="10"/>
  <c r="C18" i="10"/>
  <c r="C19" i="10"/>
  <c r="C20" i="10"/>
  <c r="C21" i="10"/>
  <c r="C22" i="10"/>
  <c r="C23" i="10"/>
  <c r="C24" i="10"/>
  <c r="C25" i="10"/>
  <c r="C26" i="10"/>
  <c r="C27" i="10"/>
  <c r="C4" i="10"/>
  <c r="H4" i="10"/>
  <c r="I4" i="10"/>
  <c r="E25" i="15"/>
  <c r="E91" i="15"/>
  <c r="E67" i="15"/>
  <c r="E16" i="15"/>
  <c r="E8" i="15"/>
  <c r="E48" i="15"/>
  <c r="E42"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5" i="4"/>
  <c r="B67" i="4"/>
  <c r="E67" i="4"/>
  <c r="R67" i="4"/>
  <c r="B66" i="4"/>
  <c r="E66" i="4"/>
  <c r="R66" i="4"/>
  <c r="B65" i="4"/>
  <c r="E65" i="4"/>
  <c r="B36" i="4"/>
  <c r="E36" i="4"/>
  <c r="R36" i="4"/>
  <c r="R24" i="4"/>
  <c r="B24" i="4"/>
  <c r="G53" i="9"/>
  <c r="I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c r="BA931" i="3"/>
  <c r="BA932" i="3"/>
  <c r="BA933" i="3"/>
  <c r="BA934" i="3"/>
  <c r="BA935" i="3"/>
  <c r="BA936" i="3"/>
  <c r="BA937" i="3"/>
  <c r="BA938" i="3"/>
  <c r="BA939" i="3"/>
  <c r="G90" i="25"/>
  <c r="G91" i="25"/>
  <c r="G92" i="25"/>
  <c r="G93" i="25"/>
  <c r="G94" i="25"/>
  <c r="G95" i="25"/>
  <c r="G96" i="25"/>
  <c r="G97" i="25"/>
  <c r="Q91" i="25"/>
  <c r="Q93" i="25"/>
  <c r="B15" i="4"/>
  <c r="Q48" i="25"/>
  <c r="D8" i="4"/>
  <c r="D11" i="4"/>
  <c r="D12" i="4"/>
  <c r="D26" i="4"/>
  <c r="D42" i="4"/>
  <c r="D61" i="4"/>
  <c r="D69" i="4"/>
  <c r="D76" i="4"/>
  <c r="D95" i="4"/>
  <c r="C8" i="4"/>
  <c r="C11" i="4"/>
  <c r="C12" i="4"/>
  <c r="B12" i="18"/>
  <c r="C26" i="4"/>
  <c r="B27" i="15"/>
  <c r="C42" i="4"/>
  <c r="B41" i="18"/>
  <c r="C69" i="4"/>
  <c r="C65" i="25"/>
  <c r="C66" i="25"/>
  <c r="Y20" i="5"/>
  <c r="Y22" i="5"/>
  <c r="AI20" i="5"/>
  <c r="AI22" i="5"/>
  <c r="S26" i="4"/>
  <c r="S42" i="4"/>
  <c r="E41" i="18"/>
  <c r="S69" i="4"/>
  <c r="E68" i="18"/>
  <c r="S95" i="4"/>
  <c r="E94" i="18"/>
  <c r="F25" i="18"/>
  <c r="F37" i="18"/>
  <c r="F41" i="18"/>
  <c r="F52" i="18"/>
  <c r="F68" i="18"/>
  <c r="F79" i="18"/>
  <c r="F94" i="18"/>
  <c r="F102" i="18"/>
  <c r="T20" i="5"/>
  <c r="T22" i="5"/>
  <c r="T26" i="4"/>
  <c r="T38" i="4"/>
  <c r="T42" i="4"/>
  <c r="T53" i="4"/>
  <c r="T11" i="4"/>
  <c r="H11" i="18"/>
  <c r="T69" i="4"/>
  <c r="H68" i="18"/>
  <c r="T80" i="4"/>
  <c r="H79" i="18"/>
  <c r="T95" i="4"/>
  <c r="T103" i="4"/>
  <c r="I11" i="18"/>
  <c r="I25" i="18"/>
  <c r="I37" i="18"/>
  <c r="I61" i="18"/>
  <c r="I95" i="18"/>
  <c r="I103" i="18"/>
  <c r="I105" i="18"/>
  <c r="I41" i="18"/>
  <c r="I52" i="18"/>
  <c r="I68" i="18"/>
  <c r="I79" i="18"/>
  <c r="I94" i="18"/>
  <c r="I102" i="18"/>
  <c r="U61" i="25"/>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37" i="18"/>
  <c r="J61" i="18"/>
  <c r="J95" i="18"/>
  <c r="J103" i="18"/>
  <c r="J105"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62" i="4"/>
  <c r="I96" i="4"/>
  <c r="I104" i="4"/>
  <c r="I80" i="4"/>
  <c r="I69" i="4"/>
  <c r="I76" i="4"/>
  <c r="I95" i="4"/>
  <c r="J80" i="4"/>
  <c r="J8" i="4"/>
  <c r="J11" i="4"/>
  <c r="J12" i="4"/>
  <c r="J26" i="4"/>
  <c r="J38" i="4"/>
  <c r="J42" i="4"/>
  <c r="J53" i="4"/>
  <c r="J61" i="4"/>
  <c r="J69" i="4"/>
  <c r="J76" i="4"/>
  <c r="J95" i="4"/>
  <c r="K8" i="4"/>
  <c r="K12" i="4"/>
  <c r="K11" i="4"/>
  <c r="K26" i="4"/>
  <c r="K38" i="4"/>
  <c r="K42" i="4"/>
  <c r="K53" i="4"/>
  <c r="K61" i="4"/>
  <c r="K69" i="4"/>
  <c r="K76" i="4"/>
  <c r="K80" i="4"/>
  <c r="K95" i="4"/>
  <c r="L8" i="4"/>
  <c r="L11" i="4"/>
  <c r="L26" i="4"/>
  <c r="L38" i="4"/>
  <c r="L42" i="4"/>
  <c r="L62" i="4"/>
  <c r="L53" i="4"/>
  <c r="L61" i="4"/>
  <c r="L69" i="4"/>
  <c r="L76" i="4"/>
  <c r="L80" i="4"/>
  <c r="L95" i="4"/>
  <c r="M8" i="4"/>
  <c r="M11" i="4"/>
  <c r="M62" i="4"/>
  <c r="M96" i="4"/>
  <c r="M104" i="4"/>
  <c r="M26" i="4"/>
  <c r="M38" i="4"/>
  <c r="M42" i="4"/>
  <c r="M53" i="4"/>
  <c r="M61" i="4"/>
  <c r="M69" i="4"/>
  <c r="M76" i="4"/>
  <c r="M80" i="4"/>
  <c r="M95" i="4"/>
  <c r="N8" i="4"/>
  <c r="N11" i="4"/>
  <c r="N26" i="4"/>
  <c r="N38" i="4"/>
  <c r="N42" i="4"/>
  <c r="N53" i="4"/>
  <c r="N61" i="4"/>
  <c r="N62" i="4"/>
  <c r="N96" i="4"/>
  <c r="N104" i="4"/>
  <c r="N69" i="4"/>
  <c r="N76" i="4"/>
  <c r="N80" i="4"/>
  <c r="N95" i="4"/>
  <c r="O8" i="4"/>
  <c r="O11" i="4"/>
  <c r="O26" i="4"/>
  <c r="O38" i="4"/>
  <c r="O62" i="4"/>
  <c r="O96" i="4"/>
  <c r="O104" i="4"/>
  <c r="O42" i="4"/>
  <c r="O53" i="4"/>
  <c r="O61" i="4"/>
  <c r="O69" i="4"/>
  <c r="O76" i="4"/>
  <c r="O80" i="4"/>
  <c r="O95" i="4"/>
  <c r="P8" i="4"/>
  <c r="P12" i="4"/>
  <c r="P11" i="4"/>
  <c r="P26" i="4"/>
  <c r="P38" i="4"/>
  <c r="P42" i="4"/>
  <c r="P53" i="4"/>
  <c r="P61" i="4"/>
  <c r="P69" i="4"/>
  <c r="P76" i="4"/>
  <c r="P80" i="4"/>
  <c r="P95" i="4"/>
  <c r="Q8" i="4"/>
  <c r="Q11" i="4"/>
  <c r="Q26" i="4"/>
  <c r="Q38" i="4"/>
  <c r="Q42" i="4"/>
  <c r="Q62" i="4"/>
  <c r="Q96" i="4"/>
  <c r="Q104" i="4"/>
  <c r="Q53" i="4"/>
  <c r="Q61" i="4"/>
  <c r="Q69" i="4"/>
  <c r="Q76" i="4"/>
  <c r="Q80" i="4"/>
  <c r="Q95" i="4"/>
  <c r="G79" i="18"/>
  <c r="D79" i="18"/>
  <c r="C79" i="18"/>
  <c r="F80" i="4"/>
  <c r="G80" i="4"/>
  <c r="H80" i="4"/>
  <c r="G76" i="4"/>
  <c r="F76" i="4"/>
  <c r="H78" i="18"/>
  <c r="B102" i="4"/>
  <c r="G25" i="18"/>
  <c r="G37" i="18"/>
  <c r="G41" i="18"/>
  <c r="G61" i="18"/>
  <c r="G95" i="18"/>
  <c r="G103" i="18"/>
  <c r="G105"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9" i="18"/>
  <c r="E48" i="18"/>
  <c r="E47" i="18"/>
  <c r="E46"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c r="C95" i="18"/>
  <c r="C103" i="18"/>
  <c r="D8" i="18"/>
  <c r="D12" i="18"/>
  <c r="C8" i="18"/>
  <c r="AG514" i="6"/>
  <c r="AO648" i="6"/>
  <c r="AO647" i="6"/>
  <c r="AO646" i="6"/>
  <c r="AO645" i="6"/>
  <c r="AJ268" i="6"/>
  <c r="AJ253" i="6"/>
  <c r="AJ241" i="6"/>
  <c r="AJ227" i="6"/>
  <c r="AJ215" i="6"/>
  <c r="AJ203" i="6"/>
  <c r="AJ184" i="6"/>
  <c r="AJ139" i="6"/>
  <c r="AK68" i="6"/>
  <c r="T697" i="6"/>
  <c r="AF697" i="6"/>
  <c r="AG521" i="6"/>
  <c r="AG517" i="6"/>
  <c r="AG510" i="6"/>
  <c r="AG505" i="6"/>
  <c r="AG482" i="6"/>
  <c r="R59" i="4"/>
  <c r="R27" i="4"/>
  <c r="R25" i="4"/>
  <c r="R23" i="4"/>
  <c r="R22" i="4"/>
  <c r="R21" i="4"/>
  <c r="R20" i="4"/>
  <c r="R19" i="4"/>
  <c r="R18" i="4"/>
  <c r="R17" i="4"/>
  <c r="D5" i="15"/>
  <c r="D6" i="15"/>
  <c r="D7" i="15"/>
  <c r="D8" i="15"/>
  <c r="D10" i="15"/>
  <c r="D11" i="15"/>
  <c r="D12" i="15"/>
  <c r="D14" i="15"/>
  <c r="D15" i="15"/>
  <c r="D16" i="15"/>
  <c r="D18" i="15"/>
  <c r="H25" i="18"/>
  <c r="H37" i="18"/>
  <c r="H52" i="18"/>
  <c r="H94" i="18"/>
  <c r="H102" i="18"/>
  <c r="G16" i="9"/>
  <c r="A32" i="9"/>
  <c r="A33" i="9"/>
  <c r="G33" i="9"/>
  <c r="I33" i="9"/>
  <c r="K33" i="9"/>
  <c r="M33" i="9"/>
  <c r="O33" i="9"/>
  <c r="Q33" i="9"/>
  <c r="S33" i="9"/>
  <c r="U33" i="9"/>
  <c r="W33" i="9"/>
  <c r="Y33" i="9"/>
  <c r="AA33" i="9"/>
  <c r="AC33" i="9"/>
  <c r="AE33" i="9"/>
  <c r="AG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E4" i="4"/>
  <c r="B5" i="4"/>
  <c r="E5" i="4"/>
  <c r="R5" i="4"/>
  <c r="B6" i="4"/>
  <c r="E6" i="4"/>
  <c r="R6" i="4"/>
  <c r="B7" i="4"/>
  <c r="E7" i="4"/>
  <c r="R7" i="4"/>
  <c r="E11" i="4"/>
  <c r="F8" i="4"/>
  <c r="G8" i="4"/>
  <c r="H8" i="4"/>
  <c r="H11" i="4"/>
  <c r="H12" i="4"/>
  <c r="L12" i="4"/>
  <c r="B9" i="4"/>
  <c r="E9" i="4"/>
  <c r="B10" i="4"/>
  <c r="E10" i="4"/>
  <c r="R10" i="4"/>
  <c r="F11" i="4"/>
  <c r="G11" i="4"/>
  <c r="I12" i="4"/>
  <c r="O12" i="4"/>
  <c r="B13" i="4"/>
  <c r="E13" i="4"/>
  <c r="R13" i="4"/>
  <c r="B14" i="4"/>
  <c r="E14" i="4"/>
  <c r="R14" i="4"/>
  <c r="B17" i="4"/>
  <c r="B18" i="4"/>
  <c r="B19" i="4"/>
  <c r="B20" i="4"/>
  <c r="B21" i="4"/>
  <c r="B22" i="4"/>
  <c r="B23" i="4"/>
  <c r="B25" i="4"/>
  <c r="E26" i="4"/>
  <c r="F26" i="4"/>
  <c r="G26" i="4"/>
  <c r="H26" i="4"/>
  <c r="M103" i="4"/>
  <c r="Q103" i="4"/>
  <c r="B27" i="4"/>
  <c r="B29" i="4"/>
  <c r="E29" i="4"/>
  <c r="R29" i="4"/>
  <c r="B31" i="4"/>
  <c r="E31" i="4"/>
  <c r="R31" i="4"/>
  <c r="B32" i="4"/>
  <c r="E32" i="4"/>
  <c r="R32" i="4"/>
  <c r="B33" i="4"/>
  <c r="E33" i="4"/>
  <c r="R33" i="4"/>
  <c r="B34" i="4"/>
  <c r="E34" i="4"/>
  <c r="R34" i="4"/>
  <c r="B35" i="4"/>
  <c r="E35" i="4"/>
  <c r="R35" i="4"/>
  <c r="B37" i="4"/>
  <c r="E37" i="4"/>
  <c r="R37" i="4"/>
  <c r="F38" i="4"/>
  <c r="F62" i="4"/>
  <c r="F96" i="4"/>
  <c r="F104" i="4"/>
  <c r="G38" i="4"/>
  <c r="G62" i="4"/>
  <c r="G96" i="4"/>
  <c r="G104" i="4"/>
  <c r="H38" i="4"/>
  <c r="O103" i="4"/>
  <c r="B40" i="4"/>
  <c r="E40" i="4"/>
  <c r="B41" i="4"/>
  <c r="E41" i="4"/>
  <c r="R41" i="4"/>
  <c r="F42" i="4"/>
  <c r="G42" i="4"/>
  <c r="H42" i="4"/>
  <c r="B43" i="4"/>
  <c r="E43" i="4"/>
  <c r="R43" i="4"/>
  <c r="B47" i="4"/>
  <c r="E47" i="4"/>
  <c r="R47" i="4"/>
  <c r="B48" i="4"/>
  <c r="E48" i="4"/>
  <c r="R48" i="4"/>
  <c r="B49" i="4"/>
  <c r="E49" i="4"/>
  <c r="R49" i="4"/>
  <c r="B50" i="4"/>
  <c r="E50" i="4"/>
  <c r="R50" i="4"/>
  <c r="B51" i="4"/>
  <c r="E51" i="4"/>
  <c r="R51" i="4"/>
  <c r="B52" i="4"/>
  <c r="E52" i="4"/>
  <c r="R52" i="4"/>
  <c r="F53" i="4"/>
  <c r="F61" i="4"/>
  <c r="F95" i="4"/>
  <c r="F69" i="4"/>
  <c r="F103" i="4"/>
  <c r="G53" i="4"/>
  <c r="H53" i="4"/>
  <c r="B56" i="4"/>
  <c r="E56" i="4"/>
  <c r="R56" i="4"/>
  <c r="B57" i="4"/>
  <c r="E57" i="4"/>
  <c r="R57" i="4"/>
  <c r="B58" i="4"/>
  <c r="E58" i="4"/>
  <c r="R58" i="4"/>
  <c r="B59" i="4"/>
  <c r="E59" i="4"/>
  <c r="B60" i="4"/>
  <c r="E60" i="4"/>
  <c r="R60" i="4"/>
  <c r="G61" i="4"/>
  <c r="H61" i="4"/>
  <c r="B64" i="4"/>
  <c r="E64" i="4"/>
  <c r="R64" i="4"/>
  <c r="B68" i="4"/>
  <c r="E68" i="4"/>
  <c r="R68" i="4"/>
  <c r="G69" i="4"/>
  <c r="H69" i="4"/>
  <c r="B71" i="4"/>
  <c r="E71" i="4"/>
  <c r="R71" i="4"/>
  <c r="B72" i="4"/>
  <c r="E72" i="4"/>
  <c r="R72" i="4"/>
  <c r="B73" i="4"/>
  <c r="E73" i="4"/>
  <c r="R73" i="4"/>
  <c r="B75" i="4"/>
  <c r="E75" i="4"/>
  <c r="R75" i="4"/>
  <c r="H76" i="4"/>
  <c r="B83" i="4"/>
  <c r="E83" i="4"/>
  <c r="R83" i="4"/>
  <c r="B84" i="4"/>
  <c r="E84" i="4"/>
  <c r="R84" i="4"/>
  <c r="B85" i="4"/>
  <c r="E85" i="4"/>
  <c r="R85" i="4"/>
  <c r="B86" i="4"/>
  <c r="E86" i="4"/>
  <c r="R86" i="4"/>
  <c r="B87" i="4"/>
  <c r="E87" i="4"/>
  <c r="R87" i="4"/>
  <c r="B88" i="4"/>
  <c r="E88" i="4"/>
  <c r="R88" i="4"/>
  <c r="B89" i="4"/>
  <c r="E89" i="4"/>
  <c r="R89" i="4"/>
  <c r="B90" i="4"/>
  <c r="E90" i="4"/>
  <c r="R90" i="4"/>
  <c r="B91" i="4"/>
  <c r="E91" i="4"/>
  <c r="R91" i="4"/>
  <c r="B92" i="4"/>
  <c r="E92" i="4"/>
  <c r="R92" i="4"/>
  <c r="B93" i="4"/>
  <c r="E93" i="4"/>
  <c r="R93" i="4"/>
  <c r="B94" i="4"/>
  <c r="E94" i="4"/>
  <c r="R94" i="4"/>
  <c r="G95" i="4"/>
  <c r="H95" i="4"/>
  <c r="B99" i="4"/>
  <c r="R99" i="4"/>
  <c r="B100" i="4"/>
  <c r="R100" i="4"/>
  <c r="R102" i="4"/>
  <c r="G103" i="4"/>
  <c r="H103" i="4"/>
  <c r="I103" i="4"/>
  <c r="J103" i="4"/>
  <c r="K103" i="4"/>
  <c r="L103" i="4"/>
  <c r="N103" i="4"/>
  <c r="P103" i="4"/>
  <c r="B131" i="4"/>
  <c r="I184" i="3"/>
  <c r="W411" i="3"/>
  <c r="AF411" i="3"/>
  <c r="G560" i="3"/>
  <c r="Z560" i="3"/>
  <c r="G568" i="3"/>
  <c r="Z568" i="3"/>
  <c r="G576" i="3"/>
  <c r="Z576" i="3"/>
  <c r="G584" i="3"/>
  <c r="Z584" i="3"/>
  <c r="BG590" i="3"/>
  <c r="BK590" i="3"/>
  <c r="BG591" i="3"/>
  <c r="G592" i="3"/>
  <c r="Z592" i="3"/>
  <c r="BG595" i="3"/>
  <c r="BK595" i="3"/>
  <c r="BG596" i="3"/>
  <c r="BK596" i="3"/>
  <c r="BG599" i="3"/>
  <c r="BG600" i="3"/>
  <c r="BK600" i="3"/>
  <c r="G600" i="3"/>
  <c r="Z600"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AM695" i="3"/>
  <c r="BA679" i="3"/>
  <c r="BA680" i="3"/>
  <c r="BA681" i="3"/>
  <c r="BA682" i="3"/>
  <c r="AM699" i="3"/>
  <c r="BA683" i="3"/>
  <c r="AM700"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G12" i="4"/>
  <c r="F12" i="4"/>
  <c r="B11" i="4"/>
  <c r="B8" i="4"/>
  <c r="T62" i="4"/>
  <c r="T96" i="4"/>
  <c r="B68" i="18"/>
  <c r="B70" i="15"/>
  <c r="C70" i="15"/>
  <c r="D70" i="15"/>
  <c r="AM704" i="3"/>
  <c r="AM703" i="3"/>
  <c r="AM702" i="3"/>
  <c r="AM701" i="3"/>
  <c r="AM696" i="3"/>
  <c r="AM697" i="3"/>
  <c r="AB47" i="26"/>
  <c r="D9" i="15"/>
  <c r="J62" i="4"/>
  <c r="J96" i="4"/>
  <c r="J104" i="4"/>
  <c r="B8" i="18"/>
  <c r="M12" i="4"/>
  <c r="F61" i="18"/>
  <c r="F95" i="18"/>
  <c r="F103" i="18"/>
  <c r="F105" i="18"/>
  <c r="S28" i="9"/>
  <c r="AC28" i="9"/>
  <c r="G19" i="9"/>
  <c r="I19" i="9"/>
  <c r="K19" i="9"/>
  <c r="M19" i="9"/>
  <c r="O19" i="9"/>
  <c r="Q19" i="9"/>
  <c r="S19" i="9"/>
  <c r="U19" i="9"/>
  <c r="W19" i="9"/>
  <c r="Y19" i="9"/>
  <c r="AA19" i="9"/>
  <c r="AC19" i="9"/>
  <c r="AE19" i="9"/>
  <c r="AG19" i="9"/>
  <c r="AD67" i="5"/>
  <c r="T7" i="5"/>
  <c r="T24" i="27"/>
  <c r="T24" i="26"/>
  <c r="O29" i="9"/>
  <c r="Q580" i="6"/>
  <c r="W580" i="6"/>
  <c r="E84" i="15"/>
  <c r="R8" i="4"/>
  <c r="E24" i="15"/>
  <c r="R26" i="4"/>
  <c r="U69" i="25"/>
  <c r="C9" i="15"/>
  <c r="E51" i="15"/>
  <c r="E58" i="15"/>
  <c r="B12" i="4"/>
  <c r="D61" i="18"/>
  <c r="D95" i="18"/>
  <c r="D103" i="18"/>
  <c r="C27" i="15"/>
  <c r="L96" i="4"/>
  <c r="L104" i="4"/>
  <c r="K62" i="4"/>
  <c r="K96" i="4"/>
  <c r="K104" i="4"/>
  <c r="G58" i="9"/>
  <c r="B25" i="18"/>
  <c r="E42" i="4"/>
  <c r="E15" i="4"/>
  <c r="R15" i="4"/>
  <c r="E50" i="25"/>
  <c r="G52" i="25"/>
  <c r="I7" i="10"/>
  <c r="E20" i="15"/>
  <c r="D27" i="15"/>
  <c r="P62" i="4"/>
  <c r="P96" i="4"/>
  <c r="P104" i="4"/>
  <c r="R11" i="4"/>
  <c r="AM692" i="3"/>
  <c r="BN620" i="3"/>
  <c r="C12" i="18"/>
  <c r="H62" i="4"/>
  <c r="H96" i="4"/>
  <c r="H104" i="4"/>
  <c r="AI20" i="26"/>
  <c r="I5" i="10"/>
  <c r="I30" i="10"/>
  <c r="Z773" i="3"/>
  <c r="B42" i="4"/>
  <c r="E88" i="15"/>
  <c r="E69" i="4"/>
  <c r="AO630" i="3"/>
  <c r="AB47" i="5"/>
  <c r="B11" i="18"/>
  <c r="E38" i="15"/>
  <c r="E90" i="15"/>
  <c r="E70" i="15"/>
  <c r="E14" i="15"/>
  <c r="B9" i="15"/>
  <c r="E30" i="15"/>
  <c r="E36" i="15"/>
  <c r="E33" i="15"/>
  <c r="E44" i="15"/>
  <c r="F107" i="4"/>
  <c r="E11" i="15"/>
  <c r="E6" i="15"/>
  <c r="E89" i="15"/>
  <c r="K53" i="9"/>
  <c r="I58" i="9"/>
  <c r="C55" i="4"/>
  <c r="E9" i="15"/>
  <c r="E8" i="4"/>
  <c r="E12" i="4"/>
  <c r="R40" i="4"/>
  <c r="R42" i="4"/>
  <c r="E7" i="15"/>
  <c r="E41" i="15"/>
  <c r="R69" i="4"/>
  <c r="E93" i="15"/>
  <c r="AC850" i="3"/>
  <c r="B69" i="4"/>
  <c r="AI22" i="26"/>
  <c r="D43" i="15"/>
  <c r="C43" i="15"/>
  <c r="B43" i="15"/>
  <c r="E34" i="15"/>
  <c r="H95" i="18"/>
  <c r="T104" i="4"/>
  <c r="H61" i="18"/>
  <c r="R12" i="4"/>
  <c r="D13" i="15"/>
  <c r="B12" i="15"/>
  <c r="E12" i="15"/>
  <c r="C13" i="15"/>
  <c r="AM694" i="3"/>
  <c r="AM698" i="3"/>
  <c r="AO651" i="6"/>
  <c r="G98" i="25"/>
  <c r="D100" i="25"/>
  <c r="D102" i="25"/>
  <c r="D104" i="25"/>
  <c r="D110" i="25"/>
  <c r="G38" i="25"/>
  <c r="AP378" i="6"/>
  <c r="AQ378" i="6"/>
  <c r="CM620" i="3"/>
  <c r="AC847" i="3"/>
  <c r="AC742" i="3"/>
  <c r="CH620" i="3"/>
  <c r="G67" i="25"/>
  <c r="E20" i="9"/>
  <c r="G20" i="9"/>
  <c r="I20" i="9"/>
  <c r="K20" i="9"/>
  <c r="M20" i="9"/>
  <c r="O20" i="9"/>
  <c r="Q20" i="9"/>
  <c r="S20" i="9"/>
  <c r="U20" i="9"/>
  <c r="W20" i="9"/>
  <c r="Y20" i="9"/>
  <c r="AA20" i="9"/>
  <c r="AC20" i="9"/>
  <c r="AE20" i="9"/>
  <c r="AG20" i="9"/>
  <c r="BX620" i="3"/>
  <c r="AF705" i="6"/>
  <c r="Q578" i="6"/>
  <c r="W578" i="6"/>
  <c r="U40" i="9"/>
  <c r="U43" i="9"/>
  <c r="G31" i="9"/>
  <c r="I31" i="9"/>
  <c r="K31" i="9"/>
  <c r="M31" i="9"/>
  <c r="O31" i="9"/>
  <c r="Q31" i="9"/>
  <c r="S31" i="9"/>
  <c r="U31" i="9"/>
  <c r="W31" i="9"/>
  <c r="Y31" i="9"/>
  <c r="AA31" i="9"/>
  <c r="AC31" i="9"/>
  <c r="AE31" i="9"/>
  <c r="AG31" i="9"/>
  <c r="Q586" i="6"/>
  <c r="W586" i="6"/>
  <c r="G32" i="9"/>
  <c r="I32" i="9"/>
  <c r="K32" i="9"/>
  <c r="G30" i="9"/>
  <c r="I30" i="9"/>
  <c r="K30" i="9"/>
  <c r="M30" i="9"/>
  <c r="O30" i="9"/>
  <c r="Q30" i="9"/>
  <c r="S30" i="9"/>
  <c r="U30" i="9"/>
  <c r="W30" i="9"/>
  <c r="Y30" i="9"/>
  <c r="AA30" i="9"/>
  <c r="AC30" i="9"/>
  <c r="AE30" i="9"/>
  <c r="AG30" i="9"/>
  <c r="AG438" i="3"/>
  <c r="Y20" i="27"/>
  <c r="Y22" i="27"/>
  <c r="AD20" i="27"/>
  <c r="AD22" i="27"/>
  <c r="E15" i="9"/>
  <c r="G15" i="9"/>
  <c r="I15" i="9"/>
  <c r="K15" i="9"/>
  <c r="M15" i="9"/>
  <c r="O15" i="9"/>
  <c r="Q15" i="9"/>
  <c r="AC762" i="3"/>
  <c r="BX613" i="3"/>
  <c r="O607" i="6"/>
  <c r="AU571" i="6"/>
  <c r="BG701" i="3"/>
  <c r="BH686" i="3"/>
  <c r="BI686" i="3"/>
  <c r="CM613" i="3"/>
  <c r="CQ614" i="3"/>
  <c r="BS632" i="3"/>
  <c r="BW633" i="3"/>
  <c r="CH613" i="3"/>
  <c r="CL614" i="3"/>
  <c r="T717" i="3"/>
  <c r="C30" i="10"/>
  <c r="CC632" i="3"/>
  <c r="CG633" i="3"/>
  <c r="CM632" i="3"/>
  <c r="CQ633" i="3"/>
  <c r="CC620" i="3"/>
  <c r="BS620" i="3"/>
  <c r="BN632" i="3"/>
  <c r="R937" i="3"/>
  <c r="R934" i="3"/>
  <c r="CH632" i="3"/>
  <c r="CL633" i="3"/>
  <c r="BX632" i="3"/>
  <c r="CB633" i="3"/>
  <c r="CC613" i="3"/>
  <c r="CG614" i="3"/>
  <c r="AZ260" i="3"/>
  <c r="BO245" i="3"/>
  <c r="T269" i="3"/>
  <c r="R936" i="3"/>
  <c r="BR633" i="3"/>
  <c r="AC848" i="3"/>
  <c r="AY918" i="3"/>
  <c r="AY910" i="3"/>
  <c r="AY914" i="3"/>
  <c r="Q583" i="6"/>
  <c r="W583" i="6"/>
  <c r="Q587" i="6"/>
  <c r="W587" i="6"/>
  <c r="Q588" i="6"/>
  <c r="W588" i="6"/>
  <c r="BG732" i="3"/>
  <c r="BH717" i="3"/>
  <c r="BI717" i="3"/>
  <c r="CX614" i="3"/>
  <c r="T608" i="6"/>
  <c r="AZ572" i="6"/>
  <c r="DH614" i="3"/>
  <c r="T606" i="6"/>
  <c r="Y606" i="6"/>
  <c r="BK614" i="3"/>
  <c r="BN613" i="3"/>
  <c r="BS613" i="3"/>
  <c r="O608" i="6"/>
  <c r="AU572" i="6"/>
  <c r="DM614" i="3"/>
  <c r="T605" i="6"/>
  <c r="AZ569" i="6"/>
  <c r="DR614" i="3"/>
  <c r="T604" i="6"/>
  <c r="Y604" i="6"/>
  <c r="BE568" i="6"/>
  <c r="AP578" i="6"/>
  <c r="BJ568" i="6"/>
  <c r="BJ574" i="6"/>
  <c r="CS614" i="3"/>
  <c r="T609" i="6"/>
  <c r="CC527" i="6"/>
  <c r="CC528" i="6"/>
  <c r="DC614" i="3"/>
  <c r="T607" i="6"/>
  <c r="BU525" i="6"/>
  <c r="BU528" i="6"/>
  <c r="AK280" i="6"/>
  <c r="T699" i="6"/>
  <c r="AO690" i="6"/>
  <c r="AK537" i="6"/>
  <c r="Q584" i="6"/>
  <c r="W584" i="6"/>
  <c r="Q579" i="6"/>
  <c r="W579" i="6"/>
  <c r="AK684" i="6"/>
  <c r="T706" i="6"/>
  <c r="AP365" i="6"/>
  <c r="AQ365" i="6"/>
  <c r="AS352" i="6"/>
  <c r="BD521" i="6"/>
  <c r="BG614" i="3"/>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0" i="6"/>
  <c r="AG29" i="9"/>
  <c r="AC581" i="6"/>
  <c r="W40" i="9"/>
  <c r="W43" i="9"/>
  <c r="Q582" i="6"/>
  <c r="W582" i="6"/>
  <c r="Q585" i="6"/>
  <c r="W585" i="6"/>
  <c r="T20" i="27"/>
  <c r="T22" i="27"/>
  <c r="T20" i="26"/>
  <c r="T22" i="26"/>
  <c r="Y20" i="26"/>
  <c r="Y22" i="26"/>
  <c r="AD20" i="26"/>
  <c r="AD22" i="26"/>
  <c r="AD7" i="5"/>
  <c r="AI20" i="27"/>
  <c r="AI22" i="27"/>
  <c r="AD63" i="5"/>
  <c r="E27" i="15"/>
  <c r="U29" i="9"/>
  <c r="AE29" i="9"/>
  <c r="AK61" i="6"/>
  <c r="G29" i="9"/>
  <c r="W29" i="9"/>
  <c r="AA29" i="9"/>
  <c r="I29" i="9"/>
  <c r="S29" i="9"/>
  <c r="Y29" i="9"/>
  <c r="K29" i="9"/>
  <c r="M29" i="9"/>
  <c r="Q29" i="9"/>
  <c r="AC29" i="9"/>
  <c r="Y40" i="9"/>
  <c r="Y43" i="9"/>
  <c r="O40" i="9"/>
  <c r="O43" i="9"/>
  <c r="AA40" i="9"/>
  <c r="AA43" i="9"/>
  <c r="F30" i="10"/>
  <c r="AG40" i="9"/>
  <c r="AG43" i="9"/>
  <c r="K40" i="9"/>
  <c r="K43" i="9"/>
  <c r="I40" i="9"/>
  <c r="I43" i="9"/>
  <c r="G40" i="9"/>
  <c r="G43" i="9"/>
  <c r="M40" i="9"/>
  <c r="M43" i="9"/>
  <c r="AE40" i="9"/>
  <c r="AE43" i="9"/>
  <c r="Q40" i="9"/>
  <c r="Q43" i="9"/>
  <c r="AC40" i="9"/>
  <c r="AC43" i="9"/>
  <c r="E43" i="9"/>
  <c r="C67" i="25"/>
  <c r="I16" i="9"/>
  <c r="T695" i="6"/>
  <c r="Y7" i="5"/>
  <c r="G8" i="9"/>
  <c r="E9" i="9"/>
  <c r="G53" i="25"/>
  <c r="BN638" i="3"/>
  <c r="AB933" i="3"/>
  <c r="AJ933" i="3"/>
  <c r="K58" i="9"/>
  <c r="M53" i="9"/>
  <c r="D56" i="15"/>
  <c r="C61" i="4"/>
  <c r="C56" i="15"/>
  <c r="E56" i="15"/>
  <c r="B55" i="4"/>
  <c r="E55" i="4"/>
  <c r="B56" i="15"/>
  <c r="B54" i="18"/>
  <c r="C74" i="4"/>
  <c r="E43" i="15"/>
  <c r="T106" i="4"/>
  <c r="H105" i="18"/>
  <c r="H103" i="18"/>
  <c r="B13" i="15"/>
  <c r="E13" i="15"/>
  <c r="AS354" i="6"/>
  <c r="AK471" i="6"/>
  <c r="T700" i="6"/>
  <c r="CS620" i="3"/>
  <c r="BH676" i="3"/>
  <c r="BI676" i="3"/>
  <c r="BH683" i="3"/>
  <c r="BI683" i="3"/>
  <c r="BH681" i="3"/>
  <c r="BI681" i="3"/>
  <c r="BH684" i="3"/>
  <c r="BI684" i="3"/>
  <c r="Y764" i="3"/>
  <c r="BH707" i="3"/>
  <c r="BI707" i="3"/>
  <c r="Y765" i="3"/>
  <c r="E4" i="9"/>
  <c r="G4" i="9"/>
  <c r="I4" i="9"/>
  <c r="I5" i="9"/>
  <c r="BH710" i="3"/>
  <c r="BI710" i="3"/>
  <c r="L30" i="28"/>
  <c r="V30" i="28"/>
  <c r="BH690" i="3"/>
  <c r="BI690" i="3"/>
  <c r="BH692" i="3"/>
  <c r="BI692" i="3"/>
  <c r="BH685" i="3"/>
  <c r="BI685" i="3"/>
  <c r="BH691" i="3"/>
  <c r="BI691" i="3"/>
  <c r="CM638" i="3"/>
  <c r="BH696" i="3"/>
  <c r="BI696" i="3"/>
  <c r="BH688" i="3"/>
  <c r="BI688" i="3"/>
  <c r="BH730" i="3"/>
  <c r="BI730" i="3"/>
  <c r="BH712" i="3"/>
  <c r="BI712" i="3"/>
  <c r="BH678" i="3"/>
  <c r="BI678" i="3"/>
  <c r="BH695" i="3"/>
  <c r="BI695" i="3"/>
  <c r="BH697" i="3"/>
  <c r="BI697" i="3"/>
  <c r="BH693" i="3"/>
  <c r="BI693" i="3"/>
  <c r="BH709" i="3"/>
  <c r="BI709" i="3"/>
  <c r="CB614" i="3"/>
  <c r="BH682" i="3"/>
  <c r="BI682" i="3"/>
  <c r="BH715" i="3"/>
  <c r="BI715" i="3"/>
  <c r="BH700" i="3"/>
  <c r="BI700" i="3"/>
  <c r="O606" i="6"/>
  <c r="AU570" i="6"/>
  <c r="BH687" i="3"/>
  <c r="BI687" i="3"/>
  <c r="BH680" i="3"/>
  <c r="BI680" i="3"/>
  <c r="BH726" i="3"/>
  <c r="BI726" i="3"/>
  <c r="BH699" i="3"/>
  <c r="BI699" i="3"/>
  <c r="O605" i="6"/>
  <c r="AU569" i="6"/>
  <c r="L29" i="28"/>
  <c r="V29" i="28"/>
  <c r="L28" i="28"/>
  <c r="V28" i="28"/>
  <c r="CH638" i="3"/>
  <c r="AC849" i="3"/>
  <c r="CQ634" i="3"/>
  <c r="AD27" i="26"/>
  <c r="BX638" i="3"/>
  <c r="AB935" i="3"/>
  <c r="AJ935" i="3"/>
  <c r="CC638" i="3"/>
  <c r="AB936" i="3"/>
  <c r="AJ936" i="3"/>
  <c r="O604" i="6"/>
  <c r="AU568" i="6"/>
  <c r="BH698" i="3"/>
  <c r="BI698" i="3"/>
  <c r="BH694" i="3"/>
  <c r="BI694" i="3"/>
  <c r="BH677" i="3"/>
  <c r="BI677" i="3"/>
  <c r="AD27" i="27"/>
  <c r="AF706" i="6"/>
  <c r="E22" i="9"/>
  <c r="E35" i="9"/>
  <c r="G22" i="9"/>
  <c r="G35" i="9"/>
  <c r="AC578" i="6"/>
  <c r="AC584" i="6"/>
  <c r="AC583" i="6"/>
  <c r="AC579" i="6"/>
  <c r="AI27" i="27"/>
  <c r="Y27" i="5"/>
  <c r="Y27" i="27"/>
  <c r="AD27" i="5"/>
  <c r="T27" i="27"/>
  <c r="AI27" i="26"/>
  <c r="T27" i="26"/>
  <c r="Y27" i="26"/>
  <c r="AI27" i="5"/>
  <c r="T27" i="5"/>
  <c r="BH689" i="3"/>
  <c r="BI689" i="3"/>
  <c r="BH721" i="3"/>
  <c r="BI721" i="3"/>
  <c r="BH679" i="3"/>
  <c r="BI679" i="3"/>
  <c r="BH713" i="3"/>
  <c r="BI713" i="3"/>
  <c r="BH720" i="3"/>
  <c r="BI720" i="3"/>
  <c r="BH725" i="3"/>
  <c r="BI725" i="3"/>
  <c r="BH728" i="3"/>
  <c r="BI728" i="3"/>
  <c r="BH729" i="3"/>
  <c r="BI729" i="3"/>
  <c r="BH708" i="3"/>
  <c r="BI708" i="3"/>
  <c r="BH716" i="3"/>
  <c r="BI716" i="3"/>
  <c r="BH724" i="3"/>
  <c r="BI724" i="3"/>
  <c r="BH718" i="3"/>
  <c r="BI718" i="3"/>
  <c r="BH719" i="3"/>
  <c r="BI719" i="3"/>
  <c r="BH727" i="3"/>
  <c r="BI727" i="3"/>
  <c r="BH731" i="3"/>
  <c r="BI731" i="3"/>
  <c r="BH722" i="3"/>
  <c r="BI722" i="3"/>
  <c r="BH711" i="3"/>
  <c r="BI711" i="3"/>
  <c r="BH714" i="3"/>
  <c r="BI714" i="3"/>
  <c r="BH723" i="3"/>
  <c r="BI723" i="3"/>
  <c r="BR614" i="3"/>
  <c r="AZ570" i="6"/>
  <c r="Y607" i="6"/>
  <c r="BE571" i="6"/>
  <c r="AP581" i="6"/>
  <c r="BQ524" i="6"/>
  <c r="BQ528" i="6"/>
  <c r="BY526" i="6"/>
  <c r="BY528" i="6"/>
  <c r="Y608" i="6"/>
  <c r="CH546" i="6"/>
  <c r="L26" i="28"/>
  <c r="V26" i="28"/>
  <c r="O609" i="6"/>
  <c r="AU573" i="6"/>
  <c r="AZ573" i="6"/>
  <c r="BM523" i="6"/>
  <c r="BM528" i="6"/>
  <c r="Y605" i="6"/>
  <c r="BE569" i="6"/>
  <c r="AP579" i="6"/>
  <c r="BS638" i="3"/>
  <c r="AB934" i="3"/>
  <c r="AJ934" i="3"/>
  <c r="BW614" i="3"/>
  <c r="AP534" i="6"/>
  <c r="BN584" i="6"/>
  <c r="BN585" i="6"/>
  <c r="BK562" i="6"/>
  <c r="L27" i="28"/>
  <c r="AP545" i="6"/>
  <c r="AZ568" i="6"/>
  <c r="AZ571" i="6"/>
  <c r="AP533" i="6"/>
  <c r="BP583" i="6"/>
  <c r="T610" i="6"/>
  <c r="AP532" i="6"/>
  <c r="BP582" i="6"/>
  <c r="AP531" i="6"/>
  <c r="BH581" i="6"/>
  <c r="AP530" i="6"/>
  <c r="AX580" i="6"/>
  <c r="AX585" i="6"/>
  <c r="AX586" i="6"/>
  <c r="AC585" i="6"/>
  <c r="AC582" i="6"/>
  <c r="T694" i="6"/>
  <c r="CH544" i="6"/>
  <c r="BS524" i="6"/>
  <c r="BS528" i="6"/>
  <c r="BE570" i="6"/>
  <c r="AP580" i="6"/>
  <c r="K16" i="9"/>
  <c r="I22" i="9"/>
  <c r="I35" i="9"/>
  <c r="E6" i="9"/>
  <c r="S15" i="9"/>
  <c r="M32" i="9"/>
  <c r="I8" i="9"/>
  <c r="G9" i="9"/>
  <c r="O53" i="9"/>
  <c r="M58" i="9"/>
  <c r="E61" i="4"/>
  <c r="R55" i="4"/>
  <c r="R61" i="4"/>
  <c r="D62" i="15"/>
  <c r="B62" i="15"/>
  <c r="B60" i="18"/>
  <c r="B61" i="4"/>
  <c r="C62" i="15"/>
  <c r="C75" i="15"/>
  <c r="C76" i="4"/>
  <c r="B73" i="18"/>
  <c r="B74" i="4"/>
  <c r="E74" i="4"/>
  <c r="B75" i="15"/>
  <c r="D75" i="15"/>
  <c r="AD11" i="5"/>
  <c r="AD23" i="5"/>
  <c r="AD26" i="5"/>
  <c r="AD28" i="5"/>
  <c r="AI11" i="26"/>
  <c r="AI23" i="26"/>
  <c r="AI26" i="26"/>
  <c r="AI28" i="26"/>
  <c r="AD63" i="26"/>
  <c r="AI11" i="27"/>
  <c r="AI23" i="27"/>
  <c r="AI26" i="27"/>
  <c r="AI28" i="27"/>
  <c r="AD63" i="27"/>
  <c r="AD11" i="27"/>
  <c r="AD23" i="27"/>
  <c r="AD26" i="27"/>
  <c r="AD28" i="27"/>
  <c r="AD11" i="26"/>
  <c r="AD23" i="26"/>
  <c r="AD26" i="26"/>
  <c r="AD28" i="26"/>
  <c r="AI11" i="5"/>
  <c r="AI23" i="5"/>
  <c r="AI26" i="5"/>
  <c r="AI28" i="5"/>
  <c r="BI732" i="3"/>
  <c r="AM717" i="3"/>
  <c r="E5" i="9"/>
  <c r="Z782" i="3"/>
  <c r="BI701" i="3"/>
  <c r="AH717" i="3"/>
  <c r="AB937" i="3"/>
  <c r="AJ937" i="3"/>
  <c r="AJ939" i="3"/>
  <c r="BH701" i="3"/>
  <c r="BH732" i="3"/>
  <c r="Y609" i="6"/>
  <c r="CH547" i="6"/>
  <c r="AO691" i="6"/>
  <c r="G5" i="9"/>
  <c r="K4" i="9"/>
  <c r="M4" i="9"/>
  <c r="O4" i="9"/>
  <c r="AC589" i="6"/>
  <c r="CQ615" i="3"/>
  <c r="CQ636" i="3"/>
  <c r="U367" i="6"/>
  <c r="CH545" i="6"/>
  <c r="BW525" i="6"/>
  <c r="BW528" i="6"/>
  <c r="BU529" i="6"/>
  <c r="BQ529" i="6"/>
  <c r="BO569" i="6"/>
  <c r="BO574" i="6"/>
  <c r="BH580" i="6"/>
  <c r="BH585" i="6"/>
  <c r="AY538" i="6"/>
  <c r="BF562" i="6"/>
  <c r="BK565" i="6"/>
  <c r="AU543" i="6"/>
  <c r="AX543" i="6"/>
  <c r="O610" i="6"/>
  <c r="CA526" i="6"/>
  <c r="CA528" i="6"/>
  <c r="BY529" i="6"/>
  <c r="BE572" i="6"/>
  <c r="AP582" i="6"/>
  <c r="BD580" i="6"/>
  <c r="BD585" i="6"/>
  <c r="BP580" i="6"/>
  <c r="BB581" i="6"/>
  <c r="BB585" i="6"/>
  <c r="V27" i="28"/>
  <c r="V31" i="28"/>
  <c r="L31" i="28"/>
  <c r="BJ583" i="6"/>
  <c r="BJ585" i="6"/>
  <c r="CH543" i="6"/>
  <c r="BE542" i="6"/>
  <c r="BI543" i="6"/>
  <c r="BO523" i="6"/>
  <c r="BO528" i="6"/>
  <c r="BM529" i="6"/>
  <c r="BF582" i="6"/>
  <c r="BF585" i="6"/>
  <c r="BL580" i="6"/>
  <c r="BL581" i="6"/>
  <c r="BP581" i="6"/>
  <c r="BL582" i="6"/>
  <c r="AF694" i="6"/>
  <c r="E7" i="9"/>
  <c r="G6" i="9"/>
  <c r="M16" i="9"/>
  <c r="K22" i="9"/>
  <c r="K35" i="9"/>
  <c r="U15" i="9"/>
  <c r="O32" i="9"/>
  <c r="I9" i="9"/>
  <c r="K8" i="9"/>
  <c r="E62" i="15"/>
  <c r="Q53" i="9"/>
  <c r="O58" i="9"/>
  <c r="R74" i="4"/>
  <c r="R76" i="4"/>
  <c r="E76" i="4"/>
  <c r="B76" i="4"/>
  <c r="B75" i="18"/>
  <c r="D77" i="15"/>
  <c r="C77" i="15"/>
  <c r="B77" i="15"/>
  <c r="E75" i="15"/>
  <c r="AJ941" i="3"/>
  <c r="AJ972" i="3"/>
  <c r="AO689" i="6"/>
  <c r="T698" i="6"/>
  <c r="AF698" i="6"/>
  <c r="E11" i="9"/>
  <c r="E37" i="9"/>
  <c r="E45" i="9"/>
  <c r="E48" i="9"/>
  <c r="AB938" i="3"/>
  <c r="AU533" i="6"/>
  <c r="AU532" i="6"/>
  <c r="O720" i="3"/>
  <c r="AU530" i="6"/>
  <c r="P414" i="3"/>
  <c r="BE573" i="6"/>
  <c r="AP583" i="6"/>
  <c r="AU534" i="6"/>
  <c r="CE527" i="6"/>
  <c r="CE528" i="6"/>
  <c r="CC529" i="6"/>
  <c r="CC530" i="6"/>
  <c r="AU531" i="6"/>
  <c r="K5" i="9"/>
  <c r="T703" i="6"/>
  <c r="AK615" i="6"/>
  <c r="M5" i="9"/>
  <c r="AS539" i="6"/>
  <c r="BY530" i="6"/>
  <c r="BY531" i="6"/>
  <c r="BU530" i="6"/>
  <c r="BY532" i="6"/>
  <c r="BT570" i="6"/>
  <c r="BT574" i="6"/>
  <c r="BP585" i="6"/>
  <c r="BN586" i="6"/>
  <c r="BB586" i="6"/>
  <c r="BQ530" i="6"/>
  <c r="BQ534" i="6"/>
  <c r="BU531" i="6"/>
  <c r="BE547" i="6"/>
  <c r="AU546" i="6"/>
  <c r="BL585" i="6"/>
  <c r="BJ586" i="6"/>
  <c r="BF586" i="6"/>
  <c r="O16" i="9"/>
  <c r="M22" i="9"/>
  <c r="M35" i="9"/>
  <c r="O5" i="9"/>
  <c r="Q4" i="9"/>
  <c r="I6" i="9"/>
  <c r="G7" i="9"/>
  <c r="G11" i="9"/>
  <c r="G37" i="9"/>
  <c r="BI547" i="6"/>
  <c r="BM544" i="6"/>
  <c r="W15" i="9"/>
  <c r="Q32" i="9"/>
  <c r="M8" i="9"/>
  <c r="K9" i="9"/>
  <c r="E77" i="15"/>
  <c r="S53" i="9"/>
  <c r="Q58" i="9"/>
  <c r="AJ988" i="3"/>
  <c r="T24" i="5"/>
  <c r="E60" i="9"/>
  <c r="E66" i="9"/>
  <c r="E67" i="9"/>
  <c r="E49" i="9"/>
  <c r="E47" i="9"/>
  <c r="CC533" i="6"/>
  <c r="CC532" i="6"/>
  <c r="T702" i="6"/>
  <c r="AO694" i="6"/>
  <c r="AF702" i="6"/>
  <c r="AF708" i="6"/>
  <c r="CC531" i="6"/>
  <c r="BY534" i="6"/>
  <c r="BU534" i="6"/>
  <c r="BJ587" i="6"/>
  <c r="AV551" i="6"/>
  <c r="BY571" i="6"/>
  <c r="K6" i="9"/>
  <c r="I7" i="9"/>
  <c r="I11" i="9"/>
  <c r="I37" i="9"/>
  <c r="Q16" i="9"/>
  <c r="O22" i="9"/>
  <c r="O35" i="9"/>
  <c r="Q5" i="9"/>
  <c r="S4" i="9"/>
  <c r="G49" i="9"/>
  <c r="G45" i="9"/>
  <c r="Y15" i="9"/>
  <c r="BM547" i="6"/>
  <c r="BQ545" i="6"/>
  <c r="S32" i="9"/>
  <c r="M9" i="9"/>
  <c r="O8" i="9"/>
  <c r="U53" i="9"/>
  <c r="S58" i="9"/>
  <c r="E70" i="9"/>
  <c r="E72" i="9"/>
  <c r="CC534" i="6"/>
  <c r="CG534" i="6"/>
  <c r="CD572" i="6"/>
  <c r="BY574" i="6"/>
  <c r="BQ547" i="6"/>
  <c r="BU546" i="6"/>
  <c r="BU547" i="6"/>
  <c r="S16" i="9"/>
  <c r="Q22" i="9"/>
  <c r="Q35" i="9"/>
  <c r="AA15" i="9"/>
  <c r="G47" i="9"/>
  <c r="G60" i="9"/>
  <c r="G66" i="9"/>
  <c r="G67" i="9"/>
  <c r="G48" i="9"/>
  <c r="I49" i="9"/>
  <c r="I45" i="9"/>
  <c r="U4" i="9"/>
  <c r="S5" i="9"/>
  <c r="K7" i="9"/>
  <c r="K11" i="9"/>
  <c r="M6" i="9"/>
  <c r="U32" i="9"/>
  <c r="Q8" i="9"/>
  <c r="O9" i="9"/>
  <c r="W53" i="9"/>
  <c r="U58" i="9"/>
  <c r="CD574" i="6"/>
  <c r="CI573" i="6"/>
  <c r="CI574" i="6"/>
  <c r="CC547" i="6"/>
  <c r="K37" i="9"/>
  <c r="K49" i="9"/>
  <c r="U16" i="9"/>
  <c r="S22" i="9"/>
  <c r="S35" i="9"/>
  <c r="W4" i="9"/>
  <c r="U5" i="9"/>
  <c r="AC15" i="9"/>
  <c r="I47" i="9"/>
  <c r="I48" i="9"/>
  <c r="I60" i="9"/>
  <c r="I66" i="9"/>
  <c r="I67" i="9"/>
  <c r="G62" i="9"/>
  <c r="G69" i="9"/>
  <c r="G68" i="9"/>
  <c r="O6" i="9"/>
  <c r="M7" i="9"/>
  <c r="M11" i="9"/>
  <c r="M37" i="9"/>
  <c r="W32" i="9"/>
  <c r="S8" i="9"/>
  <c r="Q9" i="9"/>
  <c r="Y53" i="9"/>
  <c r="W58" i="9"/>
  <c r="K45" i="9"/>
  <c r="K60" i="9"/>
  <c r="CN574" i="6"/>
  <c r="BD555" i="6"/>
  <c r="AT557" i="6"/>
  <c r="Q6" i="9"/>
  <c r="O7" i="9"/>
  <c r="O11" i="9"/>
  <c r="O37" i="9"/>
  <c r="Y4" i="9"/>
  <c r="W5" i="9"/>
  <c r="I62" i="9"/>
  <c r="I69" i="9"/>
  <c r="I68" i="9"/>
  <c r="AE15" i="9"/>
  <c r="G70" i="9"/>
  <c r="G72" i="9"/>
  <c r="M45" i="9"/>
  <c r="M49" i="9"/>
  <c r="W16" i="9"/>
  <c r="U22" i="9"/>
  <c r="U35" i="9"/>
  <c r="Y32" i="9"/>
  <c r="U8" i="9"/>
  <c r="S9" i="9"/>
  <c r="K69" i="9"/>
  <c r="K66" i="9"/>
  <c r="K67" i="9"/>
  <c r="AA53" i="9"/>
  <c r="Y58" i="9"/>
  <c r="K48" i="9"/>
  <c r="K68" i="9"/>
  <c r="K47" i="9"/>
  <c r="K62" i="9"/>
  <c r="AW559" i="6"/>
  <c r="M48" i="9"/>
  <c r="M47" i="9"/>
  <c r="M60" i="9"/>
  <c r="M66" i="9"/>
  <c r="M67" i="9"/>
  <c r="O49" i="9"/>
  <c r="O45" i="9"/>
  <c r="AA4" i="9"/>
  <c r="Y5" i="9"/>
  <c r="I70" i="9"/>
  <c r="I72" i="9"/>
  <c r="AG15" i="9"/>
  <c r="Y16" i="9"/>
  <c r="W22" i="9"/>
  <c r="W35" i="9"/>
  <c r="S6" i="9"/>
  <c r="Q7" i="9"/>
  <c r="Q11" i="9"/>
  <c r="Q37" i="9"/>
  <c r="AA32" i="9"/>
  <c r="W8" i="9"/>
  <c r="U9" i="9"/>
  <c r="AA58" i="9"/>
  <c r="AC53" i="9"/>
  <c r="K70" i="9"/>
  <c r="K72" i="9"/>
  <c r="Q45" i="9"/>
  <c r="Q49" i="9"/>
  <c r="AC4" i="9"/>
  <c r="AA5" i="9"/>
  <c r="O48" i="9"/>
  <c r="O60" i="9"/>
  <c r="O66" i="9"/>
  <c r="O67" i="9"/>
  <c r="O47" i="9"/>
  <c r="U6" i="9"/>
  <c r="S7" i="9"/>
  <c r="S11" i="9"/>
  <c r="S37" i="9"/>
  <c r="AA16" i="9"/>
  <c r="Y22" i="9"/>
  <c r="Y35" i="9"/>
  <c r="M62" i="9"/>
  <c r="M68" i="9"/>
  <c r="M69" i="9"/>
  <c r="AC32" i="9"/>
  <c r="W9" i="9"/>
  <c r="Y8" i="9"/>
  <c r="AE53" i="9"/>
  <c r="AC58" i="9"/>
  <c r="M70" i="9"/>
  <c r="M72" i="9"/>
  <c r="W6" i="9"/>
  <c r="U7" i="9"/>
  <c r="U11" i="9"/>
  <c r="U37" i="9"/>
  <c r="O68" i="9"/>
  <c r="O62" i="9"/>
  <c r="O69" i="9"/>
  <c r="AC16" i="9"/>
  <c r="AA22" i="9"/>
  <c r="AA35" i="9"/>
  <c r="S45" i="9"/>
  <c r="S49" i="9"/>
  <c r="AC5" i="9"/>
  <c r="AE4" i="9"/>
  <c r="Q48" i="9"/>
  <c r="Q60" i="9"/>
  <c r="Q66" i="9"/>
  <c r="Q67" i="9"/>
  <c r="Q47" i="9"/>
  <c r="AE32" i="9"/>
  <c r="Y9" i="9"/>
  <c r="AA8" i="9"/>
  <c r="AG53" i="9"/>
  <c r="AG58" i="9"/>
  <c r="AE58" i="9"/>
  <c r="AE5" i="9"/>
  <c r="AG4" i="9"/>
  <c r="O70" i="9"/>
  <c r="O72" i="9"/>
  <c r="S47" i="9"/>
  <c r="S48" i="9"/>
  <c r="S60" i="9"/>
  <c r="S66" i="9"/>
  <c r="S67" i="9"/>
  <c r="W7" i="9"/>
  <c r="W11" i="9"/>
  <c r="W37" i="9"/>
  <c r="Y6" i="9"/>
  <c r="U49" i="9"/>
  <c r="U45" i="9"/>
  <c r="Q68" i="9"/>
  <c r="Q69" i="9"/>
  <c r="Q62" i="9"/>
  <c r="AE16" i="9"/>
  <c r="AC22" i="9"/>
  <c r="AC35" i="9"/>
  <c r="AG32" i="9"/>
  <c r="AA9" i="9"/>
  <c r="AC8" i="9"/>
  <c r="AG5" i="9"/>
  <c r="Q70" i="9"/>
  <c r="Q72" i="9"/>
  <c r="W45" i="9"/>
  <c r="W49" i="9"/>
  <c r="AG16" i="9"/>
  <c r="AG22" i="9"/>
  <c r="AG35" i="9"/>
  <c r="AE22" i="9"/>
  <c r="AE35" i="9"/>
  <c r="S68" i="9"/>
  <c r="S69" i="9"/>
  <c r="S62" i="9"/>
  <c r="U48" i="9"/>
  <c r="U60" i="9"/>
  <c r="U66" i="9"/>
  <c r="U67" i="9"/>
  <c r="U47" i="9"/>
  <c r="Y7" i="9"/>
  <c r="Y11" i="9"/>
  <c r="Y37" i="9"/>
  <c r="AA6" i="9"/>
  <c r="AC9" i="9"/>
  <c r="AE8" i="9"/>
  <c r="Y45" i="9"/>
  <c r="Y49" i="9"/>
  <c r="S70" i="9"/>
  <c r="S72" i="9"/>
  <c r="AA7" i="9"/>
  <c r="AA11" i="9"/>
  <c r="AA37" i="9"/>
  <c r="AC6" i="9"/>
  <c r="U69" i="9"/>
  <c r="U62" i="9"/>
  <c r="U68" i="9"/>
  <c r="W47" i="9"/>
  <c r="W48" i="9"/>
  <c r="W60" i="9"/>
  <c r="W66" i="9"/>
  <c r="W67" i="9"/>
  <c r="AG8" i="9"/>
  <c r="AE9" i="9"/>
  <c r="AA49" i="9"/>
  <c r="AA45" i="9"/>
  <c r="W68" i="9"/>
  <c r="W69" i="9"/>
  <c r="W62" i="9"/>
  <c r="AE6" i="9"/>
  <c r="AC7" i="9"/>
  <c r="AC11" i="9"/>
  <c r="AC37" i="9"/>
  <c r="U70" i="9"/>
  <c r="U72" i="9"/>
  <c r="Y48" i="9"/>
  <c r="Y60" i="9"/>
  <c r="Y66" i="9"/>
  <c r="Y67" i="9"/>
  <c r="Y47" i="9"/>
  <c r="AG9" i="9"/>
  <c r="AG6" i="9"/>
  <c r="AE7" i="9"/>
  <c r="AE11" i="9"/>
  <c r="AE37" i="9"/>
  <c r="Y69" i="9"/>
  <c r="Y62" i="9"/>
  <c r="Y68" i="9"/>
  <c r="AC49" i="9"/>
  <c r="AC45" i="9"/>
  <c r="AA47" i="9"/>
  <c r="AA48" i="9"/>
  <c r="AA60" i="9"/>
  <c r="AA66" i="9"/>
  <c r="AA67" i="9"/>
  <c r="W70" i="9"/>
  <c r="W72" i="9"/>
  <c r="AG7" i="9"/>
  <c r="AG11" i="9"/>
  <c r="AG37" i="9"/>
  <c r="AG49" i="9"/>
  <c r="AA68" i="9"/>
  <c r="AA69" i="9"/>
  <c r="AA62" i="9"/>
  <c r="Y70" i="9"/>
  <c r="Y72" i="9"/>
  <c r="AE49" i="9"/>
  <c r="AE45" i="9"/>
  <c r="AC48" i="9"/>
  <c r="AC60" i="9"/>
  <c r="AC66" i="9"/>
  <c r="AC67" i="9"/>
  <c r="AC47" i="9"/>
  <c r="AG45" i="9"/>
  <c r="AE60" i="9"/>
  <c r="AE66" i="9"/>
  <c r="AE67" i="9"/>
  <c r="AE47" i="9"/>
  <c r="AE48" i="9"/>
  <c r="AC69" i="9"/>
  <c r="AC68" i="9"/>
  <c r="AC62" i="9"/>
  <c r="AA70" i="9"/>
  <c r="AA72" i="9"/>
  <c r="AG47" i="9"/>
  <c r="AG48" i="9"/>
  <c r="AG60" i="9"/>
  <c r="AG66" i="9"/>
  <c r="AG67" i="9"/>
  <c r="AC70" i="9"/>
  <c r="AC72" i="9"/>
  <c r="AE62" i="9"/>
  <c r="AE68" i="9"/>
  <c r="AE69" i="9"/>
  <c r="AG62" i="9"/>
  <c r="AG69" i="9"/>
  <c r="AG68" i="9"/>
  <c r="AE70" i="9"/>
  <c r="AE72" i="9"/>
  <c r="AG70" i="9"/>
  <c r="AG72" i="9"/>
  <c r="AM546" i="3"/>
  <c r="AM558" i="3"/>
  <c r="AM551" i="3"/>
  <c r="AO631" i="3"/>
  <c r="AO632" i="3"/>
  <c r="AB49" i="5"/>
  <c r="AB70" i="5"/>
  <c r="D31" i="15"/>
  <c r="D46" i="15"/>
  <c r="D79" i="15"/>
  <c r="C95" i="4"/>
  <c r="D96" i="15"/>
  <c r="D99" i="15"/>
  <c r="B29" i="18"/>
  <c r="E29" i="18"/>
  <c r="E44" i="18"/>
  <c r="B30" i="4"/>
  <c r="E30" i="4"/>
  <c r="C30" i="4"/>
  <c r="B31" i="15"/>
  <c r="D30" i="4"/>
  <c r="S30" i="4"/>
  <c r="C38" i="4"/>
  <c r="B39" i="15"/>
  <c r="D38" i="4"/>
  <c r="S38" i="4"/>
  <c r="E37" i="18"/>
  <c r="B45" i="4"/>
  <c r="E45" i="4"/>
  <c r="C45" i="4"/>
  <c r="B44" i="18"/>
  <c r="D45" i="4"/>
  <c r="D53" i="4"/>
  <c r="D62" i="4"/>
  <c r="S45" i="4"/>
  <c r="C46" i="4"/>
  <c r="B47" i="15"/>
  <c r="D46" i="4"/>
  <c r="S46" i="4"/>
  <c r="E45" i="18"/>
  <c r="B78" i="4"/>
  <c r="E78" i="4"/>
  <c r="C78" i="4"/>
  <c r="B77" i="18"/>
  <c r="D78" i="4"/>
  <c r="D80" i="4"/>
  <c r="C79" i="4"/>
  <c r="B80" i="15"/>
  <c r="D79" i="4"/>
  <c r="B82" i="4"/>
  <c r="C82" i="4"/>
  <c r="B83" i="15"/>
  <c r="E82" i="4"/>
  <c r="R82" i="4"/>
  <c r="R95" i="4"/>
  <c r="B94" i="18"/>
  <c r="E95" i="4"/>
  <c r="B98" i="4"/>
  <c r="E98" i="4"/>
  <c r="C98" i="4"/>
  <c r="B97" i="18"/>
  <c r="D98" i="4"/>
  <c r="C103" i="4"/>
  <c r="B104" i="15"/>
  <c r="D103" i="4"/>
  <c r="E107" i="4"/>
  <c r="D96" i="4"/>
  <c r="D104" i="4"/>
  <c r="R30" i="4"/>
  <c r="R38" i="4"/>
  <c r="E38" i="4"/>
  <c r="R45" i="4"/>
  <c r="R98" i="4"/>
  <c r="R103" i="4"/>
  <c r="E103" i="4"/>
  <c r="R78" i="4"/>
  <c r="R80" i="4"/>
  <c r="S53" i="4"/>
  <c r="B81" i="18"/>
  <c r="B37" i="18"/>
  <c r="B102" i="18"/>
  <c r="C99" i="15"/>
  <c r="C96" i="15"/>
  <c r="C79" i="15"/>
  <c r="E79" i="15"/>
  <c r="C46" i="15"/>
  <c r="C31" i="15"/>
  <c r="E31" i="15"/>
  <c r="B103" i="4"/>
  <c r="B95" i="4"/>
  <c r="B79" i="4"/>
  <c r="E79" i="4"/>
  <c r="R79" i="4"/>
  <c r="B46" i="4"/>
  <c r="E46" i="4"/>
  <c r="R46" i="4"/>
  <c r="B99" i="15"/>
  <c r="B96" i="15"/>
  <c r="B79" i="15"/>
  <c r="B46" i="15"/>
  <c r="S98" i="4"/>
  <c r="C80" i="4"/>
  <c r="S78" i="4"/>
  <c r="C53" i="4"/>
  <c r="B78" i="18"/>
  <c r="B45" i="18"/>
  <c r="D104" i="15"/>
  <c r="D83" i="15"/>
  <c r="D80" i="15"/>
  <c r="D47" i="15"/>
  <c r="D39" i="15"/>
  <c r="S79" i="4"/>
  <c r="E78" i="18"/>
  <c r="C104" i="15"/>
  <c r="E104" i="15"/>
  <c r="C83" i="15"/>
  <c r="E83" i="15"/>
  <c r="C80" i="15"/>
  <c r="E80" i="15"/>
  <c r="C47" i="15"/>
  <c r="E47" i="15"/>
  <c r="C39" i="15"/>
  <c r="E39" i="15"/>
  <c r="B38" i="4"/>
  <c r="E96" i="15"/>
  <c r="C62" i="4"/>
  <c r="B53" i="4"/>
  <c r="D54" i="15"/>
  <c r="B54" i="15"/>
  <c r="C54" i="15"/>
  <c r="E54" i="15"/>
  <c r="B52" i="18"/>
  <c r="E99" i="15"/>
  <c r="E77" i="18"/>
  <c r="S80" i="4"/>
  <c r="E79" i="18"/>
  <c r="E53" i="4"/>
  <c r="E62" i="4"/>
  <c r="E96" i="4"/>
  <c r="E104" i="4"/>
  <c r="B80" i="4"/>
  <c r="D81" i="15"/>
  <c r="B81" i="15"/>
  <c r="C81" i="15"/>
  <c r="E81" i="15"/>
  <c r="B79" i="18"/>
  <c r="R53" i="4"/>
  <c r="S103" i="4"/>
  <c r="E102" i="18"/>
  <c r="E97" i="18"/>
  <c r="E52" i="18"/>
  <c r="S62" i="4"/>
  <c r="R62" i="4"/>
  <c r="R96" i="4"/>
  <c r="R104" i="4"/>
  <c r="E46" i="15"/>
  <c r="E80" i="4"/>
  <c r="E61" i="18"/>
  <c r="S96" i="4"/>
  <c r="B63" i="15"/>
  <c r="B62" i="4"/>
  <c r="C63" i="15"/>
  <c r="C96" i="4"/>
  <c r="D63" i="15"/>
  <c r="B61" i="18"/>
  <c r="B97" i="15"/>
  <c r="B96" i="4"/>
  <c r="C97" i="15"/>
  <c r="E97" i="15"/>
  <c r="B95" i="18"/>
  <c r="D97" i="15"/>
  <c r="C104" i="4"/>
  <c r="E63" i="15"/>
  <c r="E95" i="18"/>
  <c r="S104" i="4"/>
  <c r="B104" i="4"/>
  <c r="AC448" i="3"/>
  <c r="D105" i="15"/>
  <c r="B105" i="15"/>
  <c r="C105" i="15"/>
  <c r="B103" i="18"/>
  <c r="E103" i="18"/>
  <c r="S106" i="4"/>
  <c r="E105" i="15"/>
  <c r="E105" i="18"/>
  <c r="X992" i="3"/>
  <c r="X993" i="3"/>
  <c r="D994" i="3"/>
  <c r="AC449" i="3"/>
  <c r="AB46" i="5"/>
  <c r="AB48" i="5"/>
  <c r="AB46" i="26"/>
  <c r="AB48" i="26"/>
  <c r="AB46" i="27"/>
  <c r="AB48" i="27"/>
  <c r="AC447" i="3"/>
  <c r="J58" i="25"/>
  <c r="AB53" i="27"/>
  <c r="AB54" i="27"/>
  <c r="AB53" i="26"/>
  <c r="AB54" i="26"/>
  <c r="G71" i="25"/>
  <c r="G72" i="25"/>
  <c r="B75" i="25"/>
  <c r="B76" i="25"/>
  <c r="O76" i="25"/>
  <c r="T11" i="5"/>
  <c r="T11" i="26"/>
  <c r="T23" i="26"/>
  <c r="Y11" i="5"/>
  <c r="Y23" i="5"/>
  <c r="Y26" i="5"/>
  <c r="Y28" i="5"/>
  <c r="Y11" i="26"/>
  <c r="Y23" i="26"/>
  <c r="Y26" i="26"/>
  <c r="Y28" i="26"/>
  <c r="Y63" i="26"/>
  <c r="Y67" i="26"/>
  <c r="T11" i="27"/>
  <c r="T23" i="27"/>
  <c r="Y11" i="27"/>
  <c r="Y23" i="27"/>
  <c r="Y26" i="27"/>
  <c r="Y28" i="27"/>
  <c r="Y63" i="27"/>
  <c r="Y67" i="27"/>
  <c r="AB53" i="5"/>
  <c r="AB54" i="5"/>
  <c r="AD38" i="27"/>
  <c r="AD40" i="27"/>
  <c r="T26" i="27"/>
  <c r="T28" i="27"/>
  <c r="T29" i="27"/>
  <c r="Y38" i="27"/>
  <c r="Y40" i="27"/>
  <c r="Y38" i="26"/>
  <c r="Y40" i="26"/>
  <c r="Y41" i="26"/>
  <c r="AB55" i="26"/>
  <c r="AB56" i="26"/>
  <c r="AD38" i="26"/>
  <c r="AD40" i="26"/>
  <c r="T26" i="26"/>
  <c r="T28" i="26"/>
  <c r="T29" i="26"/>
  <c r="T23" i="5"/>
  <c r="BE16" i="28"/>
  <c r="AB58" i="26"/>
  <c r="Y41" i="27"/>
  <c r="AB55" i="27"/>
  <c r="AB56" i="27"/>
  <c r="Y63" i="5"/>
  <c r="Y67" i="5"/>
  <c r="AD38" i="5"/>
  <c r="AD40" i="5"/>
  <c r="T26" i="5"/>
  <c r="T28" i="5"/>
  <c r="T29" i="5"/>
  <c r="Q71" i="25"/>
  <c r="O75" i="25"/>
  <c r="R75" i="25"/>
  <c r="Y38" i="5"/>
  <c r="Y40" i="5"/>
  <c r="AB58" i="27"/>
  <c r="AB75" i="26"/>
  <c r="AB76" i="26"/>
  <c r="AB77" i="26"/>
  <c r="AB79" i="26"/>
  <c r="J80" i="26"/>
  <c r="F59" i="26"/>
  <c r="F59" i="27"/>
  <c r="AB75" i="27"/>
  <c r="AB76" i="27"/>
  <c r="AB77" i="27"/>
  <c r="AB79" i="27"/>
  <c r="J80" i="27"/>
  <c r="AR42" i="5"/>
  <c r="Y41" i="5"/>
  <c r="AB55" i="5"/>
  <c r="AR43" i="5"/>
  <c r="M25" i="3"/>
  <c r="BE15" i="28"/>
  <c r="AB56" i="5"/>
  <c r="Q22" i="28"/>
  <c r="V33" i="28"/>
  <c r="V35" i="28"/>
  <c r="AB58" i="5"/>
  <c r="P203" i="3"/>
  <c r="F59" i="5"/>
  <c r="AB75" i="5"/>
  <c r="AB76" i="5"/>
  <c r="M27" i="3"/>
  <c r="AB77" i="5"/>
  <c r="AB79" i="5"/>
  <c r="J80" i="5"/>
  <c r="W203" i="3"/>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<sst xmlns="http://schemas.openxmlformats.org/spreadsheetml/2006/main" count="4754" uniqueCount="2550">
  <si>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</si>
  <si>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</si>
  <si>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</si>
  <si>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</si>
  <si>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</si>
  <si>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</si>
  <si>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</si>
  <si>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</si>
  <si>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</si>
  <si>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</si>
  <si>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</si>
  <si>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</si>
  <si>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</si>
  <si>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</si>
  <si>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</si>
  <si>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</si>
  <si>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</si>
  <si>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</si>
  <si>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</si>
  <si>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</si>
  <si>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</si>
  <si>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</si>
  <si>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</si>
  <si>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</si>
  <si>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</si>
  <si>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</si>
  <si>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</si>
  <si>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</si>
  <si>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</si>
  <si>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</si>
  <si>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</si>
  <si>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</si>
  <si>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</si>
  <si>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</si>
  <si>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</si>
  <si>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</si>
  <si>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</si>
  <si>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</si>
  <si>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</si>
  <si>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</si>
  <si>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</si>
  <si>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</si>
  <si>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</si>
  <si>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</si>
  <si>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</si>
  <si>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</si>
  <si>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</si>
  <si>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</si>
  <si>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</si>
  <si>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</si>
  <si>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</si>
  <si>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</si>
  <si>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</si>
  <si>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</si>
  <si>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</si>
  <si>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</si>
  <si>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</si>
  <si>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</si>
  <si>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</si>
  <si>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</si>
  <si>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</si>
  <si>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</si>
  <si>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</si>
  <si>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</si>
  <si>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</si>
  <si>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</si>
  <si>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</si>
  <si>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</si>
  <si>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</si>
  <si>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</si>
  <si>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</si>
  <si>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</si>
  <si>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</si>
  <si>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</si>
  <si>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</si>
  <si>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</si>
  <si>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</si>
  <si>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</si>
  <si>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</si>
  <si>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</si>
  <si>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</si>
  <si>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</si>
  <si>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</si>
  <si>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</si>
  <si>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</si>
  <si>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</si>
  <si>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</si>
  <si>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</si>
  <si>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</si>
  <si>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</si>
  <si>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</si>
  <si>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</si>
  <si>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</si>
  <si>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</si>
  <si>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</si>
  <si>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</si>
  <si>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</si>
  <si>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</si>
  <si>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</si>
  <si>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</si>
  <si>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</si>
  <si>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</si>
  <si>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</si>
  <si>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</si>
  <si>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</si>
  <si>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</si>
  <si>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</si>
  <si>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</si>
  <si>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</si>
  <si>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</si>
  <si>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</si>
  <si>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</si>
  <si>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</si>
  <si>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</si>
  <si>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</si>
  <si>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</si>
  <si>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</si>
  <si>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</si>
  <si>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</si>
  <si>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</si>
  <si>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</si>
  <si>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</si>
  <si>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</si>
  <si>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</si>
  <si>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</si>
  <si>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</si>
  <si>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</si>
  <si>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</si>
  <si>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</si>
  <si>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</si>
  <si>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</si>
  <si>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</si>
  <si>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</si>
  <si>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</si>
  <si>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</si>
  <si>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</si>
  <si>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</si>
  <si>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</si>
  <si>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</si>
  <si>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</si>
  <si>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</si>
  <si>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</si>
  <si>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</si>
  <si>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</si>
  <si>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</si>
  <si>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</si>
  <si>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</si>
  <si>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</si>
  <si>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</si>
  <si>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</si>
  <si>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</si>
  <si>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</si>
  <si>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</si>
  <si>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</si>
  <si>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</si>
  <si>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</si>
  <si>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</si>
  <si>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</si>
  <si>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</si>
  <si>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</si>
  <si>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</si>
  <si>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</si>
  <si>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</si>
  <si>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</si>
  <si>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</si>
  <si>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</si>
  <si>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</si>
  <si>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</si>
  <si>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</si>
  <si>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</si>
  <si>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</si>
  <si>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</si>
  <si>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</si>
  <si>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</si>
  <si>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</si>
  <si>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</si>
  <si>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</si>
  <si>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</si>
  <si>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</si>
  <si>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</si>
  <si>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</si>
  <si>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</si>
  <si>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</si>
  <si>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</si>
  <si>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</si>
  <si>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</si>
  <si>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</si>
  <si>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</si>
  <si>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</si>
  <si>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</si>
  <si>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</si>
  <si>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</si>
  <si>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</si>
  <si>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</si>
  <si>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</si>
  <si>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</si>
  <si>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</si>
  <si>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</si>
  <si>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</si>
  <si>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</si>
  <si>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</si>
  <si>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</si>
  <si>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</si>
  <si>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</si>
  <si>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</si>
  <si>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</si>
  <si>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</si>
  <si>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</si>
  <si>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</si>
  <si>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</si>
  <si>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</si>
  <si>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</si>
  <si>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</si>
  <si>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</si>
  <si>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</si>
  <si>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</si>
  <si>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</si>
  <si>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</si>
  <si>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</si>
  <si>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</si>
  <si>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</si>
  <si>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</si>
  <si>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</si>
  <si>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</si>
  <si>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</si>
  <si>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</si>
  <si>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</si>
  <si>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</si>
  <si>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</si>
  <si>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</si>
  <si>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</si>
  <si>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</si>
  <si>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</si>
  <si>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</si>
  <si>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</si>
  <si>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</si>
  <si>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</si>
  <si>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</si>
  <si>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</si>
  <si>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</si>
  <si>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</si>
  <si>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</si>
  <si>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</si>
  <si>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</si>
  <si>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</si>
  <si>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</si>
  <si>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</si>
  <si>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</si>
  <si>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</si>
  <si>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</si>
  <si>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</si>
  <si>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</si>
  <si>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</si>
  <si>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</si>
  <si>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</si>
  <si>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</si>
  <si>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</si>
  <si>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</si>
  <si>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</si>
  <si>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</si>
  <si>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</si>
  <si>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</si>
  <si>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</si>
  <si>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</si>
  <si>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</si>
  <si>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</si>
  <si>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</si>
  <si>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</si>
  <si>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</si>
  <si>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</si>
  <si>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</si>
  <si>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</si>
  <si>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</si>
  <si>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</si>
  <si>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</si>
  <si>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</si>
  <si>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</si>
  <si>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</si>
  <si>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</si>
  <si>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</si>
  <si>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</si>
  <si>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</si>
  <si>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</si>
  <si>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</si>
  <si>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</si>
  <si>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</si>
  <si>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</si>
  <si>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</si>
  <si>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</si>
  <si>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</si>
  <si>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</si>
  <si>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</si>
  <si>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</si>
  <si>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</si>
  <si>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</si>
  <si>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</si>
  <si>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</si>
  <si>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</si>
  <si>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</si>
  <si>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</si>
  <si>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</si>
  <si>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</si>
  <si>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</si>
  <si>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</si>
  <si>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</si>
  <si>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</si>
  <si>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</si>
  <si>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</si>
  <si>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</si>
  <si>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</si>
  <si>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</si>
  <si>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</si>
  <si>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</si>
  <si>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</si>
  <si>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</si>
  <si>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</si>
  <si>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</si>
  <si>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</si>
  <si>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</si>
  <si>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</si>
  <si>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</si>
  <si>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</si>
  <si>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</si>
  <si>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</si>
  <si>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</si>
  <si>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</si>
  <si>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</si>
  <si>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</si>
  <si>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</si>
  <si>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</si>
  <si>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</si>
  <si>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</si>
  <si>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</si>
  <si>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</si>
  <si>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</si>
  <si>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</si>
  <si>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</si>
  <si>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</si>
  <si>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</si>
  <si>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</si>
  <si>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</si>
  <si>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</si>
  <si>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</si>
  <si>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</si>
  <si>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</si>
  <si>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</si>
  <si>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</si>
  <si>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</si>
  <si>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</si>
  <si>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</si>
  <si>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</si>
  <si>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</si>
  <si>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</si>
  <si>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</si>
  <si>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</si>
  <si>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</si>
  <si>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</si>
  <si>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</si>
  <si>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</si>
  <si>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</si>
  <si>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</si>
  <si>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</si>
  <si>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</si>
  <si>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</si>
  <si>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</si>
  <si>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</si>
  <si>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</si>
  <si>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</si>
  <si>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</si>
  <si>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</si>
  <si>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</si>
  <si>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</si>
  <si>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</si>
  <si>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</si>
  <si>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</si>
  <si>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</si>
  <si>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</si>
  <si>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</si>
  <si>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</si>
  <si>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</si>
  <si>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</si>
  <si>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</si>
  <si>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</si>
  <si>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</si>
  <si>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</si>
  <si>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</si>
  <si>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</si>
  <si>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</si>
  <si>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</si>
  <si>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</si>
  <si>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</si>
  <si>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</si>
  <si>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</si>
  <si>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</si>
  <si>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</si>
  <si>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</si>
  <si>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</si>
  <si>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</si>
  <si>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</si>
  <si>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</si>
  <si>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</si>
  <si>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</si>
  <si>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</si>
  <si>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</si>
  <si>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</si>
  <si>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</si>
  <si>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</si>
  <si>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</si>
  <si>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</si>
  <si>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</si>
  <si>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</si>
  <si>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</si>
  <si>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</si>
  <si>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</si>
  <si>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</si>
  <si>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</si>
  <si>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</si>
  <si>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</si>
  <si>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</si>
  <si>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</si>
  <si>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</si>
  <si>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</si>
  <si>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</si>
  <si>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</si>
  <si>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</si>
  <si>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</si>
  <si>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</si>
  <si>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</si>
  <si>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</si>
  <si>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</si>
  <si>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</si>
  <si>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</si>
  <si>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</si>
  <si>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</si>
  <si>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</si>
  <si>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</si>
  <si>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</si>
  <si>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</si>
  <si>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</si>
  <si>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</si>
  <si>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</si>
  <si>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</si>
  <si>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</si>
  <si>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</si>
  <si>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</si>
  <si>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</si>
  <si>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</si>
  <si>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</si>
  <si>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</si>
  <si>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</si>
  <si>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</si>
  <si>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</si>
  <si>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</si>
  <si>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</si>
  <si>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</si>
  <si>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</si>
  <si>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</si>
  <si>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</si>
  <si>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</si>
  <si>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</si>
  <si>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</si>
  <si>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</si>
  <si>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</si>
  <si>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</si>
  <si>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</si>
  <si>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</si>
  <si>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</si>
  <si>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</si>
  <si>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</si>
  <si>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</si>
  <si>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</si>
  <si>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</si>
  <si>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</si>
  <si>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</si>
  <si>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</si>
  <si>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</si>
  <si>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</si>
  <si>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</si>
  <si>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</si>
  <si>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</si>
  <si>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</si>
  <si>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</si>
  <si>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</si>
  <si>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</si>
  <si>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</si>
  <si>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</si>
  <si>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</si>
  <si>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</si>
  <si>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</si>
  <si>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</si>
  <si>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</si>
  <si>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</si>
  <si>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</si>
  <si>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</si>
  <si>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</si>
  <si>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</si>
  <si>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</si>
  <si>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</si>
  <si>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</si>
  <si>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</si>
  <si>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</si>
  <si>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</si>
  <si>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</si>
  <si>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</si>
  <si>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</si>
  <si>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</si>
  <si>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</si>
  <si>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</si>
  <si>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</si>
  <si>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</si>
  <si>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</si>
  <si>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</si>
  <si>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</si>
  <si>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</si>
  <si>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</si>
  <si>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</si>
  <si>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</si>
  <si>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</si>
  <si>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</si>
  <si>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</si>
  <si>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</si>
  <si>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</si>
  <si>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</si>
  <si>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</si>
  <si>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</si>
  <si>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</si>
  <si>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</si>
  <si>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</si>
  <si>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</si>
  <si>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</si>
  <si>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</si>
  <si>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</si>
  <si>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</si>
  <si>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</si>
  <si>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</si>
  <si>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</si>
  <si>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</si>
  <si>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</si>
  <si>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</si>
  <si>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</si>
  <si>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</si>
  <si>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</si>
  <si>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</si>
  <si>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</si>
  <si>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</si>
  <si>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</si>
  <si>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</si>
  <si>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</si>
  <si>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</si>
  <si>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</si>
  <si>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</si>
  <si>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</si>
  <si>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</si>
  <si>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</si>
  <si>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</si>
  <si>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</si>
  <si>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</si>
  <si>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</si>
  <si>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</si>
  <si>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</si>
  <si>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</si>
  <si>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</si>
  <si>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</si>
  <si>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</si>
  <si>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</si>
  <si>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</si>
  <si>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</si>
  <si>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</si>
  <si>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</si>
  <si>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</si>
  <si>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</si>
  <si>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</si>
  <si>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</si>
  <si>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</si>
  <si>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</si>
  <si>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</si>
  <si>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</si>
  <si>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</si>
  <si>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</si>
  <si>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</si>
  <si>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</si>
  <si>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</si>
  <si>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</si>
  <si>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</si>
  <si>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</si>
  <si>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</si>
  <si>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</si>
  <si>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</si>
  <si>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</si>
  <si>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</si>
  <si>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</si>
  <si>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</si>
  <si>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</si>
  <si>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</si>
  <si>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</si>
  <si>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</si>
  <si>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</si>
  <si>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</si>
  <si>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</si>
  <si>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</si>
  <si>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</si>
  <si>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</si>
  <si>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</si>
  <si>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</si>
  <si>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</si>
  <si>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</si>
  <si>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</si>
  <si>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</si>
  <si>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</si>
  <si>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</si>
  <si>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</si>
  <si>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</si>
  <si>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</si>
  <si>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</si>
  <si>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</si>
  <si>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</si>
  <si>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</si>
  <si>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</si>
  <si>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</si>
  <si>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</si>
  <si>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</si>
  <si>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</si>
  <si>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</si>
  <si>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</si>
  <si>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</si>
  <si>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</si>
  <si>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</si>
  <si>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</si>
  <si>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</si>
  <si>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</si>
  <si>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</si>
  <si>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</si>
  <si>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</si>
  <si>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</si>
  <si>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</si>
  <si>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</si>
  <si>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</si>
  <si>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</si>
  <si>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</si>
  <si>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</si>
  <si>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</si>
  <si>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</si>
  <si>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</si>
  <si>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</si>
  <si>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</si>
  <si>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</si>
  <si>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</si>
  <si>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</si>
  <si>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</si>
  <si>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</si>
  <si>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</si>
  <si>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</si>
  <si>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</si>
  <si>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</si>
  <si>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</si>
  <si>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</si>
  <si>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</si>
  <si>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</si>
  <si>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</si>
  <si>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</si>
  <si>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</si>
  <si>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</si>
  <si>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</si>
  <si>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</si>
  <si>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</si>
  <si>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</si>
  <si>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</si>
  <si>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</si>
  <si>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</si>
  <si>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</si>
  <si>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</si>
  <si>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</si>
  <si>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</si>
  <si>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</si>
  <si>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</si>
  <si>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</si>
  <si>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</si>
  <si>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</si>
  <si>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</si>
  <si>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</si>
  <si>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</si>
  <si>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</si>
  <si>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</si>
  <si>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</si>
  <si>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</si>
  <si>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</si>
  <si>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</si>
  <si>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</si>
  <si>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</si>
  <si>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</si>
  <si>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</si>
  <si>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</si>
  <si>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</si>
  <si>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</si>
  <si>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</si>
  <si>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</si>
  <si>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</si>
  <si>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</si>
  <si>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</si>
  <si>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</si>
  <si>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</si>
  <si>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</si>
  <si>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</si>
  <si>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</si>
  <si>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</si>
  <si>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</si>
  <si>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</si>
  <si>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</si>
  <si>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</si>
  <si>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</si>
  <si>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</si>
  <si>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</si>
  <si>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</si>
  <si>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</si>
  <si>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</si>
  <si>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</si>
  <si>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</si>
  <si>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</si>
  <si>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</si>
  <si>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</si>
  <si>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</si>
  <si>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</si>
  <si>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</si>
  <si>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</si>
  <si>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</si>
  <si>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</si>
  <si>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</si>
  <si>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</si>
  <si>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</si>
  <si>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</si>
  <si>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</si>
  <si>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</si>
  <si>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</si>
  <si>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</si>
  <si>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</si>
  <si>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</si>
  <si>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</si>
  <si>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</si>
  <si>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</si>
  <si>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</si>
  <si>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</si>
  <si>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</si>
  <si>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</si>
  <si>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</si>
  <si>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</si>
  <si>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</si>
  <si>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</si>
  <si>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</si>
  <si>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</si>
  <si>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</si>
  <si>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</si>
  <si>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</si>
  <si>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</si>
  <si>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</si>
  <si>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</si>
  <si>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</si>
  <si>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</si>
  <si>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</si>
  <si>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</si>
  <si>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</si>
  <si>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</si>
  <si>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</si>
  <si>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</si>
  <si>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</si>
  <si>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</si>
  <si>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</si>
  <si>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</si>
  <si>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</si>
  <si>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</si>
  <si>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</si>
  <si>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</si>
  <si>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</si>
  <si>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</si>
  <si>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</si>
  <si>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</si>
  <si>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</si>
  <si>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</si>
  <si>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</si>
  <si>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</si>
  <si>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</si>
  <si>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</si>
  <si>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</si>
  <si>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</si>
  <si>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</si>
  <si>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</si>
  <si>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</si>
  <si>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</si>
  <si>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</si>
  <si>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</si>
  <si>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</si>
  <si>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</si>
  <si>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</si>
  <si>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</si>
  <si>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</si>
  <si>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</si>
  <si>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</si>
  <si>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</si>
  <si>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</si>
  <si>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</si>
  <si>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</si>
  <si>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</si>
  <si>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</si>
  <si>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</si>
  <si>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</si>
  <si>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</si>
  <si>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</si>
  <si>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</si>
  <si>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</si>
  <si>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</si>
  <si>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</si>
  <si>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</si>
  <si>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</si>
  <si>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</si>
  <si>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</si>
  <si>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</si>
  <si>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</si>
  <si>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</si>
  <si>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</si>
  <si>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</si>
  <si>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</si>
  <si>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</si>
  <si>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</si>
  <si>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</si>
  <si>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</si>
  <si>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</si>
  <si>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</si>
  <si>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</si>
  <si>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</si>
  <si>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</si>
  <si>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</si>
  <si>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</si>
  <si>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</si>
  <si>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</si>
  <si>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</si>
  <si>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</si>
  <si>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</si>
  <si>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</si>
  <si>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</si>
  <si>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</si>
  <si>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</si>
  <si>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</si>
  <si>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</si>
  <si>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</si>
  <si>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</si>
  <si>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</si>
  <si>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</si>
  <si>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</si>
  <si>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</si>
  <si>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</si>
  <si>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</si>
  <si>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</si>
  <si>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</si>
  <si>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</si>
  <si>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</si>
  <si>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</si>
  <si>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</si>
  <si>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</si>
  <si>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</si>
  <si>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</si>
  <si>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</si>
  <si>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</si>
  <si>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</si>
  <si>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</si>
  <si>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</si>
  <si>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</si>
  <si>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</si>
  <si>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</si>
  <si>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</si>
  <si>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</si>
  <si>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</si>
  <si>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</si>
  <si>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</si>
  <si>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</si>
  <si>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</si>
  <si>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</si>
  <si>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</si>
  <si>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</si>
  <si>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</si>
  <si>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</si>
  <si>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</si>
  <si>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</si>
  <si>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</si>
  <si>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</si>
  <si>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</si>
  <si>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</si>
  <si>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</si>
  <si>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</si>
  <si>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</si>
  <si>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</si>
  <si>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</si>
  <si>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</si>
  <si>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</si>
  <si>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</si>
  <si>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</si>
  <si>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</si>
  <si>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</si>
  <si>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</si>
  <si>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</si>
  <si>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</si>
  <si>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</si>
  <si>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</si>
  <si>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</si>
  <si>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</si>
  <si>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</si>
  <si>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</si>
  <si>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</si>
  <si>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</si>
  <si>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</si>
  <si>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</si>
  <si>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</si>
  <si>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</si>
  <si>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</si>
  <si>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</si>
  <si>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</si>
  <si>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</si>
  <si>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</si>
  <si>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</si>
  <si>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</si>
  <si>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</si>
  <si>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</si>
  <si>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</si>
  <si>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</si>
  <si>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</si>
  <si>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</si>
  <si>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</si>
  <si>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</si>
  <si>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</si>
  <si>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</si>
  <si>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</si>
  <si>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</si>
  <si>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</si>
  <si>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</si>
  <si>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</si>
  <si>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</si>
  <si>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</si>
  <si>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</si>
  <si>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</si>
  <si>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</si>
  <si>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</si>
  <si>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</si>
  <si>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</si>
  <si>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</si>
  <si>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</si>
  <si>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</si>
  <si>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</si>
  <si>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</si>
  <si>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</si>
  <si>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</si>
  <si>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</si>
  <si>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</si>
  <si>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</si>
  <si>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</si>
  <si>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</si>
  <si>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</si>
  <si>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</si>
  <si>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</si>
  <si>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</si>
  <si>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</si>
  <si>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</si>
  <si>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</si>
  <si>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</si>
  <si>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</si>
  <si>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</si>
  <si>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</si>
  <si>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</si>
  <si>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</si>
  <si>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</si>
  <si>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</si>
  <si>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</si>
  <si>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</si>
  <si>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</si>
  <si>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</si>
  <si>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</si>
  <si>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</si>
  <si>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</si>
  <si>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</si>
  <si>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</si>
  <si>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</si>
  <si>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</si>
  <si>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</si>
  <si>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</si>
  <si>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</si>
  <si>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</si>
  <si>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</si>
  <si>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</si>
  <si>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</si>
  <si>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</si>
  <si>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</si>
  <si>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</si>
  <si>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</si>
  <si>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</si>
  <si>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</si>
  <si>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</si>
  <si>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</si>
  <si>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</si>
  <si>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</si>
  <si>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</si>
  <si>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</si>
  <si>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</si>
  <si>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</si>
  <si>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</si>
  <si>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</si>
  <si>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</si>
  <si>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</si>
  <si>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</si>
  <si>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</si>
  <si>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</si>
  <si>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</si>
  <si>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</si>
  <si>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</si>
  <si>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</si>
  <si>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</si>
  <si>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</si>
  <si>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</si>
  <si>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</si>
  <si>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</si>
  <si>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</si>
  <si>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</si>
  <si>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</si>
  <si>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</si>
  <si>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</si>
  <si>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</si>
  <si>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</si>
  <si>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</si>
  <si>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</si>
  <si>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</si>
  <si>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</si>
  <si>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</si>
  <si>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</si>
  <si>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</si>
  <si>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</si>
  <si>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</si>
  <si>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</si>
  <si>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</si>
  <si>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</si>
  <si>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</si>
  <si>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</si>
  <si>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</si>
  <si>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</si>
  <si>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</si>
  <si>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</si>
  <si>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</si>
  <si>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</si>
  <si>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</si>
  <si>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</si>
  <si>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</si>
  <si>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</si>
  <si>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</si>
  <si>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</si>
  <si>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</si>
  <si>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</si>
  <si>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</si>
  <si>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</si>
  <si>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</si>
  <si>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</si>
  <si>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</si>
  <si>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</si>
  <si>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</si>
  <si>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</si>
  <si>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</si>
  <si>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</si>
  <si>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</si>
  <si>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</si>
  <si>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</si>
  <si>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</si>
  <si>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</si>
  <si>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</si>
  <si>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</si>
  <si>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</si>
  <si>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</si>
  <si>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</si>
  <si>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</si>
  <si>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</si>
  <si>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</si>
  <si>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</si>
  <si>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</si>
  <si>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</si>
  <si>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</si>
  <si>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</si>
  <si>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</si>
  <si>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</si>
  <si>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</si>
  <si>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</si>
  <si>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</si>
  <si>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</si>
  <si>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</si>
  <si>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</si>
  <si>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</si>
  <si>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</si>
  <si>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</si>
  <si>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</si>
  <si>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</si>
  <si>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</si>
  <si>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</si>
  <si>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</si>
  <si>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</si>
  <si>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</si>
  <si>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</si>
  <si>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</si>
  <si>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</si>
  <si>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</si>
  <si>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</si>
  <si>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</si>
  <si>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</si>
  <si>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</si>
  <si>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</si>
  <si>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</si>
  <si>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</si>
  <si>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</si>
  <si>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</si>
  <si>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</si>
  <si>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</si>
  <si>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</si>
  <si>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</si>
  <si>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</si>
  <si>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</si>
  <si>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</si>
  <si>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</si>
  <si>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</si>
  <si>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</si>
  <si>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</si>
  <si>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</si>
  <si>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</si>
  <si>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</si>
  <si>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</si>
  <si>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</si>
  <si>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</si>
  <si>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</si>
  <si>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</si>
  <si>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</si>
  <si>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</si>
  <si>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</si>
  <si>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</si>
  <si>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</si>
  <si>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</si>
  <si>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</si>
  <si>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</si>
  <si>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</si>
  <si>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</si>
  <si>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</si>
  <si>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</si>
  <si>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</si>
  <si>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</si>
  <si>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</si>
  <si>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</si>
  <si>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</si>
  <si>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</si>
  <si>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</si>
  <si>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</si>
  <si>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</si>
  <si>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</si>
  <si>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</si>
  <si>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</si>
  <si>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</si>
  <si>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</si>
  <si>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</si>
  <si>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</si>
  <si>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</si>
  <si>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</si>
  <si>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</si>
  <si>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</si>
  <si>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</si>
  <si>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</si>
  <si>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</si>
  <si>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</si>
  <si>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</si>
  <si>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</si>
  <si>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</si>
  <si>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</si>
  <si>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</si>
  <si>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</si>
  <si>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</si>
  <si>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</si>
  <si>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</si>
  <si>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</si>
  <si>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</si>
  <si>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</si>
  <si>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</si>
  <si>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</si>
  <si>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</si>
  <si>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</si>
  <si>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</si>
  <si>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</si>
  <si>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</si>
  <si>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</si>
  <si>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</si>
  <si>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</si>
  <si>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</si>
  <si>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</si>
  <si>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</si>
  <si>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</si>
  <si>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</si>
  <si>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</si>
  <si>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</si>
  <si>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</si>
  <si>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</si>
  <si>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</si>
  <si>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</si>
  <si>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</si>
  <si>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</si>
  <si>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</si>
  <si>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</si>
  <si>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</si>
  <si>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</si>
  <si>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</si>
  <si>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</si>
  <si>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</si>
  <si>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</si>
  <si>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</si>
  <si>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</si>
  <si>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</si>
  <si>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</si>
  <si>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</si>
  <si>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</si>
  <si>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</si>
  <si>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</si>
  <si>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</si>
  <si>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</si>
  <si>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</si>
  <si>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</si>
  <si>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</si>
  <si>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</si>
  <si>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</si>
  <si>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</si>
  <si>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</si>
  <si>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</si>
  <si>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</si>
  <si>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</si>
  <si>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</si>
  <si>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</si>
  <si>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</si>
  <si>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</si>
  <si>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</si>
  <si>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</si>
  <si>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</si>
  <si>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</si>
  <si>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</si>
  <si>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</si>
  <si>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</si>
  <si>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</si>
  <si>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</si>
  <si>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</si>
  <si>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</si>
  <si>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</si>
  <si>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</si>
  <si>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</si>
  <si>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</si>
  <si>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</si>
  <si>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</si>
  <si>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</si>
  <si>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</si>
  <si>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</si>
  <si>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</si>
  <si>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</si>
  <si>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</si>
  <si>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</si>
  <si>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</si>
  <si>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</si>
  <si>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</si>
  <si>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</si>
  <si>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</si>
  <si>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</si>
  <si>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</si>
  <si>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</si>
  <si>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</si>
  <si>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</si>
  <si>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</si>
  <si>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</si>
  <si>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</si>
  <si>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</si>
  <si>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</si>
  <si>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</si>
  <si>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</si>
  <si>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</si>
  <si>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</si>
  <si>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</si>
  <si>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</si>
  <si>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</si>
  <si>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</si>
  <si>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</si>
  <si>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</si>
  <si>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</si>
  <si>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</si>
  <si>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</si>
  <si>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</si>
  <si>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</si>
  <si>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</si>
  <si>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</si>
  <si>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</si>
  <si>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</si>
  <si>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</si>
  <si>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</si>
  <si>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</si>
  <si>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</si>
  <si>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</si>
  <si>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</si>
  <si>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</si>
  <si>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</si>
  <si>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</si>
  <si>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</si>
  <si>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</si>
  <si>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</si>
  <si>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</si>
  <si>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</si>
  <si>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</si>
  <si>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</si>
  <si>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</si>
  <si>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</si>
  <si>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</si>
  <si>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</si>
  <si>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</si>
  <si>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</si>
  <si>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</si>
  <si>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</si>
  <si>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</si>
  <si>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</si>
  <si>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</si>
  <si>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</si>
  <si>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</si>
  <si>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</si>
  <si>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</si>
  <si>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</si>
  <si>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</si>
  <si>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</si>
  <si>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</si>
  <si>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</si>
  <si>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</si>
  <si>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</si>
  <si>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</si>
  <si>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</si>
  <si>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</si>
  <si>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</si>
  <si>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</si>
  <si>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</si>
  <si>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</si>
  <si>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</si>
  <si>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</si>
  <si>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</si>
  <si>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</si>
  <si>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</si>
  <si>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</si>
  <si>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</si>
  <si>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</si>
  <si>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</si>
  <si>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</si>
  <si>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</si>
  <si>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</si>
  <si>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</si>
  <si>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</si>
  <si>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</si>
  <si>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</si>
  <si>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</si>
  <si>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</si>
  <si>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</si>
  <si>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</si>
  <si>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</si>
  <si>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</si>
  <si>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</si>
  <si>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</si>
  <si>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</si>
  <si>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</si>
  <si>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</si>
  <si>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</si>
  <si>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</si>
  <si>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</si>
  <si>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</si>
  <si>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</si>
  <si>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</si>
  <si>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</si>
  <si>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</si>
  <si>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</si>
  <si>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</si>
  <si>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</si>
  <si>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</si>
  <si>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</si>
  <si>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</si>
  <si>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</si>
  <si>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</si>
  <si>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</si>
  <si>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</si>
  <si>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</si>
  <si>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</si>
  <si>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</si>
  <si>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</si>
  <si>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</si>
  <si>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</si>
  <si>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</si>
  <si>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</si>
  <si>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</si>
  <si>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</si>
  <si>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</si>
  <si>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</si>
  <si>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</si>
  <si>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</si>
  <si>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</si>
  <si>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</si>
  <si>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</si>
  <si>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</si>
  <si>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</si>
  <si>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</si>
  <si>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</si>
  <si>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</si>
  <si>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</si>
  <si>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</si>
  <si>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</si>
  <si>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</si>
  <si>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</si>
  <si>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</si>
  <si>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</si>
  <si>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</si>
  <si>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</si>
  <si>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</si>
  <si>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</si>
  <si>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</si>
  <si>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</si>
  <si>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</si>
  <si>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</si>
  <si>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</si>
  <si>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</si>
  <si>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</si>
  <si>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</si>
  <si>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</si>
  <si>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</si>
  <si>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</si>
  <si>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</si>
  <si>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</si>
  <si>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</si>
  <si>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</si>
  <si>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</si>
  <si>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</si>
  <si>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</si>
  <si>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</si>
  <si>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</si>
  <si>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</si>
  <si>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</si>
  <si>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</si>
  <si>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</si>
  <si>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</si>
  <si>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</si>
  <si>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</si>
  <si>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</si>
  <si>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</si>
  <si>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</si>
  <si>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</si>
  <si>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</si>
  <si>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</si>
  <si>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</si>
  <si>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</si>
  <si>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</si>
  <si>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</si>
  <si>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</si>
  <si>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</si>
  <si>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</si>
  <si>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</si>
  <si>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</si>
  <si>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</si>
  <si>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</si>
  <si>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</si>
  <si>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</si>
  <si>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</si>
  <si>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</si>
  <si>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</si>
  <si>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</si>
  <si>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</si>
  <si>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</si>
  <si>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</si>
  <si>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</si>
  <si>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</si>
  <si>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</si>
  <si>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</si>
  <si>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</si>
  <si>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</si>
  <si>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</si>
  <si>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</si>
  <si>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</si>
  <si>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</si>
  <si>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</si>
  <si>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</si>
  <si>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</si>
  <si>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</si>
  <si>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</si>
  <si>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</si>
  <si>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</si>
  <si>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</si>
  <si>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</si>
  <si>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</si>
  <si>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</si>
  <si>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</si>
  <si>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</si>
  <si>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</si>
  <si>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</si>
  <si>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</si>
  <si>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</si>
  <si>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</si>
  <si>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</si>
  <si>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</si>
  <si>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</si>
  <si>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</si>
  <si>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</si>
  <si>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</si>
  <si>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</si>
  <si>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</si>
  <si>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</si>
  <si>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</si>
  <si>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</si>
  <si>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</si>
  <si>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</si>
  <si>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</si>
  <si>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</si>
  <si>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</si>
  <si>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</si>
  <si>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</si>
  <si>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</si>
  <si>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</si>
  <si>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</si>
  <si>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</si>
  <si>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</si>
  <si>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</si>
  <si>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</si>
  <si>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</si>
  <si>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</si>
  <si>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</si>
  <si>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</si>
  <si>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</si>
  <si>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</si>
  <si>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</si>
  <si>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</si>
  <si>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</si>
  <si>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</si>
  <si>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</si>
  <si>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</si>
  <si>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</si>
  <si>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</si>
  <si>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</si>
  <si>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</si>
  <si>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</si>
  <si>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</si>
  <si>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</si>
  <si>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</si>
  <si>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</si>
  <si>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</si>
  <si>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</si>
  <si>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</si>
  <si>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</si>
  <si>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</si>
  <si>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</si>
  <si>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</si>
  <si>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</si>
  <si>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</si>
  <si>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</si>
  <si>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</si>
  <si>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</si>
  <si>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</si>
  <si>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</si>
  <si>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</si>
  <si>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</si>
  <si>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</si>
  <si>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</si>
  <si>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</si>
  <si>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</si>
  <si>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</si>
  <si>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</si>
  <si>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</si>
  <si>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</si>
  <si>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</si>
  <si>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</si>
  <si>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</si>
  <si>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</si>
  <si>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</si>
  <si>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</si>
  <si>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</si>
  <si>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</si>
  <si>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</si>
  <si>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</si>
  <si>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</si>
  <si>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</si>
  <si>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</si>
  <si>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</si>
  <si>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</si>
  <si>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</si>
  <si>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</si>
  <si>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</si>
  <si>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</si>
  <si>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</si>
  <si>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</si>
  <si>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</si>
  <si>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</si>
  <si>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</si>
  <si>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</si>
  <si>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</si>
  <si>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</si>
  <si>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</si>
  <si>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</si>
  <si>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</si>
  <si>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</si>
  <si>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</si>
  <si>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</si>
  <si>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</si>
  <si>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</si>
  <si>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</si>
  <si>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</si>
  <si>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</si>
  <si>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</si>
  <si>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</si>
  <si>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</si>
  <si>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</si>
  <si>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</si>
  <si>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</si>
  <si>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</si>
  <si>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</si>
  <si>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</si>
  <si>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</si>
  <si>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</si>
  <si>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</si>
  <si>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</si>
  <si>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</si>
  <si>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</si>
  <si>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</si>
  <si>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</si>
  <si>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</si>
  <si>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</si>
  <si>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</si>
  <si>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</si>
  <si>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</si>
  <si>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</si>
  <si>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</si>
  <si>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</si>
  <si>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</si>
  <si>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</si>
  <si>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</si>
  <si>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</si>
  <si>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</si>
  <si>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</si>
  <si>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</si>
  <si>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</si>
  <si>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</si>
  <si>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</si>
  <si>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</si>
  <si>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</si>
  <si>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</si>
  <si>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</si>
  <si>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</si>
  <si>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</si>
  <si>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</si>
  <si>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</si>
  <si>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</si>
  <si>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</si>
  <si>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</si>
  <si>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</si>
  <si>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</si>
  <si>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</si>
  <si>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</si>
  <si>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</si>
  <si>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</si>
  <si>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</si>
  <si>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</si>
  <si>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</si>
  <si>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</si>
  <si>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</si>
  <si>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</si>
  <si>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</si>
  <si>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</si>
  <si>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</si>
  <si>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</si>
  <si>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</si>
  <si>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</si>
  <si>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</si>
  <si>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</si>
  <si>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</si>
  <si>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</si>
  <si>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</si>
  <si>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</si>
  <si>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</si>
  <si>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</si>
  <si>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</si>
  <si>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</si>
  <si>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</si>
  <si>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</si>
  <si>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</si>
  <si>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</si>
  <si>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</si>
  <si>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</si>
  <si>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</si>
  <si>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</si>
  <si>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</si>
  <si>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</si>
  <si>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</si>
  <si>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</si>
  <si>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</si>
  <si>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</si>
  <si>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</si>
  <si>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</si>
  <si>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</si>
  <si>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</si>
  <si>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</si>
  <si>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</si>
  <si>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</si>
  <si>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</si>
  <si>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</si>
  <si>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</si>
  <si>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</si>
  <si>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</si>
  <si>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</si>
  <si>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</si>
  <si>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</si>
  <si>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</si>
  <si>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</si>
  <si>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</si>
  <si>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</si>
  <si>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</si>
  <si>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</si>
  <si>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</si>
  <si>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</si>
  <si>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</si>
  <si>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</si>
  <si>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</si>
  <si>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</si>
  <si>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</si>
  <si>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</si>
  <si>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</si>
  <si>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</si>
  <si>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</si>
  <si>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</si>
  <si>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</si>
  <si>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</si>
  <si>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</si>
  <si>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</si>
  <si>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</si>
  <si>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</si>
  <si>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</si>
  <si>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</si>
  <si>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</si>
  <si>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</si>
  <si>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</si>
  <si>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</si>
  <si>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</si>
  <si>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</si>
  <si>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</si>
  <si>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</si>
  <si>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</si>
  <si>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</si>
  <si>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</si>
  <si>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</si>
  <si>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</si>
  <si>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</si>
  <si>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</si>
  <si>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</si>
  <si>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</si>
  <si>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</si>
  <si>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</si>
  <si>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</si>
  <si>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</si>
  <si>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</si>
  <si>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</si>
  <si>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</si>
  <si>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</si>
  <si>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</si>
  <si>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</si>
  <si>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</si>
  <si>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</si>
  <si>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</si>
  <si>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</si>
  <si>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</si>
  <si>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</si>
  <si>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</si>
  <si>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</si>
  <si>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</si>
  <si>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</si>
  <si>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</si>
  <si>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</si>
  <si>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</si>
  <si>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</si>
  <si>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</si>
  <si>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</si>
  <si>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</si>
  <si>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</si>
  <si>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</si>
  <si>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</si>
  <si>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</si>
  <si>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</si>
  <si>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</si>
  <si>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</si>
  <si>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</si>
  <si>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</si>
  <si>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</si>
  <si>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</si>
  <si>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</si>
  <si>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</si>
  <si>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</si>
  <si>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</si>
  <si>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</si>
  <si>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</si>
  <si>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</si>
  <si>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</si>
  <si>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</si>
  <si>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</si>
  <si>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</si>
  <si>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</si>
  <si>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</si>
  <si>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</si>
  <si>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</si>
  <si>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</si>
  <si>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</si>
  <si>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</si>
  <si>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</si>
  <si>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</si>
  <si>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</si>
  <si>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</si>
  <si>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</si>
  <si>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</si>
  <si>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</si>
  <si>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</si>
  <si>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</si>
  <si>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</si>
  <si>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</si>
  <si>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</si>
  <si>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</si>
  <si>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</si>
  <si>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</si>
  <si>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</si>
  <si>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</si>
  <si>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</si>
  <si>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</si>
  <si>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</si>
  <si>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</si>
  <si>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</si>
  <si>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</si>
  <si>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</si>
  <si>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</si>
  <si>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</si>
  <si>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</si>
  <si>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</si>
  <si>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</si>
  <si>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</si>
  <si>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</si>
  <si>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</si>
  <si>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</si>
  <si>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</si>
  <si>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</si>
  <si>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</si>
  <si>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</si>
  <si>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</si>
  <si>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</si>
  <si>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</si>
  <si>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</si>
  <si>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</si>
  <si>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</si>
  <si>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</si>
  <si>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</si>
  <si>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</si>
  <si>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</si>
  <si>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</si>
  <si>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</si>
  <si>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</si>
  <si>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</si>
  <si>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</si>
  <si>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</si>
  <si>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</si>
  <si>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</si>
  <si>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</si>
  <si>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</si>
  <si>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</si>
  <si>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</si>
  <si>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</si>
  <si>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</si>
  <si>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</si>
  <si>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</si>
  <si>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</si>
  <si>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</si>
  <si>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</si>
  <si>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</si>
  <si>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</si>
  <si>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</si>
  <si>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</si>
  <si>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</si>
  <si>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</si>
  <si>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</si>
  <si>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</si>
  <si>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</si>
  <si>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</si>
  <si>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</si>
  <si>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</si>
  <si>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</si>
  <si>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</si>
  <si>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</si>
  <si>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</si>
  <si>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</si>
  <si>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</si>
  <si>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</si>
  <si>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</si>
  <si>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</si>
  <si>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</si>
  <si>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</si>
  <si>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</si>
  <si>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</si>
  <si>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</si>
  <si>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</si>
  <si>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</si>
  <si>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</si>
  <si>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</si>
  <si>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</si>
  <si>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</si>
  <si>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</si>
  <si>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</si>
  <si>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</si>
  <si>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</si>
  <si>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</si>
  <si>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</si>
  <si>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</si>
  <si>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</si>
  <si>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</si>
  <si>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</si>
  <si>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</si>
  <si>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</si>
  <si>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</si>
  <si>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</si>
  <si>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</si>
  <si>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</si>
  <si>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</si>
  <si>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</si>
  <si>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</si>
  <si>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</si>
  <si>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</si>
  <si>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</si>
  <si>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</si>
  <si>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</si>
  <si>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</si>
  <si>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</si>
  <si>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</si>
  <si>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</si>
  <si>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</si>
  <si>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</si>
  <si>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</si>
  <si>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</si>
  <si>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</si>
  <si>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</si>
  <si>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</si>
  <si>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</si>
  <si>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</si>
  <si>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</si>
  <si>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</si>
  <si>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</si>
  <si>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</si>
  <si>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</si>
  <si>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</si>
  <si>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</si>
  <si>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</si>
  <si>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</si>
  <si>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</si>
  <si>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</si>
  <si>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</si>
  <si>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</si>
  <si>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</si>
  <si>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</si>
  <si>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</si>
  <si>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</si>
  <si>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</si>
  <si>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</si>
  <si>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</si>
  <si>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</si>
  <si>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</si>
  <si>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</si>
  <si>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</si>
  <si>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</si>
  <si>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</si>
  <si>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</si>
  <si>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</si>
  <si>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</si>
  <si>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</si>
  <si>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</si>
  <si>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</si>
  <si>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</si>
  <si>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</si>
  <si>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</si>
  <si>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</si>
  <si>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</si>
  <si>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</si>
  <si>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</si>
  <si>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</si>
  <si>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</si>
  <si>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</si>
  <si>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</si>
  <si>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</si>
  <si>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</si>
  <si>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</si>
  <si>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</si>
  <si>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</si>
  <si>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</si>
  <si>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</si>
  <si>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</si>
  <si>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</si>
  <si>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</si>
  <si>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</si>
  <si>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</si>
  <si>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</si>
  <si>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</si>
  <si>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</si>
  <si>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</si>
  <si>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</si>
  <si>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</si>
  <si>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</si>
  <si>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</si>
  <si>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</si>
  <si>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</si>
  <si>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</si>
  <si>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</si>
  <si>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</si>
  <si>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</si>
  <si>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</si>
  <si>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</si>
  <si>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</si>
  <si>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</si>
  <si>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</si>
  <si>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</si>
  <si>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</si>
  <si>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</si>
  <si>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</si>
  <si>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</si>
  <si>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</si>
  <si>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</si>
  <si>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</si>
  <si>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</si>
  <si>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</si>
  <si>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</si>
  <si>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</si>
  <si>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</si>
  <si>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</si>
  <si>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</si>
  <si>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</si>
  <si>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</si>
  <si>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</si>
  <si>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</si>
  <si>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</si>
  <si>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</si>
  <si>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</si>
  <si>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</si>
  <si>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</si>
  <si>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</si>
  <si>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</si>
  <si>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</si>
  <si>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</si>
  <si>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</si>
  <si>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</si>
  <si>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</si>
  <si>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</si>
  <si>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</si>
  <si>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</si>
  <si>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</si>
  <si>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</si>
  <si>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</si>
  <si>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</si>
  <si>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</si>
  <si>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</si>
  <si>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</si>
  <si>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</si>
  <si>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</si>
  <si>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</si>
  <si>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</si>
  <si>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</si>
  <si>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</si>
  <si>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</si>
  <si>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</si>
  <si>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</si>
  <si>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</si>
  <si>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</si>
  <si>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</si>
  <si>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</si>
  <si>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</si>
  <si>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</si>
  <si>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</si>
  <si>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</si>
  <si>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</si>
  <si>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</si>
  <si>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</si>
  <si>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</si>
  <si>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</si>
  <si>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</si>
  <si>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</si>
  <si>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</si>
  <si>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</si>
  <si>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</si>
  <si>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</si>
  <si>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</si>
  <si>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</si>
  <si>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</si>
  <si>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</si>
  <si>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</si>
  <si>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</si>
  <si>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</si>
  <si>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</si>
  <si>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</si>
  <si>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</si>
  <si>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</si>
  <si>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</si>
  <si>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</si>
  <si>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</si>
  <si>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</si>
  <si>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</si>
  <si>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</si>
  <si>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</si>
  <si>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</si>
  <si>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</si>
  <si>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</si>
  <si>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</si>
  <si>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</si>
  <si>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</si>
  <si>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</si>
  <si>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</si>
  <si>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</si>
  <si>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</si>
  <si>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</si>
  <si>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</si>
  <si>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</si>
  <si>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</si>
  <si>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</si>
  <si>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</si>
  <si>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</si>
  <si>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</si>
  <si>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</si>
  <si>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</si>
  <si>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</si>
  <si>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</si>
  <si>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</si>
  <si>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</si>
  <si>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</si>
  <si>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</si>
  <si>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</si>
  <si>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</si>
  <si>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</si>
  <si>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</si>
  <si>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</si>
  <si>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</si>
  <si>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</si>
  <si>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</si>
  <si>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</si>
  <si>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</si>
  <si>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</si>
  <si>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</si>
  <si>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</si>
  <si>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</si>
  <si>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</si>
  <si>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</si>
  <si>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</si>
  <si>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</si>
  <si>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</si>
  <si>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</si>
  <si>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</si>
  <si>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</si>
  <si>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</si>
  <si>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</si>
  <si>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</si>
  <si>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</si>
  <si>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</si>
  <si>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</si>
  <si>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</si>
  <si>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</si>
  <si>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</si>
  <si>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</si>
  <si>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</si>
  <si>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</si>
  <si>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</si>
  <si>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</si>
  <si>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</si>
  <si>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</si>
  <si>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</si>
  <si>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</si>
  <si>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</si>
  <si>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</si>
  <si>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</si>
  <si>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</si>
  <si>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</si>
  <si>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</si>
  <si>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</si>
  <si>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</si>
  <si>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</si>
  <si>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</si>
  <si>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</si>
  <si>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</si>
  <si>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</si>
  <si>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</si>
  <si>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</si>
  <si>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</si>
  <si>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</si>
  <si>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</si>
  <si>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</si>
  <si>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</si>
  <si>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</si>
  <si>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</si>
  <si>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</si>
  <si>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</si>
  <si>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</si>
  <si>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</si>
  <si>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</si>
  <si>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</si>
  <si>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</si>
  <si>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</si>
  <si>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</si>
  <si>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</si>
  <si>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</si>
  <si>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</si>
  <si>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</si>
  <si>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</si>
  <si>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</si>
  <si>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</si>
  <si>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</si>
  <si>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</si>
  <si>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</si>
  <si>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</si>
  <si>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</si>
  <si>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</si>
  <si>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</si>
  <si>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</si>
  <si>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</si>
  <si>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</si>
  <si>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</si>
  <si>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</si>
  <si>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</si>
  <si>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</si>
  <si>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</si>
  <si>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</si>
  <si>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</si>
  <si>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</si>
  <si>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</si>
  <si>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</si>
  <si>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</si>
  <si>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</si>
  <si>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</si>
  <si>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</si>
  <si>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</si>
  <si>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</si>
  <si>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</si>
  <si>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</si>
  <si>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</si>
  <si>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</si>
  <si>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</si>
  <si>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</si>
  <si>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</si>
  <si>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</si>
  <si>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</si>
  <si>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</si>
  <si>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</si>
  <si>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</si>
  <si>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</si>
  <si>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</si>
  <si>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</si>
  <si>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</si>
  <si>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</si>
  <si>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</si>
  <si>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</si>
  <si>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</si>
  <si>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</si>
  <si>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</si>
  <si>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</si>
  <si>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</si>
  <si>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</si>
  <si>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</si>
  <si>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</si>
  <si>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</si>
  <si>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</si>
  <si>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</si>
  <si>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</si>
  <si>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</si>
  <si>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</si>
  <si>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</si>
  <si>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</si>
  <si>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</si>
  <si>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</si>
  <si>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</si>
  <si>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</si>
  <si>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</si>
  <si>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</si>
  <si>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</si>
  <si>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</si>
  <si>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</si>
  <si>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</si>
  <si>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</si>
  <si>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</si>
  <si>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</si>
  <si>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</si>
  <si>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</si>
  <si>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</si>
  <si>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</si>
  <si>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</si>
  <si>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</si>
  <si>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</si>
  <si>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</si>
  <si>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</si>
  <si>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</si>
  <si>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</si>
  <si>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</si>
  <si>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</si>
  <si>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</si>
  <si>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</si>
  <si>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</si>
  <si>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</si>
  <si>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</si>
  <si>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</si>
  <si>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</si>
  <si>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</si>
  <si>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</si>
  <si>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</si>
  <si>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</si>
  <si>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</si>
  <si>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</si>
  <si>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</si>
  <si>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</si>
  <si>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</si>
  <si>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</si>
  <si>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</si>
  <si>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</si>
  <si>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</si>
  <si>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</si>
  <si>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</si>
  <si>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</si>
  <si>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</si>
  <si>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</si>
  <si>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</si>
  <si>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</si>
  <si>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</si>
  <si>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</si>
  <si>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</si>
  <si>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</si>
  <si>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</si>
  <si>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</si>
  <si>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</si>
  <si>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</si>
  <si>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</si>
  <si>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</si>
  <si>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</si>
  <si>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</si>
  <si>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</si>
  <si>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</si>
  <si>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</si>
  <si>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</si>
  <si>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</si>
  <si>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</si>
  <si>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</si>
  <si>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</si>
  <si>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</si>
  <si>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</si>
  <si>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</si>
  <si>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</si>
  <si>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</si>
  <si>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</si>
  <si>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</si>
  <si>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</si>
  <si>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</si>
  <si>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</si>
  <si>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</si>
  <si>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</si>
  <si>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</si>
  <si>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</si>
  <si>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</si>
  <si>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</si>
  <si>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</si>
  <si>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</si>
  <si>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</si>
  <si>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</si>
  <si>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Eden Housing, Inc. </t>
  </si>
  <si>
    <t>Mitchell Park Place</t>
  </si>
  <si>
    <t xml:space="preserve">City of Palo Alto </t>
  </si>
  <si>
    <t>Ed Shikada</t>
  </si>
  <si>
    <t xml:space="preserve">250 Hamilton Avenue, 7th Floor </t>
  </si>
  <si>
    <t xml:space="preserve">Palo Alto </t>
  </si>
  <si>
    <t>650-329-2392</t>
  </si>
  <si>
    <t>650-329-2154</t>
  </si>
  <si>
    <t>CityMgr@cityofpaloalto.org</t>
  </si>
  <si>
    <t>525 E Charleston Road</t>
  </si>
  <si>
    <t>132-06-039</t>
  </si>
  <si>
    <t>40%/60%</t>
  </si>
  <si>
    <t xml:space="preserve">22645 Grand Street </t>
  </si>
  <si>
    <t>Hayward</t>
  </si>
  <si>
    <t>CA</t>
  </si>
  <si>
    <t>Andrea Osgood</t>
  </si>
  <si>
    <t>510-247-8103</t>
  </si>
  <si>
    <t>aosgood@edenhousing.org</t>
  </si>
  <si>
    <t>Eden Mitchell Park LLC (an affiliate of Eden Housing, Inc.)</t>
  </si>
  <si>
    <t>Managing GP</t>
  </si>
  <si>
    <t xml:space="preserve">N/A </t>
  </si>
  <si>
    <t>Kate Blessing-Kawamura</t>
  </si>
  <si>
    <t>510-329-5102</t>
  </si>
  <si>
    <t>kate.blessing-kawamura@edenhousing.org</t>
  </si>
  <si>
    <t xml:space="preserve">Associate Director of Real Estate Development </t>
  </si>
  <si>
    <t>Haywrad, CA 94541</t>
  </si>
  <si>
    <t xml:space="preserve">Kate Blessing-Kawamura </t>
  </si>
  <si>
    <t>510-582-0122</t>
  </si>
  <si>
    <t>Gubb &amp; Barshay LLP</t>
  </si>
  <si>
    <t>505 14th St Ste 450</t>
  </si>
  <si>
    <t>Oakland, CA 94612</t>
  </si>
  <si>
    <t>Evan Gross</t>
  </si>
  <si>
    <t>415-672-4053</t>
  </si>
  <si>
    <t>415-781-6967</t>
  </si>
  <si>
    <t>egross@gubbandbarshay.org</t>
  </si>
  <si>
    <t>Architects FORA</t>
  </si>
  <si>
    <t>650 Castro Street, Suite 120 PMB 490</t>
  </si>
  <si>
    <t>Mountain View, CA 94041</t>
  </si>
  <si>
    <t>Kate Conley</t>
  </si>
  <si>
    <t>408-295-2210</t>
  </si>
  <si>
    <t>kate@architectsfora.com</t>
  </si>
  <si>
    <t>L&amp;D Construction Co., Inc.</t>
  </si>
  <si>
    <t>255 W. Julian St., Suite 200</t>
  </si>
  <si>
    <t>San Jose, CA 95110-2406</t>
  </si>
  <si>
    <t>Michael Lodoen</t>
  </si>
  <si>
    <t>408-292-0128</t>
  </si>
  <si>
    <t>408-993-1511</t>
  </si>
  <si>
    <t>michael_lodoen@landd.com</t>
  </si>
  <si>
    <t>Alter Consulting Engineers</t>
  </si>
  <si>
    <t>1624 Franklin St #1300</t>
  </si>
  <si>
    <t>Stefan Gracik, PE, CPHC</t>
  </si>
  <si>
    <t xml:space="preserve">510-474-0379 </t>
  </si>
  <si>
    <t>stefan@alterengineers.com</t>
  </si>
  <si>
    <t>CohnReznick LLP</t>
  </si>
  <si>
    <t>400 Capitol Mall, Suite #1200</t>
  </si>
  <si>
    <t>Sacramento, CA 95814</t>
  </si>
  <si>
    <t>Laura Wilder</t>
  </si>
  <si>
    <t>916-930-5732</t>
  </si>
  <si>
    <t>laura.wilder@cohnreznick.com</t>
  </si>
  <si>
    <t>TBD</t>
  </si>
  <si>
    <t>Community Economics, Inc.</t>
  </si>
  <si>
    <t>538 9th Street, Suite 200</t>
  </si>
  <si>
    <t>Oakland, CA 94607</t>
  </si>
  <si>
    <t>Kinetic Valuation Group (KVG)</t>
  </si>
  <si>
    <t>3901 S 147th Street, Suite 144</t>
  </si>
  <si>
    <t>Omaha, NE 68144</t>
  </si>
  <si>
    <t>Jay Wortmann</t>
  </si>
  <si>
    <t>402-202-0771</t>
  </si>
  <si>
    <t>Jay@kvgteam.com</t>
  </si>
  <si>
    <t>Eden Housing Management, Inc.</t>
  </si>
  <si>
    <t>22645 Grand Street</t>
  </si>
  <si>
    <t>Hayward, CA 94541</t>
  </si>
  <si>
    <t xml:space="preserve">The County of Santa Clara </t>
  </si>
  <si>
    <t xml:space="preserve">Consuelo Hernandez </t>
  </si>
  <si>
    <t xml:space="preserve">N/A - Public Entity </t>
  </si>
  <si>
    <t>Director, Office of Supportive Housing</t>
  </si>
  <si>
    <t>2310 N. 1st Street, Suite # 201, San Jose, CA 95131</t>
  </si>
  <si>
    <t>408-510-8595</t>
  </si>
  <si>
    <t>The County of Santa Clara</t>
  </si>
  <si>
    <t>Secured by Leasehold Interest</t>
  </si>
  <si>
    <t>Other (Specify below)</t>
  </si>
  <si>
    <t>4-story elevator-service residential building</t>
  </si>
  <si>
    <t>Major Institutions and Special Facilities</t>
  </si>
  <si>
    <t>PF (Public Facilities), no maximum controls on density</t>
  </si>
  <si>
    <t>50’ high or 35' if within 150' of a residential zone</t>
  </si>
  <si>
    <t>0 spaces for residential</t>
  </si>
  <si>
    <t>County of Santa Clara</t>
  </si>
  <si>
    <t>Value of Donated Land</t>
  </si>
  <si>
    <t>For commercial space (AbilityPath office)</t>
  </si>
  <si>
    <t xml:space="preserve">Santa Clara County Housing Authority </t>
  </si>
  <si>
    <t xml:space="preserve">Payroll Taxes </t>
  </si>
  <si>
    <t>Darnell Williams</t>
  </si>
  <si>
    <t>510-247-8120</t>
  </si>
  <si>
    <t>darnell.williams@edenhousing.org</t>
  </si>
  <si>
    <t>Value of Donated Land (GP equity or deferred fee or sponsor loan TBD based on investor negotiations)</t>
  </si>
  <si>
    <t xml:space="preserve">County of Santa Clara </t>
  </si>
  <si>
    <t xml:space="preserve">Investor Equity </t>
  </si>
  <si>
    <t>2310 N First Street, Suite 201</t>
  </si>
  <si>
    <t>San Jose</t>
  </si>
  <si>
    <t>Natalie Monk</t>
  </si>
  <si>
    <t>408-273-6400</t>
  </si>
  <si>
    <t xml:space="preserve">Residual Loan </t>
  </si>
  <si>
    <t>250 Hamilton Avenue</t>
  </si>
  <si>
    <t>Palo Alto</t>
  </si>
  <si>
    <t>Tim Wong</t>
  </si>
  <si>
    <t>650-329-2441</t>
  </si>
  <si>
    <t>22645 Grand St.</t>
  </si>
  <si>
    <t>Equity</t>
  </si>
  <si>
    <t xml:space="preserve">Equity </t>
  </si>
  <si>
    <t>Variable</t>
  </si>
  <si>
    <t>Fixed</t>
  </si>
  <si>
    <t xml:space="preserve">250 Hamilton Avenue </t>
  </si>
  <si>
    <t xml:space="preserve">Tim Wong </t>
  </si>
  <si>
    <t xml:space="preserve">Value of donated land </t>
  </si>
  <si>
    <t>Benefits</t>
  </si>
  <si>
    <t>Ground Lease</t>
  </si>
  <si>
    <t>Other taxes</t>
  </si>
  <si>
    <t>Other maintenance expenses</t>
  </si>
  <si>
    <t xml:space="preserve">City &amp; County </t>
  </si>
  <si>
    <t xml:space="preserve">(Value of donated land) </t>
  </si>
  <si>
    <t xml:space="preserve">County Housing Authority </t>
  </si>
  <si>
    <t>Project-based vouchers (PBVs)</t>
  </si>
  <si>
    <t>40</t>
  </si>
  <si>
    <t xml:space="preserve">Eden Housing Management, Inc. </t>
  </si>
  <si>
    <t>VTA Bus Route 21 (Bus Stop ID 61586)</t>
  </si>
  <si>
    <t>Middlefield Road and Charleston Road (Bus Station)</t>
  </si>
  <si>
    <t>Palo Alto, 94306</t>
  </si>
  <si>
    <t>Carolyn Gonot</t>
  </si>
  <si>
    <t>408-321-559</t>
  </si>
  <si>
    <t>https://www.vta.org/go/routes/21</t>
  </si>
  <si>
    <t>Mitchell Park</t>
  </si>
  <si>
    <t>600 N. Meadow Drive</t>
  </si>
  <si>
    <t>Palo Alto, 94303</t>
  </si>
  <si>
    <t>Daren Anderson</t>
  </si>
  <si>
    <t>650-496-6950</t>
  </si>
  <si>
    <t>https://www.cityofpaloalto.org/Departments/Community-Services/Open-Space-Parks/Neighborhood-Parks/Mitchell-Park</t>
  </si>
  <si>
    <t>Mitchell Park Library</t>
  </si>
  <si>
    <t>3700 Middlefield Road</t>
  </si>
  <si>
    <t>Ruthann Garcia</t>
  </si>
  <si>
    <t>650-329-2562</t>
  </si>
  <si>
    <t>https://library.cityofpaloalto.org/locations/m/</t>
  </si>
  <si>
    <t>Piazza's Fine Foods</t>
  </si>
  <si>
    <t>3922 Middlefield Road</t>
  </si>
  <si>
    <t>David Paolinelli</t>
  </si>
  <si>
    <t>650-494-1649</t>
  </si>
  <si>
    <t>https://piazzaslovesfood.com/</t>
  </si>
  <si>
    <t>Walgreens Pharmacy</t>
  </si>
  <si>
    <t>4170 El Camino Real</t>
  </si>
  <si>
    <t>Tram-Anh L.</t>
  </si>
  <si>
    <t>650-858-2007</t>
  </si>
  <si>
    <t>https://www.walgreens.com/locator/walgreens-4170+el+camino+real-palo+alto-ca-94306/id=3344</t>
  </si>
  <si>
    <t>County Fund</t>
  </si>
  <si>
    <t>City Fund</t>
  </si>
  <si>
    <t>1 bedroom</t>
  </si>
  <si>
    <t>2 bedroom</t>
  </si>
  <si>
    <t>gshipp@firstrepublic.com</t>
  </si>
  <si>
    <t xml:space="preserve">Construction Loan </t>
  </si>
  <si>
    <t xml:space="preserve">111 Pine Street </t>
  </si>
  <si>
    <t xml:space="preserve">San Francisco </t>
  </si>
  <si>
    <t>628-208-8229</t>
  </si>
  <si>
    <t xml:space="preserve">Permanent Loan </t>
  </si>
  <si>
    <t>First Republic Bank Permanent Loan</t>
  </si>
  <si>
    <t xml:space="preserve">First Republic Bank Construction Loan </t>
  </si>
  <si>
    <t>County of Santa Clara DDA</t>
  </si>
  <si>
    <t>Andrew Matsas</t>
  </si>
  <si>
    <t>510) 832-8300</t>
  </si>
  <si>
    <t>andrew@communityeconomics.org</t>
  </si>
  <si>
    <t>AbilityPath</t>
  </si>
  <si>
    <t>2,524 net square feet of nonprofit office space on the first floor of the building</t>
  </si>
  <si>
    <t>Accrued interest on soft sources</t>
  </si>
  <si>
    <t>Other: Solar, Battery Storage, GC Contingency</t>
  </si>
  <si>
    <t>Other: Accrued interest on soft loans</t>
  </si>
  <si>
    <t>Other: Perm Legal</t>
  </si>
  <si>
    <t>Other: owner legal, city legal, county legal</t>
  </si>
  <si>
    <t>Other: Construction management</t>
  </si>
  <si>
    <t>50% to sponsor</t>
  </si>
  <si>
    <t>50% to soft lenders</t>
  </si>
  <si>
    <t>Eden Housing, Inc.</t>
  </si>
  <si>
    <t>Exempted Impact Fees</t>
  </si>
  <si>
    <t>Claire Raybould</t>
  </si>
  <si>
    <t>650-329-2116</t>
  </si>
  <si>
    <t>250 Hamilton Avenue / 2310 N First Street, Suite 201</t>
  </si>
  <si>
    <t>Palo Alto / San Jose</t>
  </si>
  <si>
    <t>Tim Wong / Natalie Monk</t>
  </si>
  <si>
    <t>650-329-2441 / 408-273-6400</t>
  </si>
  <si>
    <t>3864 Middlefield Road</t>
  </si>
  <si>
    <t>Bryan Neider</t>
  </si>
  <si>
    <t>650-259-8500</t>
  </si>
  <si>
    <t>https://abilitypath.org/</t>
  </si>
  <si>
    <t>Total waived impact fees</t>
  </si>
  <si>
    <t>Local Fee Waivers</t>
  </si>
  <si>
    <t>GP Equity (Eden Investments, Inc., an affiliate of Eden Housing,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</si>
</sst>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3" fontId="3" fillId="7" borderId="0" xfId="273" applyNumberFormat="1" applyFont="1" applyFill="1"/>
    <xf numFmtId="0" fontId="0" fillId="7" borderId="5" xfId="0" applyFill="1" applyBorder="1" applyProtection="1">
      <protection locked="0"/>
    </xf>
    <xf numFmtId="169" fontId="8" fillId="7" borderId="5" xfId="273" applyNumberFormat="1" applyFont="1" applyFill="1" applyBorder="1" applyAlignment="1" applyProtection="1">
      <alignment horizontal="right"/>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65">
    <dxf>
      <fill>
        <patternFill>
          <bgColor rgb="FFFF0000"/>
        </patternFill>
      </fill>
    </dxf>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drew%20Matsas\Box\Andrew%20Matsas\Projects\Eden%20-%20Mitchell%20Park%20Place\Eden%20Mitchell%20Park%20Place%20-%209%25%2023-0418%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5">
          <cell r="D5">
            <v>1643000</v>
          </cell>
        </row>
        <row r="6">
          <cell r="D6">
            <v>4871000</v>
          </cell>
        </row>
        <row r="13">
          <cell r="D13">
            <v>481037.03724999999</v>
          </cell>
          <cell r="H13">
            <v>481037.03724999999</v>
          </cell>
        </row>
        <row r="14">
          <cell r="D14">
            <v>3826700.57</v>
          </cell>
          <cell r="H14">
            <v>3826700.57</v>
          </cell>
        </row>
        <row r="17">
          <cell r="D17">
            <v>27877648.82076719</v>
          </cell>
          <cell r="H17">
            <v>2787764.8820767193</v>
          </cell>
        </row>
        <row r="22">
          <cell r="D22">
            <v>29897833.938690476</v>
          </cell>
        </row>
        <row r="24">
          <cell r="S24">
            <v>6.6326530612244902E-2</v>
          </cell>
        </row>
        <row r="32">
          <cell r="E32">
            <v>93628.997652522899</v>
          </cell>
          <cell r="F32">
            <v>6371.0023474771006</v>
          </cell>
        </row>
        <row r="33">
          <cell r="E33">
            <v>43235.062246005502</v>
          </cell>
          <cell r="F33">
            <v>2941.9377539944981</v>
          </cell>
        </row>
        <row r="35">
          <cell r="E35">
            <v>131080.59671353205</v>
          </cell>
          <cell r="F35">
            <v>8919.4032864679466</v>
          </cell>
        </row>
        <row r="36">
          <cell r="E36">
            <v>294647.64674256003</v>
          </cell>
          <cell r="F36">
            <v>20049.353257439972</v>
          </cell>
        </row>
        <row r="39">
          <cell r="E39">
            <v>2469942.3209733195</v>
          </cell>
          <cell r="F39">
            <v>168067.67902668053</v>
          </cell>
          <cell r="G39">
            <v>1963135.3209733195</v>
          </cell>
        </row>
        <row r="40">
          <cell r="E40">
            <v>22478188.53151425</v>
          </cell>
          <cell r="F40">
            <v>1529532.4684857503</v>
          </cell>
        </row>
        <row r="41">
          <cell r="E41">
            <v>852434</v>
          </cell>
          <cell r="F41">
            <v>0</v>
          </cell>
        </row>
        <row r="42">
          <cell r="E42">
            <v>786141.83443976066</v>
          </cell>
          <cell r="F42">
            <v>53493.165560239344</v>
          </cell>
        </row>
        <row r="43">
          <cell r="E43">
            <v>2059837.9483555038</v>
          </cell>
          <cell r="F43">
            <v>140162.05164449615</v>
          </cell>
        </row>
        <row r="44">
          <cell r="E44">
            <v>1997434.2214200974</v>
          </cell>
          <cell r="F44">
            <v>135915.7785799026</v>
          </cell>
        </row>
        <row r="45">
          <cell r="E45">
            <v>229372.31844915063</v>
          </cell>
          <cell r="F45">
            <v>15607.681550849375</v>
          </cell>
        </row>
        <row r="46">
          <cell r="E46">
            <v>1303000.1176010298</v>
          </cell>
          <cell r="F46">
            <v>88662.882398970192</v>
          </cell>
        </row>
        <row r="48">
          <cell r="V48">
            <v>129429.08201905378</v>
          </cell>
        </row>
        <row r="49">
          <cell r="E49">
            <v>1896904.7666405835</v>
          </cell>
          <cell r="F49">
            <v>129075.23335941642</v>
          </cell>
          <cell r="V49">
            <v>383718.23403214297</v>
          </cell>
        </row>
        <row r="52">
          <cell r="E52">
            <v>372135.00519978796</v>
          </cell>
          <cell r="F52">
            <v>25321.994800212036</v>
          </cell>
        </row>
        <row r="54">
          <cell r="E54">
            <v>4461391.7768634679</v>
          </cell>
          <cell r="F54">
            <v>303576.22313653212</v>
          </cell>
          <cell r="G54">
            <v>2081982.5163479953</v>
          </cell>
        </row>
        <row r="56">
          <cell r="E56">
            <v>256762.31560084922</v>
          </cell>
          <cell r="F56">
            <v>17471.438939329353</v>
          </cell>
        </row>
        <row r="57">
          <cell r="E57">
            <v>481037.03724999999</v>
          </cell>
          <cell r="F57">
            <v>0</v>
          </cell>
        </row>
        <row r="58">
          <cell r="E58">
            <v>7490.3198122018321</v>
          </cell>
          <cell r="F58">
            <v>509.68018779816794</v>
          </cell>
        </row>
        <row r="59">
          <cell r="E59">
            <v>749237.02872504224</v>
          </cell>
          <cell r="F59">
            <v>50981.971274957759</v>
          </cell>
        </row>
        <row r="60">
          <cell r="E60">
            <v>60858.848474139886</v>
          </cell>
          <cell r="F60">
            <v>4141.1515258601139</v>
          </cell>
        </row>
        <row r="63">
          <cell r="E63">
            <v>100140</v>
          </cell>
        </row>
        <row r="65">
          <cell r="E65">
            <v>15000</v>
          </cell>
        </row>
        <row r="66">
          <cell r="E66">
            <v>30000</v>
          </cell>
        </row>
        <row r="70">
          <cell r="E70">
            <v>60858.848474139886</v>
          </cell>
          <cell r="F70">
            <v>4141.1515258601139</v>
          </cell>
        </row>
        <row r="71">
          <cell r="E71">
            <v>80000</v>
          </cell>
          <cell r="F71">
            <v>0</v>
          </cell>
        </row>
        <row r="72">
          <cell r="E72">
            <v>46814.49882626145</v>
          </cell>
          <cell r="F72">
            <v>3185.5011737385503</v>
          </cell>
        </row>
        <row r="75">
          <cell r="D75">
            <v>261050</v>
          </cell>
          <cell r="E75">
            <v>261050</v>
          </cell>
        </row>
        <row r="80">
          <cell r="E80">
            <v>9362.8997652522903</v>
          </cell>
          <cell r="F80">
            <v>637.10023474770969</v>
          </cell>
        </row>
        <row r="81">
          <cell r="E81">
            <v>1524396.6498851504</v>
          </cell>
          <cell r="F81">
            <v>103727.85011484963</v>
          </cell>
        </row>
        <row r="83">
          <cell r="E83">
            <v>122090</v>
          </cell>
        </row>
        <row r="84">
          <cell r="E84">
            <v>199037.45949970972</v>
          </cell>
          <cell r="F84">
            <v>13543.540500290284</v>
          </cell>
        </row>
        <row r="86">
          <cell r="G86">
            <v>305646.2450968019</v>
          </cell>
        </row>
        <row r="87">
          <cell r="E87">
            <v>421330.48943635309</v>
          </cell>
          <cell r="F87">
            <v>28669.510563646909</v>
          </cell>
        </row>
        <row r="88">
          <cell r="E88">
            <v>10000</v>
          </cell>
          <cell r="F88">
            <v>0</v>
          </cell>
        </row>
        <row r="89">
          <cell r="E89">
            <v>115000</v>
          </cell>
          <cell r="F89">
            <v>0</v>
          </cell>
        </row>
        <row r="90">
          <cell r="E90">
            <v>50995.969861423124</v>
          </cell>
          <cell r="F90">
            <v>3470.0301385768762</v>
          </cell>
        </row>
        <row r="91">
          <cell r="E91">
            <v>100000</v>
          </cell>
          <cell r="F91">
            <v>0</v>
          </cell>
        </row>
        <row r="93">
          <cell r="E93">
            <v>421010.80841705442</v>
          </cell>
          <cell r="F93">
            <v>28647.757809954579</v>
          </cell>
        </row>
        <row r="97">
          <cell r="E97">
            <v>2200000</v>
          </cell>
          <cell r="F97">
            <v>0</v>
          </cell>
        </row>
        <row r="111">
          <cell r="D111">
            <v>224000</v>
          </cell>
        </row>
        <row r="122">
          <cell r="J122">
            <v>0.95104</v>
          </cell>
          <cell r="K122">
            <v>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1961</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2284</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0" t="s">
        <v>2353</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row>
    <row r="26" spans="1:38">
      <c r="A26" s="5"/>
      <c r="C26" s="3"/>
      <c r="D26" s="5"/>
      <c r="E26" s="989" t="s">
        <v>2352</v>
      </c>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row>
    <row r="27" spans="1:38">
      <c r="A27" s="5"/>
      <c r="C27" s="3"/>
      <c r="E27" s="989" t="s">
        <v>2351</v>
      </c>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8" t="s">
        <v>2115</v>
      </c>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row>
    <row r="30" spans="1:38">
      <c r="A30" s="5"/>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row>
    <row r="31" spans="1:38">
      <c r="A31" s="5"/>
      <c r="D31" s="158"/>
      <c r="E31" s="990" t="s">
        <v>1338</v>
      </c>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row>
    <row r="32" spans="1:38">
      <c r="A32" s="5"/>
      <c r="D32" s="158"/>
      <c r="E32" s="990" t="s">
        <v>1191</v>
      </c>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80" t="s">
        <v>1761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80" t="s">
        <v>2286</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80" t="s">
        <v>1764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208</v>
      </c>
      <c r="G61" s="980" t="s">
        <v>1763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80" t="s">
        <v>1765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208</v>
      </c>
      <c r="G67" s="980" t="s">
        <v>1766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1780</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1781</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80" t="s">
        <v>1767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1768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80" t="s">
        <v>1773</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1774</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1775</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1776</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80" t="s">
        <v>1777</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80" t="s">
        <v>1778</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7" t="s">
        <v>1779</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74"/>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860</v>
      </c>
      <c r="E118" s="3" t="s">
        <v>1962</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80" t="s">
        <v>1782</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944</v>
      </c>
      <c r="F155" t="s">
        <v>535</v>
      </c>
    </row>
    <row r="156" spans="4:37">
      <c r="E156" t="s">
        <v>945</v>
      </c>
      <c r="F156" t="s">
        <v>391</v>
      </c>
    </row>
    <row r="157" spans="4:37">
      <c r="F157" t="s">
        <v>862</v>
      </c>
      <c r="G157" s="41" t="s">
        <v>2291</v>
      </c>
    </row>
    <row r="158" spans="4:37">
      <c r="F158" t="s">
        <v>77</v>
      </c>
      <c r="G158" s="980" t="s">
        <v>1783</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766</v>
      </c>
      <c r="E161" s="3" t="s">
        <v>2292</v>
      </c>
    </row>
    <row r="162" spans="3:9">
      <c r="E162" s="770" t="s">
        <v>2293</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1654</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80" t="s">
        <v>1784</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80" t="s">
        <v>1785</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945</v>
      </c>
      <c r="F235" s="5" t="s">
        <v>260</v>
      </c>
      <c r="G235" s="5"/>
      <c r="H235" s="5"/>
      <c r="I235" s="5"/>
      <c r="M235" s="5"/>
      <c r="N235" s="5"/>
      <c r="O235" s="5"/>
      <c r="P235" s="5"/>
      <c r="Q235" s="5"/>
      <c r="R235" s="5"/>
      <c r="S235" s="5"/>
    </row>
    <row r="236" spans="1:38">
      <c r="B236" s="5"/>
      <c r="C236" s="5"/>
      <c r="F236" s="5" t="s">
        <v>862</v>
      </c>
      <c r="G236" s="980" t="s">
        <v>1786</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2" t="s">
        <v>1899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944</v>
      </c>
      <c r="F348" s="980" t="s">
        <v>1900</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80"/>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945</v>
      </c>
      <c r="F352" s="980" t="s">
        <v>1901</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5" customFormat="1">
      <c r="A365"/>
      <c r="B365" s="3"/>
      <c r="C365"/>
      <c r="D365"/>
      <c r="E365" s="985" t="s">
        <v>1896</v>
      </c>
    </row>
    <row r="366" spans="1:38" s="985" customFormat="1">
      <c r="A366"/>
      <c r="B366" s="3"/>
      <c r="C366"/>
      <c r="D366"/>
    </row>
    <row r="367" spans="1:38">
      <c r="B367" s="3"/>
      <c r="F367" s="983" t="s">
        <v>1897</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2294</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2"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3" t="s">
        <v>318</v>
      </c>
      <c r="B2" s="994"/>
      <c r="C2" s="994"/>
      <c r="D2" s="994"/>
      <c r="E2" s="994"/>
      <c r="F2" s="994"/>
      <c r="G2" s="994"/>
      <c r="H2" s="994"/>
      <c r="I2" s="994"/>
      <c r="J2" s="994"/>
    </row>
    <row r="3" spans="1:10" ht="15">
      <c r="A3" s="995" t="s">
        <v>2331</v>
      </c>
      <c r="B3" s="994"/>
      <c r="C3" s="994"/>
      <c r="D3" s="994"/>
      <c r="E3" s="994"/>
      <c r="F3" s="994"/>
      <c r="G3" s="994"/>
      <c r="H3" s="994"/>
      <c r="I3" s="994"/>
      <c r="J3" s="994"/>
    </row>
    <row r="4" spans="1:10"/>
    <row r="5" spans="1:10" ht="12.75" customHeight="1">
      <c r="A5" s="1000" t="s">
        <v>2297</v>
      </c>
      <c r="B5" s="1000"/>
      <c r="C5" s="1000"/>
      <c r="D5" s="1000"/>
      <c r="E5" s="1000"/>
      <c r="F5" s="1000"/>
      <c r="G5" s="1000"/>
      <c r="H5" s="1000"/>
      <c r="I5" s="1000"/>
      <c r="J5" s="1000"/>
    </row>
    <row r="6" spans="1:10">
      <c r="A6" s="1000"/>
      <c r="B6" s="1000"/>
      <c r="C6" s="1000"/>
      <c r="D6" s="1000"/>
      <c r="E6" s="1000"/>
      <c r="F6" s="1000"/>
      <c r="G6" s="1000"/>
      <c r="H6" s="1000"/>
      <c r="I6" s="1000"/>
      <c r="J6" s="1000"/>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3" customFormat="1">
      <c r="A10" s="983" t="s">
        <v>2199</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6" t="s">
        <v>1959</v>
      </c>
      <c r="B16" s="997"/>
      <c r="C16" s="997"/>
      <c r="D16" s="997"/>
      <c r="E16" s="997"/>
      <c r="F16" s="997"/>
      <c r="G16" s="997"/>
      <c r="H16" s="997"/>
      <c r="I16" s="997"/>
      <c r="J16" s="997"/>
    </row>
    <row r="17" spans="1:10" ht="12.75" customHeight="1">
      <c r="A17" s="997"/>
      <c r="B17" s="997"/>
      <c r="C17" s="997"/>
      <c r="D17" s="997"/>
      <c r="E17" s="997"/>
      <c r="F17" s="997"/>
      <c r="G17" s="997"/>
      <c r="H17" s="997"/>
      <c r="I17" s="997"/>
      <c r="J17" s="997"/>
    </row>
    <row r="18" spans="1:10">
      <c r="A18" s="997"/>
      <c r="B18" s="997"/>
      <c r="C18" s="997"/>
      <c r="D18" s="997"/>
      <c r="E18" s="997"/>
      <c r="F18" s="997"/>
      <c r="G18" s="997"/>
      <c r="H18" s="997"/>
      <c r="I18" s="997"/>
      <c r="J18" s="997"/>
    </row>
    <row r="19" spans="1:10">
      <c r="A19" s="998"/>
      <c r="B19" s="998"/>
      <c r="C19" s="998"/>
      <c r="D19" s="998"/>
      <c r="E19" s="998"/>
      <c r="F19" s="998"/>
      <c r="G19" s="998"/>
      <c r="H19" s="998"/>
      <c r="I19" s="998"/>
      <c r="J19" s="998"/>
    </row>
    <row r="20" spans="1:10">
      <c r="A20" s="998"/>
      <c r="B20" s="998"/>
      <c r="C20" s="998"/>
      <c r="D20" s="998"/>
      <c r="E20" s="998"/>
      <c r="F20" s="998"/>
      <c r="G20" s="998"/>
      <c r="H20" s="998"/>
      <c r="I20" s="998"/>
      <c r="J20" s="998"/>
    </row>
    <row r="21" spans="1:10">
      <c r="A21" s="998"/>
      <c r="B21" s="998"/>
      <c r="C21" s="998"/>
      <c r="D21" s="998"/>
      <c r="E21" s="998"/>
      <c r="F21" s="998"/>
      <c r="G21" s="998"/>
      <c r="H21" s="998"/>
      <c r="I21" s="998"/>
      <c r="J21" s="998"/>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9" t="s">
        <v>1063</v>
      </c>
      <c r="B24" s="994"/>
      <c r="C24" s="994"/>
      <c r="D24" s="994"/>
      <c r="E24" s="99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7" t="s">
        <v>1080</v>
      </c>
      <c r="B61" s="998"/>
      <c r="C61" s="998"/>
      <c r="D61" s="998"/>
      <c r="E61" s="998"/>
      <c r="F61" s="998"/>
      <c r="G61" s="998"/>
      <c r="H61" s="998"/>
      <c r="I61" s="998"/>
      <c r="J61" s="998"/>
    </row>
    <row r="62" spans="1:10">
      <c r="A62" s="998"/>
      <c r="B62" s="998"/>
      <c r="C62" s="998"/>
      <c r="D62" s="998"/>
      <c r="E62" s="998"/>
      <c r="F62" s="998"/>
      <c r="G62" s="998"/>
      <c r="H62" s="998"/>
      <c r="I62" s="998"/>
      <c r="J62" s="998"/>
    </row>
    <row r="63" spans="1:10">
      <c r="A63" s="998"/>
      <c r="B63" s="998"/>
      <c r="C63" s="998"/>
      <c r="D63" s="998"/>
      <c r="E63" s="998"/>
      <c r="F63" s="998"/>
      <c r="G63" s="998"/>
      <c r="H63" s="998"/>
      <c r="I63" s="998"/>
      <c r="J63" s="998"/>
    </row>
    <row r="64" spans="1:10"/>
    <row r="65" spans="1:9">
      <c r="A65" s="5" t="s">
        <v>1063</v>
      </c>
    </row>
    <row r="66" spans="1:9"/>
    <row r="67" spans="1:9"/>
    <row r="68" spans="1:9"/>
    <row r="69" spans="1:9"/>
    <row r="70" spans="1:9"/>
    <row r="71" spans="1:9"/>
    <row r="72" spans="1:9"/>
    <row r="73" spans="1:9"/>
    <row r="74" spans="1:9"/>
    <row r="75" spans="1:9"/>
    <row r="76" spans="1:9">
      <c r="A76" s="992" t="s">
        <v>1190</v>
      </c>
      <c r="B76" s="992"/>
      <c r="C76" s="992"/>
      <c r="D76" s="992"/>
      <c r="E76" s="992"/>
      <c r="F76" s="992"/>
      <c r="G76" s="992"/>
      <c r="H76" s="992"/>
      <c r="I76" s="992"/>
    </row>
    <row r="77" spans="1:9">
      <c r="A77" s="991" t="s">
        <v>1340</v>
      </c>
      <c r="B77" s="991"/>
      <c r="C77" s="991"/>
      <c r="D77" s="991"/>
      <c r="E77" s="991"/>
      <c r="F77" s="683"/>
    </row>
    <row r="78" spans="1:9">
      <c r="A78" s="991" t="s">
        <v>1339</v>
      </c>
      <c r="B78" s="991"/>
      <c r="C78" s="991"/>
      <c r="D78" s="991"/>
      <c r="E78" s="991"/>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098" zoomScale="115" zoomScaleNormal="115" workbookViewId="0">
      <selection activeCell="D823" sqref="D823:F82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5" t="s">
        <v>2330</v>
      </c>
      <c r="B2" s="1025"/>
      <c r="C2" s="994"/>
      <c r="D2" s="994"/>
      <c r="E2" s="994"/>
      <c r="F2" s="994"/>
      <c r="G2" s="994"/>
      <c r="I2" t="s">
        <v>84</v>
      </c>
    </row>
    <row r="3" spans="1:9" ht="12.75">
      <c r="A3" s="190"/>
      <c r="B3" s="190"/>
      <c r="C3"/>
      <c r="D3"/>
      <c r="E3"/>
      <c r="F3"/>
      <c r="G3"/>
      <c r="I3" s="5" t="s">
        <v>1455</v>
      </c>
    </row>
    <row r="4" spans="1:9" ht="12.75">
      <c r="A4" s="1026" t="s">
        <v>2262</v>
      </c>
      <c r="B4" s="1026"/>
      <c r="C4" s="1027"/>
      <c r="D4" s="1027"/>
      <c r="E4" s="1027"/>
      <c r="F4" s="1027"/>
      <c r="G4" s="1027"/>
      <c r="I4" s="5" t="s">
        <v>1439</v>
      </c>
    </row>
    <row r="5" spans="1:9" ht="12.75">
      <c r="A5" s="1026" t="s">
        <v>1088</v>
      </c>
      <c r="B5" s="1026"/>
      <c r="C5" s="1027"/>
      <c r="D5" s="1027"/>
      <c r="E5" s="1027"/>
      <c r="F5" s="1027"/>
      <c r="G5" s="1027"/>
      <c r="I5" t="s">
        <v>132</v>
      </c>
    </row>
    <row r="6" spans="1:9" ht="13.7" customHeight="1"/>
    <row r="7" spans="1:9" ht="12.75">
      <c r="A7" s="1025" t="s">
        <v>1490</v>
      </c>
      <c r="B7" s="1025"/>
      <c r="C7" s="1028"/>
      <c r="D7" s="1028"/>
      <c r="E7" s="1028"/>
      <c r="F7" s="1028"/>
      <c r="G7" s="1028"/>
    </row>
    <row r="8" spans="1:9" ht="12.75">
      <c r="A8" s="1025" t="s">
        <v>1491</v>
      </c>
      <c r="B8" s="1025"/>
      <c r="C8" s="1028"/>
      <c r="D8" s="1028"/>
      <c r="E8" s="1028"/>
      <c r="F8" s="1028"/>
      <c r="G8" s="1028"/>
    </row>
    <row r="9" spans="1:9" ht="12.75">
      <c r="A9" s="192"/>
      <c r="B9" s="192"/>
      <c r="C9" s="190"/>
      <c r="D9" s="190"/>
      <c r="E9" s="190"/>
      <c r="F9" s="190"/>
      <c r="G9" s="190"/>
    </row>
    <row r="10" spans="1:9" ht="12.75">
      <c r="A10" s="1011" t="s">
        <v>1613</v>
      </c>
      <c r="B10" s="1011"/>
      <c r="C10" s="1011"/>
      <c r="D10" s="1011"/>
      <c r="E10" s="1011"/>
      <c r="F10" s="1011"/>
      <c r="G10" s="1011"/>
    </row>
    <row r="11" spans="1:9" ht="12.75">
      <c r="A11" s="190"/>
      <c r="B11" s="190"/>
    </row>
    <row r="12" spans="1:9" ht="13.7" customHeight="1">
      <c r="C12" s="190"/>
      <c r="D12" s="1029" t="s">
        <v>1612</v>
      </c>
      <c r="E12" s="1029"/>
      <c r="F12" s="1029"/>
      <c r="G12" s="625"/>
    </row>
    <row r="13" spans="1:9" ht="12.75">
      <c r="C13" s="190"/>
      <c r="D13" s="1029"/>
      <c r="E13" s="1029"/>
      <c r="F13" s="1029"/>
      <c r="G13" s="625"/>
    </row>
    <row r="14" spans="1:9" ht="12.75">
      <c r="A14" s="191"/>
      <c r="B14" s="191"/>
      <c r="C14" s="191"/>
      <c r="D14" s="1006" t="s">
        <v>1477</v>
      </c>
      <c r="E14" s="1006"/>
      <c r="F14" s="1006"/>
    </row>
    <row r="15" spans="1:9" ht="12.75">
      <c r="A15" s="191"/>
      <c r="B15" s="191"/>
      <c r="C15" s="191"/>
    </row>
    <row r="16" spans="1:9" ht="14.45" customHeight="1">
      <c r="A16" s="271"/>
      <c r="B16" s="624" t="s">
        <v>1439</v>
      </c>
      <c r="C16" s="191"/>
      <c r="D16" s="980" t="s">
        <v>2164</v>
      </c>
      <c r="E16" s="986"/>
      <c r="F16" s="986"/>
      <c r="G16" s="358"/>
    </row>
    <row r="17" spans="1:7" ht="14.45" customHeight="1">
      <c r="A17" s="271"/>
      <c r="C17" s="191"/>
      <c r="D17" s="986"/>
      <c r="E17" s="986"/>
      <c r="F17" s="986"/>
      <c r="G17" s="358"/>
    </row>
    <row r="18" spans="1:7" ht="12.75">
      <c r="A18" s="191"/>
      <c r="C18" s="191"/>
      <c r="D18" s="986"/>
      <c r="E18" s="986"/>
      <c r="F18" s="986"/>
      <c r="G18" s="358"/>
    </row>
    <row r="19" spans="1:7" ht="12.75">
      <c r="A19" s="191"/>
      <c r="C19" s="191"/>
      <c r="D19" s="24"/>
      <c r="E19" s="128" t="s">
        <v>2165</v>
      </c>
      <c r="F19" s="24"/>
      <c r="G19" s="358"/>
    </row>
    <row r="20" spans="1:7" ht="12.75">
      <c r="A20" s="191"/>
      <c r="B20" s="191"/>
      <c r="C20" s="191"/>
    </row>
    <row r="21" spans="1:7" ht="14.25">
      <c r="A21" s="271"/>
      <c r="B21" s="624" t="s">
        <v>1439</v>
      </c>
      <c r="D21" s="980" t="s">
        <v>2166</v>
      </c>
      <c r="E21" s="986"/>
      <c r="F21" s="986"/>
    </row>
    <row r="22" spans="1:7" ht="12.75">
      <c r="D22" s="986"/>
      <c r="E22" s="986"/>
      <c r="F22" s="986"/>
    </row>
    <row r="23" spans="1:7" ht="12.75">
      <c r="D23" s="102"/>
      <c r="E23" s="104" t="s">
        <v>2167</v>
      </c>
      <c r="F23" s="102"/>
    </row>
    <row r="24" spans="1:7" ht="14.25">
      <c r="A24" s="271"/>
      <c r="B24" s="271"/>
      <c r="D24" s="44"/>
    </row>
    <row r="25" spans="1:7" ht="14.25">
      <c r="A25" s="271"/>
      <c r="B25" s="624" t="s">
        <v>132</v>
      </c>
      <c r="D25" s="986" t="s">
        <v>1471</v>
      </c>
      <c r="E25" s="986"/>
      <c r="F25" s="986"/>
    </row>
    <row r="26" spans="1:7" ht="14.25">
      <c r="A26" s="271"/>
      <c r="B26" s="271"/>
      <c r="D26" s="986"/>
      <c r="E26" s="986"/>
      <c r="F26" s="986"/>
    </row>
    <row r="27" spans="1:7" ht="14.25">
      <c r="A27" s="271"/>
      <c r="B27" s="271"/>
      <c r="D27" s="44"/>
    </row>
    <row r="28" spans="1:7" ht="14.25" customHeight="1">
      <c r="A28" s="271"/>
      <c r="B28" s="624" t="s">
        <v>1439</v>
      </c>
      <c r="D28" s="980" t="s">
        <v>2263</v>
      </c>
      <c r="E28" s="980"/>
      <c r="F28" s="980"/>
    </row>
    <row r="29" spans="1:7" ht="14.25">
      <c r="A29" s="271"/>
      <c r="B29" s="271"/>
      <c r="D29" s="980"/>
      <c r="E29" s="980"/>
      <c r="F29" s="980"/>
    </row>
    <row r="30" spans="1:7" ht="14.25">
      <c r="A30" s="271"/>
      <c r="B30" s="271"/>
      <c r="D30" s="980"/>
      <c r="E30" s="980"/>
      <c r="F30" s="980"/>
    </row>
    <row r="31" spans="1:7" ht="14.25">
      <c r="A31" s="271"/>
      <c r="B31" s="271"/>
      <c r="D31" s="980"/>
      <c r="E31" s="980"/>
      <c r="F31" s="980"/>
    </row>
    <row r="32" spans="1:7" ht="14.25">
      <c r="A32" s="271"/>
      <c r="B32" s="271"/>
      <c r="D32" s="980"/>
      <c r="E32" s="980"/>
      <c r="F32" s="980"/>
    </row>
    <row r="33" spans="1:6" ht="14.25">
      <c r="A33" s="271"/>
      <c r="B33" s="271"/>
      <c r="D33" s="591"/>
      <c r="F33" s="627"/>
    </row>
    <row r="34" spans="1:6" ht="14.45" customHeight="1">
      <c r="A34" s="271"/>
      <c r="B34" s="624" t="s">
        <v>132</v>
      </c>
      <c r="D34" s="986" t="s">
        <v>2264</v>
      </c>
      <c r="E34" s="986"/>
      <c r="F34" s="986"/>
    </row>
    <row r="35" spans="1:6" ht="14.25">
      <c r="A35" s="271"/>
      <c r="B35" s="271"/>
      <c r="D35" s="986"/>
      <c r="E35" s="986"/>
      <c r="F35" s="986"/>
    </row>
    <row r="36" spans="1:6" ht="14.25">
      <c r="A36" s="271"/>
      <c r="B36" s="271"/>
      <c r="D36" s="209"/>
      <c r="E36" s="209"/>
      <c r="F36" s="209"/>
    </row>
    <row r="37" spans="1:6" ht="14.25">
      <c r="A37" s="271"/>
      <c r="B37" s="624" t="s">
        <v>1439</v>
      </c>
      <c r="D37" s="980" t="s">
        <v>1829</v>
      </c>
      <c r="E37" s="986"/>
      <c r="F37" s="986"/>
    </row>
    <row r="38" spans="1:6" ht="14.25">
      <c r="A38" s="271"/>
      <c r="B38" s="271"/>
      <c r="D38" s="986"/>
      <c r="E38" s="986"/>
      <c r="F38" s="986"/>
    </row>
    <row r="39" spans="1:6" ht="14.25">
      <c r="A39" s="271"/>
      <c r="B39" s="271"/>
      <c r="D39" s="986"/>
      <c r="E39" s="986"/>
      <c r="F39" s="986"/>
    </row>
    <row r="40" spans="1:6" ht="14.25">
      <c r="A40" s="271"/>
      <c r="B40" s="271"/>
      <c r="D40" s="986"/>
      <c r="E40" s="986"/>
      <c r="F40" s="986"/>
    </row>
    <row r="41" spans="1:6" ht="14.25">
      <c r="A41" s="271"/>
      <c r="B41" s="271"/>
      <c r="D41" s="986"/>
      <c r="E41" s="986"/>
      <c r="F41" s="986"/>
    </row>
    <row r="42" spans="1:6" ht="14.25">
      <c r="A42" s="271"/>
      <c r="B42" s="271"/>
      <c r="D42" s="986"/>
      <c r="E42" s="986"/>
      <c r="F42" s="986"/>
    </row>
    <row r="43" spans="1:6" ht="14.25">
      <c r="A43" s="271"/>
      <c r="B43" s="271"/>
      <c r="D43" s="986"/>
      <c r="E43" s="986"/>
      <c r="F43" s="986"/>
    </row>
    <row r="44" spans="1:6" ht="14.25">
      <c r="A44" s="271"/>
      <c r="B44" s="271"/>
      <c r="D44" s="986"/>
      <c r="E44" s="986"/>
      <c r="F44" s="986"/>
    </row>
    <row r="45" spans="1:6" ht="14.25">
      <c r="A45" s="271"/>
      <c r="B45" s="271"/>
      <c r="D45" s="24"/>
      <c r="E45" s="24"/>
      <c r="F45" s="24"/>
    </row>
    <row r="46" spans="1:6" ht="14.45" customHeight="1">
      <c r="A46" s="271"/>
      <c r="B46" s="624" t="s">
        <v>132</v>
      </c>
      <c r="D46" s="986" t="s">
        <v>1507</v>
      </c>
      <c r="E46" s="986"/>
      <c r="F46" s="986"/>
    </row>
    <row r="47" spans="1:6" ht="14.25">
      <c r="A47" s="271"/>
      <c r="B47" s="271"/>
      <c r="D47" s="986"/>
      <c r="E47" s="986"/>
      <c r="F47" s="986"/>
    </row>
    <row r="48" spans="1:6" ht="14.25">
      <c r="A48" s="271"/>
      <c r="B48" s="271"/>
      <c r="D48" s="986"/>
      <c r="E48" s="986"/>
      <c r="F48" s="986"/>
    </row>
    <row r="49" spans="1:6" ht="14.25">
      <c r="A49" s="271"/>
      <c r="B49" s="271"/>
      <c r="D49" s="986"/>
      <c r="E49" s="986"/>
      <c r="F49" s="986"/>
    </row>
    <row r="50" spans="1:6" ht="14.25">
      <c r="A50" s="271"/>
      <c r="B50" s="271"/>
      <c r="D50" s="986"/>
      <c r="E50" s="986"/>
      <c r="F50" s="986"/>
    </row>
    <row r="51" spans="1:6" ht="14.25">
      <c r="A51" s="271"/>
      <c r="B51" s="271"/>
      <c r="D51" s="44"/>
    </row>
    <row r="52" spans="1:6" ht="14.25">
      <c r="A52" s="271"/>
      <c r="B52" s="624" t="s">
        <v>1439</v>
      </c>
      <c r="D52" s="980" t="s">
        <v>1975</v>
      </c>
      <c r="E52" s="986"/>
      <c r="F52" s="986"/>
    </row>
    <row r="53" spans="1:6" ht="14.25">
      <c r="A53" s="271"/>
      <c r="B53" s="271"/>
      <c r="D53" s="986"/>
      <c r="E53" s="986"/>
      <c r="F53" s="986"/>
    </row>
    <row r="54" spans="1:6" ht="14.25">
      <c r="A54" s="271"/>
      <c r="B54" s="271"/>
      <c r="D54" s="986"/>
      <c r="E54" s="986"/>
      <c r="F54" s="986"/>
    </row>
    <row r="55" spans="1:6" ht="14.25">
      <c r="A55" s="271"/>
      <c r="B55" s="271"/>
      <c r="D55" s="986"/>
      <c r="E55" s="986"/>
      <c r="F55" s="986"/>
    </row>
    <row r="56" spans="1:6" ht="14.25">
      <c r="A56" s="271"/>
      <c r="B56" s="271"/>
      <c r="D56" s="986"/>
      <c r="E56" s="986"/>
      <c r="F56" s="986"/>
    </row>
    <row r="57" spans="1:6" ht="15" customHeight="1">
      <c r="A57" s="271"/>
      <c r="B57" s="271"/>
      <c r="D57" s="986"/>
      <c r="E57" s="986"/>
      <c r="F57" s="986"/>
    </row>
    <row r="58" spans="1:6" ht="14.25">
      <c r="A58" s="271"/>
      <c r="B58" s="271"/>
      <c r="D58"/>
    </row>
    <row r="59" spans="1:6" ht="14.25">
      <c r="A59" s="271"/>
      <c r="B59" s="624" t="s">
        <v>132</v>
      </c>
      <c r="D59" s="980" t="s">
        <v>2022</v>
      </c>
      <c r="E59" s="986"/>
      <c r="F59" s="986"/>
    </row>
    <row r="60" spans="1:6" ht="14.25">
      <c r="A60" s="271"/>
      <c r="B60" s="271"/>
      <c r="D60" s="986"/>
      <c r="E60" s="986"/>
      <c r="F60" s="986"/>
    </row>
    <row r="61" spans="1:6" ht="14.25">
      <c r="A61" s="271"/>
      <c r="B61" s="271"/>
      <c r="D61" s="986"/>
      <c r="E61" s="986"/>
      <c r="F61" s="986"/>
    </row>
    <row r="62" spans="1:6" ht="14.25">
      <c r="A62" s="271"/>
      <c r="B62" s="271"/>
      <c r="D62" s="986"/>
      <c r="E62" s="986"/>
      <c r="F62" s="986"/>
    </row>
    <row r="63" spans="1:6" ht="17.25" customHeight="1">
      <c r="A63" s="271"/>
      <c r="B63" s="271"/>
      <c r="D63" s="986"/>
      <c r="E63" s="986"/>
      <c r="F63" s="986"/>
    </row>
    <row r="64" spans="1:6" ht="14.25" customHeight="1">
      <c r="A64" s="271"/>
      <c r="B64" s="624" t="s">
        <v>1439</v>
      </c>
      <c r="D64" s="986" t="s">
        <v>2265</v>
      </c>
      <c r="E64" s="986"/>
      <c r="F64" s="986"/>
    </row>
    <row r="65" spans="1:6" ht="15" customHeight="1">
      <c r="A65" s="271"/>
      <c r="B65" s="271"/>
      <c r="D65" s="986"/>
      <c r="E65" s="986"/>
      <c r="F65" s="986"/>
    </row>
    <row r="66" spans="1:6" ht="21.6" customHeight="1">
      <c r="A66" s="271"/>
      <c r="B66" s="271"/>
      <c r="D66" s="986"/>
      <c r="E66" s="986"/>
      <c r="F66" s="986"/>
    </row>
    <row r="67" spans="1:6" ht="14.25">
      <c r="A67" s="271"/>
      <c r="B67" s="271"/>
    </row>
    <row r="68" spans="1:6" ht="14.25" customHeight="1">
      <c r="A68" s="271"/>
      <c r="B68" s="624" t="s">
        <v>1439</v>
      </c>
      <c r="D68" s="980" t="s">
        <v>2168</v>
      </c>
      <c r="E68" s="986"/>
      <c r="F68" s="986"/>
    </row>
    <row r="69" spans="1:6" ht="12.75">
      <c r="D69" s="986"/>
      <c r="E69" s="986"/>
      <c r="F69" s="986"/>
    </row>
    <row r="70" spans="1:6" ht="12.75">
      <c r="D70" s="986"/>
      <c r="E70" s="986"/>
      <c r="F70" s="986"/>
    </row>
    <row r="71" spans="1:6" ht="14.25">
      <c r="A71" s="271"/>
      <c r="B71" s="271"/>
      <c r="D71" s="209"/>
      <c r="E71" s="128" t="s">
        <v>2165</v>
      </c>
      <c r="F71" s="209"/>
    </row>
    <row r="72" spans="1:6" ht="14.25">
      <c r="A72" s="271"/>
      <c r="B72" s="271"/>
    </row>
    <row r="73" spans="1:6" ht="14.25">
      <c r="A73" s="271"/>
      <c r="B73" s="624" t="s">
        <v>132</v>
      </c>
      <c r="D73" s="986" t="s">
        <v>1611</v>
      </c>
      <c r="E73" s="986"/>
      <c r="F73" s="986"/>
    </row>
    <row r="74" spans="1:6" ht="12.75">
      <c r="D74" s="986"/>
      <c r="E74" s="986"/>
      <c r="F74" s="986"/>
    </row>
    <row r="75" spans="1:6" ht="12.75">
      <c r="D75" s="986"/>
      <c r="E75" s="986"/>
      <c r="F75" s="986"/>
    </row>
    <row r="76" spans="1:6" ht="12.75"/>
    <row r="77" spans="1:6" ht="14.25">
      <c r="A77" s="271" t="s">
        <v>244</v>
      </c>
      <c r="B77" s="624" t="s">
        <v>1439</v>
      </c>
      <c r="D77" s="986" t="s">
        <v>1510</v>
      </c>
      <c r="E77" s="986"/>
      <c r="F77" s="986"/>
    </row>
    <row r="78" spans="1:6" ht="12.75">
      <c r="D78" s="986"/>
      <c r="E78" s="986"/>
      <c r="F78" s="986"/>
    </row>
    <row r="79" spans="1:6" ht="12.75"/>
    <row r="80" spans="1:6" ht="14.25">
      <c r="A80" s="271" t="s">
        <v>244</v>
      </c>
      <c r="B80" s="624" t="s">
        <v>132</v>
      </c>
      <c r="D80" s="986" t="s">
        <v>1511</v>
      </c>
      <c r="E80" s="986"/>
      <c r="F80" s="986"/>
    </row>
    <row r="81" spans="1:7" ht="12.75">
      <c r="D81" s="986"/>
      <c r="E81" s="986"/>
      <c r="F81" s="986"/>
    </row>
    <row r="82" spans="1:7" ht="12.75">
      <c r="D82" s="986"/>
      <c r="E82" s="986"/>
      <c r="F82" s="986"/>
    </row>
    <row r="83" spans="1:7" ht="12.75">
      <c r="D83" s="44"/>
    </row>
    <row r="84" spans="1:7" ht="14.25">
      <c r="A84" s="271" t="s">
        <v>244</v>
      </c>
      <c r="B84" s="624" t="s">
        <v>132</v>
      </c>
      <c r="D84" s="986" t="s">
        <v>1512</v>
      </c>
      <c r="E84" s="986"/>
      <c r="F84" s="986"/>
    </row>
    <row r="85" spans="1:7" ht="12.75">
      <c r="D85" s="986"/>
      <c r="E85" s="986"/>
      <c r="F85" s="986"/>
    </row>
    <row r="86" spans="1:7" ht="12.75"/>
    <row r="87" spans="1:7" ht="12.75">
      <c r="A87" s="1011" t="s">
        <v>1443</v>
      </c>
      <c r="B87" s="1011"/>
      <c r="C87" s="1011"/>
      <c r="D87" s="1011"/>
      <c r="E87" s="1011"/>
      <c r="F87" s="1011"/>
      <c r="G87" s="1011"/>
    </row>
    <row r="88" spans="1:7" ht="12.75">
      <c r="E88"/>
      <c r="F88"/>
      <c r="G88"/>
    </row>
    <row r="89" spans="1:7" ht="13.7" customHeight="1">
      <c r="C89" s="605"/>
      <c r="D89" s="1013" t="s">
        <v>1444</v>
      </c>
      <c r="E89" s="1013"/>
      <c r="F89" s="1013"/>
      <c r="G89"/>
    </row>
    <row r="90" spans="1:7" ht="13.7" customHeight="1">
      <c r="A90" s="44"/>
      <c r="B90" s="44"/>
      <c r="D90" s="986" t="s">
        <v>1614</v>
      </c>
      <c r="E90" s="986"/>
      <c r="F90" s="986"/>
      <c r="G90"/>
    </row>
    <row r="91" spans="1:7" ht="12.75">
      <c r="A91" s="44"/>
      <c r="B91" s="44"/>
      <c r="E91"/>
      <c r="F91"/>
      <c r="G91"/>
    </row>
    <row r="92" spans="1:7" ht="14.25" customHeight="1">
      <c r="A92" s="271"/>
      <c r="B92" s="624" t="s">
        <v>1439</v>
      </c>
      <c r="D92" s="980" t="s">
        <v>1948</v>
      </c>
      <c r="E92" s="980"/>
      <c r="F92" s="980"/>
      <c r="G92"/>
    </row>
    <row r="93" spans="1:7" ht="14.45" customHeight="1">
      <c r="A93" s="271"/>
      <c r="D93" s="980"/>
      <c r="E93" s="980"/>
      <c r="F93" s="980"/>
      <c r="G93"/>
    </row>
    <row r="94" spans="1:7" ht="14.25">
      <c r="A94" s="271"/>
      <c r="B94" s="271"/>
      <c r="D94" s="980"/>
      <c r="E94" s="980"/>
      <c r="F94" s="980"/>
      <c r="G94"/>
    </row>
    <row r="95" spans="1:7" ht="14.25">
      <c r="A95" s="271"/>
      <c r="B95" s="271"/>
      <c r="D95" s="980"/>
      <c r="E95" s="980"/>
      <c r="F95" s="980"/>
      <c r="G95"/>
    </row>
    <row r="96" spans="1:7" ht="14.25">
      <c r="A96" s="271"/>
      <c r="B96" s="271"/>
      <c r="D96" s="980"/>
      <c r="E96" s="980"/>
      <c r="F96" s="980"/>
      <c r="G96"/>
    </row>
    <row r="97" spans="1:7" ht="14.25">
      <c r="A97" s="271"/>
      <c r="B97" s="271"/>
      <c r="D97" s="980"/>
      <c r="E97" s="980"/>
      <c r="F97" s="980"/>
      <c r="G97"/>
    </row>
    <row r="98" spans="1:7" ht="14.25">
      <c r="A98" s="271"/>
      <c r="B98" s="271"/>
      <c r="D98" s="980"/>
      <c r="E98" s="980"/>
      <c r="F98" s="980"/>
      <c r="G98"/>
    </row>
    <row r="99" spans="1:7" ht="14.25">
      <c r="A99" s="271"/>
      <c r="B99" s="271"/>
      <c r="D99" s="980"/>
      <c r="E99" s="980"/>
      <c r="F99" s="980"/>
      <c r="G99"/>
    </row>
    <row r="100" spans="1:7" ht="14.25">
      <c r="A100" s="271"/>
      <c r="B100" s="271"/>
      <c r="D100" s="980"/>
      <c r="E100" s="980"/>
      <c r="F100" s="980"/>
      <c r="G100"/>
    </row>
    <row r="101" spans="1:7" ht="14.45" customHeight="1">
      <c r="A101" s="271"/>
      <c r="B101" s="624" t="s">
        <v>132</v>
      </c>
      <c r="D101" s="1007" t="s">
        <v>1949</v>
      </c>
      <c r="E101" s="1007"/>
      <c r="F101" s="1007"/>
      <c r="G101"/>
    </row>
    <row r="102" spans="1:7" ht="14.25">
      <c r="A102" s="271"/>
      <c r="B102" s="271"/>
      <c r="D102" s="1007"/>
      <c r="E102" s="1007"/>
      <c r="F102" s="1007"/>
      <c r="G102"/>
    </row>
    <row r="103" spans="1:7" ht="14.25">
      <c r="A103" s="271"/>
      <c r="B103" s="271"/>
      <c r="D103" s="1007"/>
      <c r="E103" s="1007"/>
      <c r="F103" s="1007"/>
      <c r="G103"/>
    </row>
    <row r="104" spans="1:7" ht="14.25">
      <c r="A104" s="271"/>
      <c r="B104" s="271"/>
      <c r="D104" s="1007"/>
      <c r="E104" s="1007"/>
      <c r="F104" s="1007"/>
      <c r="G104"/>
    </row>
    <row r="105" spans="1:7" ht="14.25">
      <c r="A105" s="271"/>
      <c r="B105" s="271"/>
      <c r="D105" s="1007"/>
      <c r="E105" s="1007"/>
      <c r="F105" s="1007"/>
      <c r="G105"/>
    </row>
    <row r="106" spans="1:7" ht="14.25">
      <c r="A106" s="271"/>
      <c r="B106" s="271"/>
      <c r="D106" s="1007"/>
      <c r="E106" s="1007"/>
      <c r="F106" s="1007"/>
      <c r="G106"/>
    </row>
    <row r="107" spans="1:7" ht="14.25">
      <c r="A107" s="271"/>
      <c r="B107" s="271"/>
      <c r="D107" s="1007"/>
      <c r="E107" s="1007"/>
      <c r="F107" s="1007"/>
      <c r="G107"/>
    </row>
    <row r="108" spans="1:7" ht="14.25">
      <c r="A108" s="271"/>
      <c r="B108" s="271"/>
      <c r="D108" s="1007"/>
      <c r="E108" s="1007"/>
      <c r="F108" s="1007"/>
      <c r="G108"/>
    </row>
    <row r="109" spans="1:7" ht="14.25">
      <c r="A109" s="271"/>
      <c r="B109" s="271"/>
      <c r="D109" s="1007"/>
      <c r="E109" s="1007"/>
      <c r="F109" s="1007"/>
      <c r="G109"/>
    </row>
    <row r="110" spans="1:7" ht="14.25">
      <c r="A110" s="271"/>
      <c r="B110" s="271"/>
      <c r="D110" s="1007"/>
      <c r="E110" s="1007"/>
      <c r="F110" s="1007"/>
      <c r="G110"/>
    </row>
    <row r="111" spans="1:7" ht="14.25">
      <c r="A111" s="271"/>
      <c r="B111" s="271"/>
      <c r="D111" s="1007"/>
      <c r="E111" s="1007"/>
      <c r="F111" s="1007"/>
      <c r="G111"/>
    </row>
    <row r="112" spans="1:7" ht="14.25">
      <c r="A112" s="271"/>
      <c r="B112" s="271"/>
      <c r="D112" s="1007"/>
      <c r="E112" s="1007"/>
      <c r="F112" s="1007"/>
      <c r="G112"/>
    </row>
    <row r="113" spans="1:7" ht="14.25">
      <c r="A113" s="271"/>
      <c r="B113" s="271"/>
      <c r="D113" s="1007"/>
      <c r="E113" s="1007"/>
      <c r="F113" s="1007"/>
      <c r="G113"/>
    </row>
    <row r="114" spans="1:7" ht="14.25">
      <c r="A114" s="271"/>
      <c r="B114" s="624" t="s">
        <v>132</v>
      </c>
      <c r="D114" s="986" t="s">
        <v>1615</v>
      </c>
      <c r="E114" s="986"/>
      <c r="F114" s="986"/>
      <c r="G114"/>
    </row>
    <row r="115" spans="1:7" ht="14.25">
      <c r="A115" s="271"/>
      <c r="B115" s="271"/>
      <c r="D115" s="986"/>
      <c r="E115" s="986"/>
      <c r="F115" s="986"/>
      <c r="G115"/>
    </row>
    <row r="116" spans="1:7" ht="14.25">
      <c r="A116" s="271"/>
      <c r="B116" s="271"/>
      <c r="D116" s="986"/>
      <c r="E116" s="986"/>
      <c r="F116" s="986"/>
      <c r="G116"/>
    </row>
    <row r="117" spans="1:7" ht="14.25">
      <c r="A117" s="271"/>
      <c r="B117" s="271"/>
      <c r="D117" s="986"/>
      <c r="E117" s="986"/>
      <c r="F117" s="986"/>
      <c r="G117"/>
    </row>
    <row r="118" spans="1:7" ht="14.25">
      <c r="A118" s="271"/>
      <c r="B118" s="271"/>
      <c r="D118" s="986"/>
      <c r="E118" s="986"/>
      <c r="F118" s="986"/>
      <c r="G118"/>
    </row>
    <row r="119" spans="1:7" ht="14.25">
      <c r="A119" s="271"/>
      <c r="B119" s="271"/>
      <c r="D119" s="986"/>
      <c r="E119" s="986"/>
      <c r="F119" s="986"/>
      <c r="G119"/>
    </row>
    <row r="120" spans="1:7" ht="14.25">
      <c r="A120" s="271"/>
      <c r="B120" s="271"/>
      <c r="D120" s="986"/>
      <c r="E120" s="986"/>
      <c r="F120" s="986"/>
      <c r="G120"/>
    </row>
    <row r="121" spans="1:7" ht="14.25">
      <c r="A121" s="271"/>
      <c r="B121" s="271"/>
      <c r="D121" s="986"/>
      <c r="E121" s="986"/>
      <c r="F121" s="986"/>
      <c r="G121"/>
    </row>
    <row r="122" spans="1:7" ht="12.75" customHeight="1">
      <c r="A122" s="271"/>
      <c r="B122" s="624" t="s">
        <v>1439</v>
      </c>
      <c r="D122" s="986" t="s">
        <v>1616</v>
      </c>
      <c r="E122" s="986"/>
      <c r="F122" s="986"/>
    </row>
    <row r="123" spans="1:7" ht="12.75">
      <c r="D123" s="986"/>
      <c r="E123" s="986"/>
      <c r="F123" s="986"/>
    </row>
    <row r="124" spans="1:7" ht="12.75">
      <c r="D124" s="986"/>
      <c r="E124" s="986"/>
      <c r="F124" s="986"/>
    </row>
    <row r="125" spans="1:7" ht="12.75">
      <c r="D125" s="986"/>
      <c r="E125" s="986"/>
      <c r="F125" s="986"/>
    </row>
    <row r="126" spans="1:7" ht="26.85" customHeight="1">
      <c r="D126" s="986"/>
      <c r="E126" s="986"/>
      <c r="F126" s="986"/>
    </row>
    <row r="127" spans="1:7" ht="12.75"/>
    <row r="128" spans="1:7" ht="14.25">
      <c r="A128" s="271"/>
      <c r="B128" s="624" t="s">
        <v>1439</v>
      </c>
      <c r="D128" s="986" t="s">
        <v>1617</v>
      </c>
      <c r="E128" s="986"/>
      <c r="F128" s="986"/>
    </row>
    <row r="129" spans="1:7" s="324" customFormat="1" ht="13.9" customHeight="1">
      <c r="A129" s="317"/>
      <c r="B129" s="317"/>
      <c r="C129" s="317"/>
      <c r="D129" s="986"/>
      <c r="E129" s="986"/>
      <c r="F129" s="986"/>
      <c r="G129" s="361"/>
    </row>
    <row r="130" spans="1:7" ht="13.9" customHeight="1">
      <c r="D130" s="986"/>
      <c r="E130" s="986"/>
      <c r="F130" s="986"/>
    </row>
    <row r="131" spans="1:7" ht="13.9" customHeight="1">
      <c r="D131" s="986"/>
      <c r="E131" s="986"/>
      <c r="F131" s="986"/>
    </row>
    <row r="132" spans="1:7" ht="13.9" customHeight="1">
      <c r="D132" s="986"/>
      <c r="E132" s="986"/>
      <c r="F132" s="986"/>
    </row>
    <row r="133" spans="1:7" ht="13.9" customHeight="1">
      <c r="D133" s="986"/>
      <c r="E133" s="986"/>
      <c r="F133" s="986"/>
    </row>
    <row r="134" spans="1:7" ht="13.9" customHeight="1">
      <c r="D134" s="986"/>
      <c r="E134" s="986"/>
      <c r="F134" s="986"/>
      <c r="G134"/>
    </row>
    <row r="135" spans="1:7" ht="13.9" customHeight="1">
      <c r="D135" s="986"/>
      <c r="E135" s="986"/>
      <c r="F135" s="986"/>
      <c r="G135"/>
    </row>
    <row r="136" spans="1:7" ht="13.9" customHeight="1">
      <c r="D136" s="986"/>
      <c r="E136" s="986"/>
      <c r="F136" s="986"/>
      <c r="G136"/>
    </row>
    <row r="137" spans="1:7" ht="13.9" customHeight="1">
      <c r="D137" s="986"/>
      <c r="E137" s="986"/>
      <c r="F137" s="986"/>
      <c r="G137"/>
    </row>
    <row r="138" spans="1:7" ht="17.25" customHeight="1">
      <c r="D138" s="986"/>
      <c r="E138" s="986"/>
      <c r="F138" s="986"/>
      <c r="G138"/>
    </row>
    <row r="139" spans="1:7" ht="25.5" hidden="1" customHeight="1">
      <c r="D139" s="986"/>
      <c r="E139" s="986"/>
      <c r="F139" s="986"/>
      <c r="G139"/>
    </row>
    <row r="140" spans="1:7" ht="13.9" customHeight="1">
      <c r="G140"/>
    </row>
    <row r="141" spans="1:7" ht="13.9" customHeight="1">
      <c r="B141" s="624" t="s">
        <v>132</v>
      </c>
      <c r="D141" s="980" t="s">
        <v>1806</v>
      </c>
      <c r="E141" s="986"/>
      <c r="F141" s="986"/>
      <c r="G141"/>
    </row>
    <row r="142" spans="1:7" ht="13.9" customHeight="1">
      <c r="D142" s="986"/>
      <c r="E142" s="986"/>
      <c r="F142" s="986"/>
      <c r="G142"/>
    </row>
    <row r="143" spans="1:7" ht="13.9" customHeight="1">
      <c r="D143" s="986"/>
      <c r="E143" s="986"/>
      <c r="F143" s="986"/>
      <c r="G143"/>
    </row>
    <row r="144" spans="1:7" ht="13.9" customHeight="1">
      <c r="D144" s="986"/>
      <c r="E144" s="986"/>
      <c r="F144" s="986"/>
      <c r="G144"/>
    </row>
    <row r="145" spans="1:7" ht="13.9" customHeight="1">
      <c r="D145" s="986"/>
      <c r="E145" s="986"/>
      <c r="F145" s="986"/>
      <c r="G145"/>
    </row>
    <row r="146" spans="1:7" ht="13.9" customHeight="1">
      <c r="A146" s="18"/>
      <c r="B146" s="18"/>
      <c r="D146" s="986"/>
      <c r="E146" s="986"/>
      <c r="F146" s="986"/>
      <c r="G146"/>
    </row>
    <row r="147" spans="1:7" ht="13.9" customHeight="1">
      <c r="A147" s="18"/>
      <c r="B147" s="18"/>
      <c r="D147" s="986"/>
      <c r="E147" s="986"/>
      <c r="F147" s="986"/>
      <c r="G147"/>
    </row>
    <row r="148" spans="1:7" ht="13.9" customHeight="1">
      <c r="A148" s="18"/>
      <c r="B148" s="18"/>
      <c r="D148" s="986"/>
      <c r="E148" s="986"/>
      <c r="F148" s="986"/>
      <c r="G148"/>
    </row>
    <row r="149" spans="1:7" ht="13.9" customHeight="1">
      <c r="A149" s="18"/>
      <c r="B149" s="18"/>
      <c r="D149" s="986"/>
      <c r="E149" s="986"/>
      <c r="F149" s="986"/>
      <c r="G149"/>
    </row>
    <row r="150" spans="1:7" ht="13.9" customHeight="1">
      <c r="A150" s="18"/>
      <c r="B150" s="18"/>
      <c r="D150" s="986"/>
      <c r="E150" s="986"/>
      <c r="F150" s="986"/>
      <c r="G150"/>
    </row>
    <row r="151" spans="1:7" ht="13.9" customHeight="1">
      <c r="A151" s="18"/>
      <c r="B151" s="18"/>
      <c r="D151" s="986"/>
      <c r="E151" s="986"/>
      <c r="F151" s="986"/>
      <c r="G151"/>
    </row>
    <row r="152" spans="1:7" ht="13.9" customHeight="1">
      <c r="A152" s="18"/>
      <c r="B152" s="18"/>
      <c r="D152" s="986"/>
      <c r="E152" s="986"/>
      <c r="F152" s="986"/>
      <c r="G152"/>
    </row>
    <row r="153" spans="1:7" ht="13.9" customHeight="1">
      <c r="A153" s="18"/>
      <c r="B153" s="18"/>
      <c r="D153" s="986"/>
      <c r="E153" s="986"/>
      <c r="F153" s="986"/>
      <c r="G153"/>
    </row>
    <row r="154" spans="1:7" ht="13.9" customHeight="1">
      <c r="A154" s="18"/>
      <c r="B154" s="18"/>
      <c r="D154" s="986"/>
      <c r="E154" s="986"/>
      <c r="F154" s="986"/>
      <c r="G154"/>
    </row>
    <row r="155" spans="1:7" ht="13.9" customHeight="1">
      <c r="A155" s="18"/>
      <c r="B155" s="18"/>
      <c r="D155" s="986"/>
      <c r="E155" s="986"/>
      <c r="F155" s="986"/>
      <c r="G155"/>
    </row>
    <row r="156" spans="1:7" ht="13.9" customHeight="1">
      <c r="A156" s="18"/>
      <c r="B156" s="18"/>
      <c r="D156" s="986"/>
      <c r="E156" s="986"/>
      <c r="F156" s="986"/>
      <c r="G156"/>
    </row>
    <row r="157" spans="1:7" ht="13.9" customHeight="1">
      <c r="A157" s="18"/>
      <c r="B157" s="18"/>
      <c r="D157" s="986"/>
      <c r="E157" s="986"/>
      <c r="F157" s="986"/>
      <c r="G157"/>
    </row>
    <row r="158" spans="1:7" ht="13.9" customHeight="1">
      <c r="A158" s="18"/>
      <c r="B158" s="18"/>
      <c r="D158" s="986"/>
      <c r="E158" s="986"/>
      <c r="F158" s="986"/>
      <c r="G158"/>
    </row>
    <row r="159" spans="1:7" ht="13.9" customHeight="1">
      <c r="A159" s="18"/>
      <c r="B159" s="18"/>
      <c r="D159" s="1045" t="s">
        <v>1807</v>
      </c>
      <c r="E159" s="1045"/>
      <c r="F159" s="1045"/>
      <c r="G159"/>
    </row>
    <row r="160" spans="1:7" ht="13.9" customHeight="1">
      <c r="A160" s="18"/>
      <c r="B160" s="18"/>
      <c r="D160" s="44"/>
      <c r="G160"/>
    </row>
    <row r="161" spans="1:7" ht="13.9" customHeight="1">
      <c r="A161" s="271"/>
      <c r="B161" s="624" t="s">
        <v>1439</v>
      </c>
      <c r="D161" s="1007" t="s">
        <v>1835</v>
      </c>
      <c r="E161" s="1047"/>
      <c r="F161" s="1047"/>
      <c r="G161"/>
    </row>
    <row r="162" spans="1:7" ht="13.9" customHeight="1">
      <c r="A162" s="271"/>
      <c r="B162" s="18"/>
      <c r="D162" s="1047"/>
      <c r="E162" s="1047"/>
      <c r="F162" s="1047"/>
      <c r="G162"/>
    </row>
    <row r="163" spans="1:7" ht="13.9" customHeight="1">
      <c r="A163" s="18"/>
      <c r="B163" s="18"/>
      <c r="D163" s="1047"/>
      <c r="E163" s="1047"/>
      <c r="F163" s="1047"/>
      <c r="G163"/>
    </row>
    <row r="164" spans="1:7" ht="13.9" customHeight="1">
      <c r="A164" s="18"/>
      <c r="B164" s="18"/>
      <c r="D164" s="44"/>
      <c r="G164"/>
    </row>
    <row r="165" spans="1:7" ht="13.9" customHeight="1">
      <c r="A165" s="271"/>
      <c r="B165" s="624" t="s">
        <v>1439</v>
      </c>
      <c r="D165" s="1047" t="s">
        <v>1618</v>
      </c>
      <c r="E165" s="1047"/>
      <c r="F165" s="1047"/>
      <c r="G165"/>
    </row>
    <row r="166" spans="1:7" ht="13.9" customHeight="1">
      <c r="A166" s="18"/>
      <c r="B166" s="18"/>
      <c r="D166" s="1047"/>
      <c r="E166" s="1047"/>
      <c r="F166" s="1047"/>
    </row>
    <row r="167" spans="1:7" ht="13.9" customHeight="1">
      <c r="A167" s="18"/>
      <c r="B167" s="18"/>
      <c r="D167" s="1047"/>
      <c r="E167" s="1047"/>
      <c r="F167" s="1047"/>
    </row>
    <row r="168" spans="1:7" ht="13.9" customHeight="1">
      <c r="A168" s="18"/>
      <c r="B168" s="18"/>
      <c r="D168" s="1047"/>
      <c r="E168" s="1047"/>
      <c r="F168" s="1047"/>
    </row>
    <row r="169" spans="1:7" ht="13.9" customHeight="1">
      <c r="A169" s="18"/>
      <c r="B169" s="18"/>
      <c r="D169" s="44"/>
    </row>
    <row r="170" spans="1:7" ht="13.9" customHeight="1">
      <c r="A170" s="374"/>
      <c r="B170" s="624" t="s">
        <v>132</v>
      </c>
      <c r="C170" s="374"/>
      <c r="D170" s="1043" t="s">
        <v>2266</v>
      </c>
      <c r="E170" s="1043"/>
      <c r="F170" s="1043"/>
      <c r="G170" s="365"/>
    </row>
    <row r="171" spans="1:7" ht="13.9" customHeight="1">
      <c r="A171" s="374"/>
      <c r="B171" s="374"/>
      <c r="C171" s="374"/>
      <c r="D171" s="1043"/>
      <c r="E171" s="1043"/>
      <c r="F171" s="1043"/>
      <c r="G171" s="365"/>
    </row>
    <row r="172" spans="1:7" ht="13.9" customHeight="1">
      <c r="A172" s="374"/>
      <c r="B172" s="374"/>
      <c r="C172" s="374"/>
      <c r="D172" s="1043"/>
      <c r="E172" s="1043"/>
      <c r="F172" s="1043"/>
      <c r="G172" s="365"/>
    </row>
    <row r="173" spans="1:7" ht="12.75">
      <c r="A173" s="374"/>
      <c r="B173" s="374"/>
      <c r="C173" s="374"/>
      <c r="D173" s="376"/>
      <c r="E173" s="365"/>
      <c r="F173" s="365"/>
      <c r="G173" s="365"/>
    </row>
    <row r="174" spans="1:7" ht="12.75">
      <c r="A174" s="1011" t="s">
        <v>1446</v>
      </c>
      <c r="B174" s="1011"/>
      <c r="C174" s="1011"/>
      <c r="D174" s="1011"/>
      <c r="E174" s="1011"/>
      <c r="F174" s="1011"/>
      <c r="G174" s="1011"/>
    </row>
    <row r="175" spans="1:7" ht="12.75">
      <c r="D175" s="44"/>
    </row>
    <row r="176" spans="1:7" ht="12.75">
      <c r="C176" s="605"/>
      <c r="D176" s="1020" t="s">
        <v>1445</v>
      </c>
      <c r="E176" s="1020"/>
      <c r="F176" s="1020"/>
    </row>
    <row r="177" spans="1:6" ht="12.75">
      <c r="A177" s="190"/>
      <c r="B177" s="190"/>
      <c r="C177" s="190"/>
      <c r="D177" s="1044" t="s">
        <v>1478</v>
      </c>
      <c r="E177" s="1044"/>
      <c r="F177" s="1044"/>
    </row>
    <row r="178" spans="1:6" ht="12.75">
      <c r="A178" s="191"/>
      <c r="B178" s="191"/>
      <c r="C178" s="191"/>
    </row>
    <row r="179" spans="1:6" ht="14.25">
      <c r="A179" s="271"/>
      <c r="B179" s="624" t="s">
        <v>1439</v>
      </c>
      <c r="D179" s="1009" t="s">
        <v>1809</v>
      </c>
      <c r="E179" s="1010"/>
      <c r="F179" s="1010"/>
    </row>
    <row r="180" spans="1:6" ht="14.25">
      <c r="A180" s="271"/>
      <c r="D180" s="313"/>
      <c r="E180" s="102"/>
      <c r="F180" s="102"/>
    </row>
    <row r="181" spans="1:6" ht="14.25">
      <c r="A181" s="271"/>
      <c r="B181" s="624" t="s">
        <v>132</v>
      </c>
      <c r="D181" s="1010" t="s">
        <v>1619</v>
      </c>
      <c r="E181" s="1010"/>
      <c r="F181" s="1010"/>
    </row>
    <row r="182" spans="1:6" ht="14.25">
      <c r="A182" s="271"/>
      <c r="D182" s="102"/>
      <c r="E182" s="102"/>
      <c r="F182" s="102"/>
    </row>
    <row r="183" spans="1:6" ht="14.25">
      <c r="A183" s="271"/>
      <c r="B183" s="624" t="s">
        <v>132</v>
      </c>
      <c r="D183" s="1046" t="s">
        <v>1889</v>
      </c>
      <c r="E183" s="1046"/>
      <c r="F183" s="1046"/>
    </row>
    <row r="184" spans="1:6" ht="13.7" customHeight="1">
      <c r="A184" s="271"/>
      <c r="D184" s="41" t="s">
        <v>944</v>
      </c>
      <c r="E184" s="980" t="s">
        <v>2261</v>
      </c>
      <c r="F184" s="980"/>
    </row>
    <row r="185" spans="1:6" ht="14.25">
      <c r="A185" s="271"/>
      <c r="D185" s="793"/>
      <c r="E185" s="980"/>
      <c r="F185" s="980"/>
    </row>
    <row r="186" spans="1:6" ht="14.25">
      <c r="A186" s="271"/>
      <c r="D186" s="793"/>
      <c r="E186" s="980"/>
      <c r="F186" s="980"/>
    </row>
    <row r="187" spans="1:6" ht="14.25">
      <c r="A187" s="271"/>
      <c r="D187"/>
      <c r="E187" s="980"/>
      <c r="F187" s="980"/>
    </row>
    <row r="188" spans="1:6" ht="13.7" customHeight="1">
      <c r="A188" s="271"/>
      <c r="D188" s="793" t="s">
        <v>945</v>
      </c>
      <c r="E188" s="980" t="s">
        <v>1890</v>
      </c>
      <c r="F188" s="980"/>
    </row>
    <row r="189" spans="1:6" ht="13.7" customHeight="1">
      <c r="A189" s="271"/>
      <c r="D189" s="793"/>
      <c r="E189" s="980"/>
      <c r="F189" s="980"/>
    </row>
    <row r="190" spans="1:6" ht="13.7" customHeight="1">
      <c r="A190" s="271"/>
      <c r="D190" s="793"/>
      <c r="E190" s="980"/>
      <c r="F190" s="980"/>
    </row>
    <row r="191" spans="1:6" ht="13.7" customHeight="1">
      <c r="A191" s="271"/>
      <c r="D191" s="793"/>
      <c r="E191" s="980"/>
      <c r="F191" s="980"/>
    </row>
    <row r="192" spans="1:6" ht="13.7" customHeight="1">
      <c r="A192" s="271"/>
      <c r="D192" s="793"/>
      <c r="E192" s="980"/>
      <c r="F192" s="980"/>
    </row>
    <row r="193" spans="1:7" ht="14.25">
      <c r="A193" s="271"/>
      <c r="D193"/>
      <c r="E193" s="980"/>
      <c r="F193" s="980"/>
    </row>
    <row r="194" spans="1:7" ht="14.25">
      <c r="A194" s="271"/>
      <c r="D194"/>
      <c r="E194" s="980"/>
      <c r="F194" s="980"/>
    </row>
    <row r="195" spans="1:7" ht="12.75"/>
    <row r="196" spans="1:7" ht="14.25">
      <c r="A196" s="271"/>
      <c r="B196" s="624" t="s">
        <v>132</v>
      </c>
      <c r="D196" s="986" t="s">
        <v>1620</v>
      </c>
      <c r="E196" s="986"/>
      <c r="F196" s="986"/>
    </row>
    <row r="197" spans="1:7" ht="14.25">
      <c r="A197" s="271"/>
      <c r="B197" s="271"/>
      <c r="D197" s="986"/>
      <c r="E197" s="986"/>
      <c r="F197" s="986"/>
    </row>
    <row r="198" spans="1:7" ht="14.25">
      <c r="A198" s="271"/>
      <c r="B198" s="271"/>
      <c r="D198" s="986"/>
      <c r="E198" s="986"/>
      <c r="F198" s="986"/>
    </row>
    <row r="199" spans="1:7" ht="14.25">
      <c r="A199" s="271"/>
      <c r="B199" s="271"/>
      <c r="D199" s="986"/>
      <c r="E199" s="986"/>
      <c r="F199" s="986"/>
    </row>
    <row r="200" spans="1:7" ht="12.75">
      <c r="D200" s="1045" t="s">
        <v>2354</v>
      </c>
      <c r="E200" s="1045"/>
      <c r="F200" s="1045"/>
    </row>
    <row r="201" spans="1:7" ht="12.75">
      <c r="D201" s="640"/>
      <c r="E201" s="640"/>
      <c r="F201" s="640"/>
    </row>
    <row r="202" spans="1:7" ht="14.25">
      <c r="A202" s="271"/>
      <c r="B202" s="624" t="s">
        <v>132</v>
      </c>
      <c r="D202" s="1006" t="s">
        <v>1621</v>
      </c>
      <c r="E202" s="1006"/>
      <c r="F202" s="1006"/>
    </row>
    <row r="203" spans="1:7" ht="12.75"/>
    <row r="204" spans="1:7" ht="12.75">
      <c r="A204" s="1011" t="s">
        <v>1448</v>
      </c>
      <c r="B204" s="1011"/>
      <c r="C204" s="1011"/>
      <c r="D204" s="1011"/>
      <c r="E204" s="1011"/>
      <c r="F204" s="1011"/>
      <c r="G204" s="1011"/>
    </row>
    <row r="205" spans="1:7" ht="12.75"/>
    <row r="206" spans="1:7" ht="12.75">
      <c r="C206" s="606"/>
      <c r="D206" s="1020" t="s">
        <v>1447</v>
      </c>
      <c r="E206" s="1020"/>
      <c r="F206" s="1020"/>
    </row>
    <row r="207" spans="1:7" ht="12.75">
      <c r="A207" s="607"/>
      <c r="B207" s="607"/>
      <c r="C207" s="606"/>
      <c r="D207" s="1020" t="s">
        <v>733</v>
      </c>
      <c r="E207" s="1020"/>
      <c r="F207" s="1020"/>
    </row>
    <row r="208" spans="1:7" ht="12.75">
      <c r="A208" s="190"/>
      <c r="B208" s="190"/>
      <c r="C208" s="190"/>
      <c r="D208" s="1010" t="s">
        <v>1479</v>
      </c>
      <c r="E208" s="1010"/>
      <c r="F208" s="1010"/>
    </row>
    <row r="209" spans="1:6" ht="12.75">
      <c r="A209" s="190"/>
      <c r="B209" s="190"/>
      <c r="C209" s="190"/>
    </row>
    <row r="210" spans="1:6" ht="12.75">
      <c r="A210" s="190"/>
      <c r="B210" s="190"/>
      <c r="C210" s="190"/>
      <c r="D210" s="986" t="s">
        <v>1489</v>
      </c>
      <c r="E210" s="986"/>
      <c r="F210" s="986"/>
    </row>
    <row r="211" spans="1:6" ht="12.75">
      <c r="A211" s="190"/>
      <c r="B211" s="190"/>
      <c r="C211" s="190"/>
      <c r="D211" s="986"/>
      <c r="E211" s="986"/>
      <c r="F211" s="986"/>
    </row>
    <row r="212" spans="1:6" ht="12.75">
      <c r="A212" s="190"/>
      <c r="B212" s="190"/>
      <c r="C212" s="190"/>
      <c r="D212" s="986"/>
      <c r="E212" s="986"/>
      <c r="F212" s="986"/>
    </row>
    <row r="213" spans="1:6" ht="12.75">
      <c r="A213" s="190"/>
      <c r="B213" s="190"/>
      <c r="C213" s="190"/>
      <c r="D213" s="986"/>
      <c r="E213" s="986"/>
      <c r="F213" s="986"/>
    </row>
    <row r="214" spans="1:6" ht="12.75">
      <c r="A214" s="190"/>
      <c r="B214" s="190"/>
      <c r="C214" s="190"/>
    </row>
    <row r="215" spans="1:6" ht="12.75">
      <c r="A215" s="190"/>
      <c r="B215" s="190"/>
      <c r="C215" s="190"/>
      <c r="D215" s="980" t="s">
        <v>2267</v>
      </c>
      <c r="E215" s="986"/>
      <c r="F215" s="986"/>
    </row>
    <row r="216" spans="1:6" ht="12.75">
      <c r="A216" s="190"/>
      <c r="B216" s="190"/>
      <c r="C216" s="190"/>
      <c r="D216" s="986"/>
      <c r="E216" s="986"/>
      <c r="F216" s="986"/>
    </row>
    <row r="217" spans="1:6" ht="12.75">
      <c r="A217" s="190"/>
      <c r="B217" s="190"/>
      <c r="C217" s="190"/>
      <c r="D217" s="986"/>
      <c r="E217" s="986"/>
      <c r="F217" s="986"/>
    </row>
    <row r="218" spans="1:6" ht="12.75">
      <c r="A218" s="190"/>
      <c r="B218" s="190"/>
      <c r="C218" s="190"/>
      <c r="D218" s="986"/>
      <c r="E218" s="986"/>
      <c r="F218" s="986"/>
    </row>
    <row r="219" spans="1:6" ht="12.75">
      <c r="A219" s="190"/>
      <c r="B219" s="190"/>
      <c r="C219" s="190"/>
      <c r="D219" s="986"/>
      <c r="E219" s="986"/>
      <c r="F219" s="986"/>
    </row>
    <row r="220" spans="1:6" ht="12.75">
      <c r="A220" s="190"/>
      <c r="B220" s="190"/>
      <c r="C220" s="190"/>
      <c r="D220" s="986"/>
      <c r="E220" s="986"/>
      <c r="F220" s="986"/>
    </row>
    <row r="221" spans="1:6" ht="12.75">
      <c r="A221" s="191"/>
      <c r="B221" s="191"/>
      <c r="C221" s="191"/>
    </row>
    <row r="222" spans="1:6" ht="14.45" customHeight="1">
      <c r="A222" s="271"/>
      <c r="B222" s="624" t="s">
        <v>132</v>
      </c>
      <c r="C222" s="191"/>
      <c r="D222" s="1006" t="s">
        <v>308</v>
      </c>
      <c r="E222" s="1006"/>
      <c r="F222" s="1006"/>
    </row>
    <row r="223" spans="1:6" ht="14.25">
      <c r="A223" s="271"/>
      <c r="C223" s="191"/>
      <c r="D223" s="1010" t="s">
        <v>1158</v>
      </c>
      <c r="E223" s="1010"/>
      <c r="F223" s="1010"/>
    </row>
    <row r="224" spans="1:6" ht="14.25">
      <c r="A224" s="271"/>
      <c r="B224" s="271"/>
      <c r="C224" s="191"/>
      <c r="D224" s="104" t="s">
        <v>1496</v>
      </c>
      <c r="E224" s="1018" t="s">
        <v>2169</v>
      </c>
      <c r="F224" s="1018"/>
    </row>
    <row r="225" spans="1:6" ht="12.75">
      <c r="D225" s="1009" t="s">
        <v>1472</v>
      </c>
      <c r="E225" s="1010"/>
      <c r="F225" s="1010"/>
    </row>
    <row r="226" spans="1:6" ht="12.75"/>
    <row r="227" spans="1:6" ht="14.25">
      <c r="A227" s="271"/>
      <c r="B227" s="624" t="s">
        <v>132</v>
      </c>
      <c r="D227" s="1010" t="s">
        <v>309</v>
      </c>
      <c r="E227" s="1010"/>
      <c r="F227" s="1010"/>
    </row>
    <row r="228" spans="1:6" ht="14.25">
      <c r="A228" s="271"/>
      <c r="D228" s="1006" t="s">
        <v>1158</v>
      </c>
      <c r="E228" s="1006"/>
      <c r="F228" s="1006"/>
    </row>
    <row r="229" spans="1:6" ht="14.25">
      <c r="A229" s="271"/>
      <c r="B229" s="271"/>
      <c r="D229" s="63" t="s">
        <v>1497</v>
      </c>
      <c r="E229" s="1018" t="s">
        <v>2170</v>
      </c>
      <c r="F229" s="1018"/>
    </row>
    <row r="230" spans="1:6" ht="12.75">
      <c r="D230" s="1010" t="s">
        <v>1473</v>
      </c>
      <c r="E230" s="1010"/>
      <c r="F230" s="1010"/>
    </row>
    <row r="231" spans="1:6" ht="12.75"/>
    <row r="232" spans="1:6" ht="14.25">
      <c r="A232" s="271"/>
      <c r="B232" s="624" t="s">
        <v>1439</v>
      </c>
      <c r="D232" s="1010" t="s">
        <v>677</v>
      </c>
      <c r="E232" s="1010"/>
      <c r="F232" s="1010"/>
    </row>
    <row r="233" spans="1:6" ht="14.25">
      <c r="A233" s="271"/>
      <c r="D233" s="44" t="s">
        <v>1158</v>
      </c>
    </row>
    <row r="234" spans="1:6" ht="14.25">
      <c r="A234" s="271"/>
      <c r="B234" s="271"/>
      <c r="D234" s="63" t="s">
        <v>1496</v>
      </c>
      <c r="E234" s="1018" t="s">
        <v>2171</v>
      </c>
      <c r="F234" s="1018"/>
    </row>
    <row r="235" spans="1:6" ht="14.25">
      <c r="A235" s="271"/>
      <c r="B235" s="271"/>
      <c r="D235" s="986" t="s">
        <v>1499</v>
      </c>
      <c r="E235" s="986"/>
      <c r="F235" s="986"/>
    </row>
    <row r="236" spans="1:6" ht="12.75">
      <c r="D236" s="986"/>
      <c r="E236" s="986"/>
      <c r="F236" s="986"/>
    </row>
    <row r="237" spans="1:6" ht="12.75">
      <c r="D237" s="986"/>
      <c r="E237" s="986"/>
      <c r="F237" s="986"/>
    </row>
    <row r="238" spans="1:6" ht="12.75">
      <c r="D238" s="986"/>
      <c r="E238" s="986"/>
      <c r="F238" s="986"/>
    </row>
    <row r="239" spans="1:6" ht="12.75">
      <c r="D239" s="986"/>
      <c r="E239" s="986"/>
      <c r="F239" s="986"/>
    </row>
    <row r="240" spans="1:6" ht="12.75">
      <c r="D240" s="986" t="s">
        <v>1474</v>
      </c>
      <c r="E240" s="986"/>
      <c r="F240" s="986"/>
    </row>
    <row r="241" spans="1:6" ht="12.75">
      <c r="D241" s="44"/>
    </row>
    <row r="242" spans="1:6" ht="14.25">
      <c r="A242" s="271"/>
      <c r="B242" s="624" t="s">
        <v>132</v>
      </c>
      <c r="D242" s="1010" t="s">
        <v>678</v>
      </c>
      <c r="E242" s="1010"/>
      <c r="F242" s="1010"/>
    </row>
    <row r="243" spans="1:6" ht="14.25">
      <c r="A243" s="271"/>
      <c r="D243" s="1010" t="s">
        <v>1158</v>
      </c>
      <c r="E243" s="1010"/>
      <c r="F243" s="1010"/>
    </row>
    <row r="244" spans="1:6" ht="14.25">
      <c r="A244" s="271"/>
      <c r="B244" s="271"/>
      <c r="D244" s="63" t="s">
        <v>1496</v>
      </c>
      <c r="E244" s="1018" t="s">
        <v>2172</v>
      </c>
      <c r="F244" s="1018"/>
    </row>
    <row r="245" spans="1:6" ht="12.75">
      <c r="D245" s="1009" t="s">
        <v>2026</v>
      </c>
      <c r="E245" s="1010"/>
      <c r="F245" s="1010"/>
    </row>
    <row r="246" spans="1:6" ht="12.75">
      <c r="D246" s="102"/>
      <c r="E246" s="102"/>
      <c r="F246" s="102"/>
    </row>
    <row r="247" spans="1:6" ht="14.25">
      <c r="A247" s="271"/>
      <c r="B247" s="624" t="s">
        <v>132</v>
      </c>
      <c r="D247" s="1009" t="s">
        <v>2025</v>
      </c>
      <c r="E247" s="1010"/>
      <c r="F247" s="1010"/>
    </row>
    <row r="248" spans="1:6" ht="14.25">
      <c r="A248" s="271"/>
      <c r="D248" s="1010" t="s">
        <v>1158</v>
      </c>
      <c r="E248" s="1010"/>
      <c r="F248" s="1010"/>
    </row>
    <row r="249" spans="1:6" ht="14.25">
      <c r="A249" s="271"/>
      <c r="B249" s="271"/>
      <c r="D249" s="63" t="s">
        <v>1496</v>
      </c>
      <c r="E249" s="1018" t="s">
        <v>2173</v>
      </c>
      <c r="F249" s="1018"/>
    </row>
    <row r="250" spans="1:6" ht="12.75">
      <c r="D250" s="1009" t="s">
        <v>2027</v>
      </c>
      <c r="E250" s="1010"/>
      <c r="F250" s="1010"/>
    </row>
    <row r="251" spans="1:6" ht="12.75">
      <c r="D251" s="44"/>
    </row>
    <row r="252" spans="1:6" ht="14.25">
      <c r="A252" s="271"/>
      <c r="B252" s="624" t="s">
        <v>132</v>
      </c>
      <c r="D252" s="102" t="s">
        <v>1519</v>
      </c>
      <c r="E252" s="102"/>
      <c r="F252" s="102"/>
    </row>
    <row r="253" spans="1:6" ht="14.25">
      <c r="A253" s="271"/>
      <c r="B253"/>
      <c r="D253" s="980" t="s">
        <v>1830</v>
      </c>
      <c r="E253" s="986"/>
      <c r="F253" s="986"/>
    </row>
    <row r="254" spans="1:6" ht="14.25">
      <c r="A254" s="271"/>
      <c r="D254" s="986"/>
      <c r="E254" s="986"/>
      <c r="F254" s="986"/>
    </row>
    <row r="255" spans="1:6" ht="14.25">
      <c r="A255" s="271"/>
      <c r="D255" s="986"/>
      <c r="E255" s="986"/>
      <c r="F255" s="986"/>
    </row>
    <row r="256" spans="1:6" ht="14.25">
      <c r="A256" s="271"/>
      <c r="D256" s="24"/>
      <c r="E256" s="24"/>
      <c r="F256" s="24"/>
    </row>
    <row r="257" spans="1:7" ht="14.25">
      <c r="A257" s="271"/>
      <c r="B257" s="624" t="s">
        <v>132</v>
      </c>
      <c r="D257" s="1010" t="s">
        <v>1067</v>
      </c>
      <c r="E257" s="1010"/>
      <c r="F257" s="1010"/>
    </row>
    <row r="258" spans="1:7" ht="14.25">
      <c r="A258" s="271"/>
      <c r="D258" s="102"/>
      <c r="E258" s="102"/>
      <c r="F258" s="102"/>
    </row>
    <row r="259" spans="1:7" ht="12.75">
      <c r="A259" s="1011" t="s">
        <v>1450</v>
      </c>
      <c r="B259" s="1011"/>
      <c r="C259" s="1011"/>
      <c r="D259" s="1011"/>
      <c r="E259" s="1011"/>
      <c r="F259" s="1011"/>
      <c r="G259" s="1011"/>
    </row>
    <row r="260" spans="1:7" ht="12.75">
      <c r="D260" s="44"/>
    </row>
    <row r="261" spans="1:7" ht="12.75">
      <c r="C261" s="605"/>
      <c r="D261" s="1012" t="s">
        <v>1449</v>
      </c>
      <c r="E261" s="1012"/>
      <c r="F261" s="1012"/>
    </row>
    <row r="262" spans="1:7" ht="12.75">
      <c r="A262" s="190"/>
      <c r="B262" s="190"/>
      <c r="C262" s="190"/>
      <c r="D262" s="1006" t="s">
        <v>1480</v>
      </c>
      <c r="E262" s="1006"/>
      <c r="F262" s="1006"/>
    </row>
    <row r="263" spans="1:7" ht="12.75">
      <c r="A263" s="18"/>
      <c r="B263" s="18"/>
      <c r="C263" s="18"/>
      <c r="D263" s="3"/>
    </row>
    <row r="264" spans="1:7" ht="12.75">
      <c r="A264" s="18"/>
      <c r="C264" s="18"/>
      <c r="D264" s="1012" t="s">
        <v>223</v>
      </c>
      <c r="E264" s="1012"/>
      <c r="F264" s="1012"/>
      <c r="G264"/>
    </row>
    <row r="265" spans="1:7" ht="14.45" customHeight="1">
      <c r="A265" s="271"/>
      <c r="B265" s="624" t="s">
        <v>1439</v>
      </c>
      <c r="C265" s="900"/>
      <c r="D265" s="1021" t="s">
        <v>2107</v>
      </c>
      <c r="E265" s="1021"/>
      <c r="F265" s="1021"/>
      <c r="G265"/>
    </row>
    <row r="266" spans="1:7" ht="14.25">
      <c r="A266" s="271"/>
      <c r="B266" s="901"/>
      <c r="C266" s="900"/>
      <c r="D266" s="1021"/>
      <c r="E266" s="1021"/>
      <c r="F266" s="1021"/>
      <c r="G266"/>
    </row>
    <row r="267" spans="1:7" ht="14.25">
      <c r="A267" s="271"/>
      <c r="B267" s="901"/>
      <c r="C267" s="900"/>
      <c r="D267" s="1021"/>
      <c r="E267" s="1021"/>
      <c r="F267" s="1021"/>
      <c r="G267"/>
    </row>
    <row r="268" spans="1:7" ht="14.45" customHeight="1">
      <c r="A268" s="271"/>
      <c r="B268" s="901"/>
      <c r="C268" s="900"/>
      <c r="D268" s="1021"/>
      <c r="E268" s="1021"/>
      <c r="F268" s="1021"/>
      <c r="G268"/>
    </row>
    <row r="269" spans="1:7" ht="14.25">
      <c r="A269" s="271"/>
      <c r="B269" s="901"/>
      <c r="C269" s="900"/>
      <c r="D269" s="902"/>
      <c r="E269" s="902"/>
      <c r="F269" s="902"/>
      <c r="G269"/>
    </row>
    <row r="270" spans="1:7" ht="14.25">
      <c r="A270" s="271"/>
      <c r="B270" s="624" t="s">
        <v>1439</v>
      </c>
      <c r="C270" s="900"/>
      <c r="D270" s="1021" t="s">
        <v>2108</v>
      </c>
      <c r="E270" s="1021"/>
      <c r="F270" s="1021"/>
      <c r="G270"/>
    </row>
    <row r="271" spans="1:7" ht="14.25">
      <c r="A271" s="271"/>
      <c r="B271" s="901"/>
      <c r="C271" s="900"/>
      <c r="D271" s="1021"/>
      <c r="E271" s="1021"/>
      <c r="F271" s="1021"/>
      <c r="G271"/>
    </row>
    <row r="272" spans="1:7" ht="14.25">
      <c r="A272" s="271"/>
      <c r="B272" s="901"/>
      <c r="C272" s="900"/>
      <c r="D272" s="1021"/>
      <c r="E272" s="1021"/>
      <c r="F272" s="1021"/>
      <c r="G272"/>
    </row>
    <row r="273" spans="1:7" ht="14.25">
      <c r="A273" s="271"/>
      <c r="B273" s="901"/>
      <c r="C273" s="900"/>
      <c r="D273" s="1021"/>
      <c r="E273" s="1021"/>
      <c r="F273" s="1021"/>
      <c r="G273"/>
    </row>
    <row r="274" spans="1:7" ht="14.25">
      <c r="A274" s="271"/>
      <c r="B274" s="901"/>
      <c r="C274" s="900"/>
      <c r="D274" s="1021"/>
      <c r="E274" s="1021"/>
      <c r="F274" s="1021"/>
      <c r="G274"/>
    </row>
    <row r="275" spans="1:7" ht="14.25">
      <c r="A275" s="271"/>
      <c r="B275" s="901"/>
      <c r="C275" s="900"/>
      <c r="D275" s="902"/>
      <c r="E275" s="902"/>
      <c r="F275" s="902"/>
      <c r="G275"/>
    </row>
    <row r="276" spans="1:7" ht="14.25">
      <c r="A276" s="271"/>
      <c r="B276" s="901"/>
      <c r="C276" s="900"/>
      <c r="D276" s="1021" t="s">
        <v>1630</v>
      </c>
      <c r="E276" s="1021"/>
      <c r="F276" s="1021"/>
      <c r="G276"/>
    </row>
    <row r="277" spans="1:7" ht="14.25">
      <c r="A277" s="271"/>
      <c r="B277" s="901"/>
      <c r="C277" s="900"/>
      <c r="D277" s="1021"/>
      <c r="E277" s="1021"/>
      <c r="F277" s="1021"/>
      <c r="G277"/>
    </row>
    <row r="278" spans="1:7" ht="14.25">
      <c r="A278" s="271"/>
      <c r="B278" s="901"/>
      <c r="C278" s="900"/>
      <c r="D278" s="1021"/>
      <c r="E278" s="1021"/>
      <c r="F278" s="1021"/>
      <c r="G278"/>
    </row>
    <row r="279" spans="1:7" ht="14.25">
      <c r="A279" s="271"/>
      <c r="B279" s="901"/>
      <c r="C279" s="900"/>
      <c r="D279" s="1021"/>
      <c r="E279" s="1021"/>
      <c r="F279" s="1021"/>
      <c r="G279"/>
    </row>
    <row r="280" spans="1:7" ht="14.25">
      <c r="A280" s="271"/>
      <c r="B280" s="901"/>
      <c r="C280" s="900"/>
      <c r="D280" s="1021"/>
      <c r="E280" s="1021"/>
      <c r="F280" s="1021"/>
      <c r="G280"/>
    </row>
    <row r="281" spans="1:7" ht="14.25">
      <c r="A281" s="271"/>
      <c r="B281" s="271"/>
      <c r="D281" s="209"/>
      <c r="E281" s="209"/>
      <c r="F281" s="209"/>
      <c r="G281"/>
    </row>
    <row r="282" spans="1:7" s="460" customFormat="1" ht="14.45" customHeight="1">
      <c r="A282" s="289"/>
      <c r="B282" s="624" t="s">
        <v>132</v>
      </c>
      <c r="C282" s="818"/>
      <c r="D282" s="1019" t="s">
        <v>2020</v>
      </c>
      <c r="E282" s="1019"/>
      <c r="F282" s="1019"/>
      <c r="G282" s="819"/>
    </row>
    <row r="283" spans="1:7" s="460" customFormat="1" ht="14.25">
      <c r="A283" s="289"/>
      <c r="B283" s="818"/>
      <c r="C283" s="818"/>
      <c r="D283" s="1019"/>
      <c r="E283" s="1019"/>
      <c r="F283" s="1019"/>
      <c r="G283" s="819"/>
    </row>
    <row r="284" spans="1:7" s="460" customFormat="1" ht="14.25">
      <c r="A284" s="289"/>
      <c r="B284" s="818"/>
      <c r="C284" s="818"/>
      <c r="D284" s="1019"/>
      <c r="E284" s="1019"/>
      <c r="F284" s="1019"/>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1006" t="s">
        <v>1159</v>
      </c>
      <c r="E287" s="1006"/>
      <c r="F287" s="1006"/>
      <c r="G287"/>
    </row>
    <row r="288" spans="1:7" ht="14.25">
      <c r="A288" s="271"/>
      <c r="B288" s="271"/>
      <c r="D288" s="1006" t="s">
        <v>1631</v>
      </c>
      <c r="E288" s="1006"/>
      <c r="F288" s="1006"/>
      <c r="G288"/>
    </row>
    <row r="289" spans="1:7" ht="14.25">
      <c r="A289" s="271"/>
      <c r="B289" s="271"/>
      <c r="D289" s="3" t="s">
        <v>1089</v>
      </c>
      <c r="E289" s="947" t="s">
        <v>2175</v>
      </c>
      <c r="F289" s="3"/>
    </row>
    <row r="290" spans="1:7" ht="12.75">
      <c r="D290" s="28"/>
    </row>
    <row r="291" spans="1:7" ht="14.25">
      <c r="A291" s="271"/>
      <c r="B291" s="624" t="s">
        <v>1439</v>
      </c>
      <c r="D291" s="986" t="s">
        <v>1632</v>
      </c>
      <c r="E291" s="986"/>
      <c r="F291" s="986"/>
    </row>
    <row r="292" spans="1:7" ht="14.25">
      <c r="A292" s="271"/>
      <c r="B292" s="271"/>
      <c r="D292" s="986"/>
      <c r="E292" s="986"/>
      <c r="F292" s="986"/>
    </row>
    <row r="293" spans="1:7" ht="12.75">
      <c r="D293" s="28"/>
    </row>
    <row r="294" spans="1:7" ht="12.75">
      <c r="A294" s="1011" t="s">
        <v>1452</v>
      </c>
      <c r="B294" s="1011"/>
      <c r="C294" s="1011"/>
      <c r="D294" s="1011"/>
      <c r="E294" s="1011"/>
      <c r="F294" s="1011"/>
      <c r="G294" s="1011"/>
    </row>
    <row r="295" spans="1:7" ht="12.75">
      <c r="D295" s="28"/>
    </row>
    <row r="296" spans="1:7" ht="12.75">
      <c r="C296" s="605"/>
      <c r="D296" s="1012" t="s">
        <v>1451</v>
      </c>
      <c r="E296" s="1012"/>
      <c r="F296" s="1012"/>
    </row>
    <row r="297" spans="1:7" ht="12.75">
      <c r="A297" s="190"/>
      <c r="B297" s="190"/>
      <c r="C297" s="190"/>
      <c r="D297" s="44"/>
    </row>
    <row r="298" spans="1:7" ht="12.75">
      <c r="A298" s="191"/>
      <c r="B298" s="191"/>
      <c r="C298" s="191"/>
      <c r="D298" s="1012" t="s">
        <v>225</v>
      </c>
      <c r="E298" s="1012"/>
      <c r="F298" s="1012"/>
    </row>
    <row r="299" spans="1:7" ht="14.45" customHeight="1">
      <c r="A299" s="271"/>
      <c r="B299" s="624" t="s">
        <v>132</v>
      </c>
      <c r="D299" s="980" t="s">
        <v>1972</v>
      </c>
      <c r="E299" s="986"/>
      <c r="F299" s="986"/>
    </row>
    <row r="300" spans="1:7" ht="12.75">
      <c r="D300" s="986"/>
      <c r="E300" s="986"/>
      <c r="F300" s="986"/>
    </row>
    <row r="301" spans="1:7" ht="12.75">
      <c r="D301" s="986"/>
      <c r="E301" s="986"/>
      <c r="F301" s="986"/>
    </row>
    <row r="302" spans="1:7" ht="12.75">
      <c r="D302" s="24"/>
      <c r="E302" s="24"/>
      <c r="F302" s="24"/>
    </row>
    <row r="303" spans="1:7" s="460" customFormat="1" ht="14.45" customHeight="1">
      <c r="A303" s="289"/>
      <c r="B303" s="624" t="s">
        <v>132</v>
      </c>
      <c r="C303" s="818"/>
      <c r="D303" s="1019" t="s">
        <v>2021</v>
      </c>
      <c r="E303" s="1019"/>
      <c r="F303" s="1019"/>
      <c r="G303" s="819"/>
    </row>
    <row r="304" spans="1:7" s="460" customFormat="1" ht="12.75">
      <c r="A304" s="818"/>
      <c r="B304" s="818"/>
      <c r="C304" s="818"/>
      <c r="D304" s="1019"/>
      <c r="E304" s="1019"/>
      <c r="F304" s="1019"/>
      <c r="G304" s="819"/>
    </row>
    <row r="305" spans="1:7" s="460" customFormat="1" ht="12.75">
      <c r="A305" s="818"/>
      <c r="B305" s="818"/>
      <c r="C305" s="818"/>
      <c r="D305" s="1019"/>
      <c r="E305" s="1019"/>
      <c r="F305" s="1019"/>
      <c r="G305" s="819"/>
    </row>
    <row r="306" spans="1:7" s="460" customFormat="1" ht="12.75">
      <c r="A306" s="818"/>
      <c r="B306" s="818"/>
      <c r="C306" s="818"/>
      <c r="E306" s="377" t="s">
        <v>2176</v>
      </c>
      <c r="F306" s="377"/>
      <c r="G306" s="819"/>
    </row>
    <row r="307" spans="1:7" ht="12.75">
      <c r="D307" s="212"/>
    </row>
    <row r="308" spans="1:7" ht="12.75">
      <c r="A308" s="1011" t="s">
        <v>1453</v>
      </c>
      <c r="B308" s="1011"/>
      <c r="C308" s="1011"/>
      <c r="D308" s="1011"/>
      <c r="E308" s="1011"/>
      <c r="F308" s="1011"/>
      <c r="G308" s="1011"/>
    </row>
    <row r="309" spans="1:7" ht="12.75">
      <c r="D309" s="212"/>
    </row>
    <row r="310" spans="1:7" ht="12.75">
      <c r="C310" s="190"/>
      <c r="D310" s="1013" t="s">
        <v>1633</v>
      </c>
      <c r="E310" s="1013"/>
      <c r="F310" s="1013"/>
    </row>
    <row r="311" spans="1:7" ht="12.75">
      <c r="C311" s="190"/>
      <c r="D311" s="1013"/>
      <c r="E311" s="1013"/>
      <c r="F311" s="1013"/>
    </row>
    <row r="312" spans="1:7" ht="12.75">
      <c r="A312" s="191"/>
      <c r="B312" s="191"/>
      <c r="C312" s="191"/>
      <c r="D312" s="3"/>
    </row>
    <row r="313" spans="1:7" ht="12.75">
      <c r="C313" s="191"/>
      <c r="D313" s="1012" t="s">
        <v>173</v>
      </c>
      <c r="E313" s="1012"/>
      <c r="F313" s="1012"/>
    </row>
    <row r="314" spans="1:7" ht="14.25">
      <c r="A314" s="271"/>
      <c r="B314" s="271"/>
      <c r="D314" s="1023" t="s">
        <v>1634</v>
      </c>
      <c r="E314" s="1023"/>
      <c r="F314" s="1023"/>
    </row>
    <row r="315" spans="1:7" ht="12" customHeight="1"/>
    <row r="316" spans="1:7" ht="14.45" customHeight="1">
      <c r="A316" s="271"/>
      <c r="B316" s="624" t="s">
        <v>132</v>
      </c>
      <c r="D316" s="986" t="s">
        <v>1635</v>
      </c>
      <c r="E316" s="986"/>
      <c r="F316" s="986"/>
    </row>
    <row r="317" spans="1:7" ht="14.25">
      <c r="A317" s="271"/>
      <c r="B317" s="271"/>
      <c r="D317" s="986"/>
      <c r="E317" s="986"/>
      <c r="F317" s="986"/>
    </row>
    <row r="318" spans="1:7" ht="12.75"/>
    <row r="319" spans="1:7" ht="14.45" customHeight="1">
      <c r="A319" s="271"/>
      <c r="B319" s="624" t="s">
        <v>132</v>
      </c>
      <c r="D319" s="986" t="s">
        <v>1636</v>
      </c>
      <c r="E319" s="986"/>
      <c r="F319" s="986"/>
    </row>
    <row r="320" spans="1:7" ht="14.25">
      <c r="A320" s="271"/>
      <c r="B320" s="271"/>
      <c r="D320" s="986"/>
      <c r="E320" s="986"/>
      <c r="F320" s="986"/>
    </row>
    <row r="321" spans="1:7" ht="14.25">
      <c r="A321" s="271"/>
      <c r="B321" s="271"/>
      <c r="D321" s="986"/>
      <c r="E321" s="986"/>
      <c r="F321" s="986"/>
    </row>
    <row r="322" spans="1:7" ht="12.75">
      <c r="D322" s="44"/>
      <c r="E322"/>
      <c r="F322"/>
      <c r="G322"/>
    </row>
    <row r="323" spans="1:7" ht="14.25">
      <c r="A323" s="271"/>
      <c r="B323" s="624" t="s">
        <v>132</v>
      </c>
      <c r="D323" s="986" t="s">
        <v>1637</v>
      </c>
      <c r="E323" s="986"/>
      <c r="F323" s="986"/>
    </row>
    <row r="324" spans="1:7" ht="14.25">
      <c r="A324" s="271"/>
      <c r="B324" s="271"/>
      <c r="D324" s="986"/>
      <c r="E324" s="986"/>
      <c r="F324" s="986"/>
    </row>
    <row r="325" spans="1:7" ht="12.75">
      <c r="A325" s="18"/>
      <c r="B325" s="18"/>
      <c r="D325" s="44"/>
    </row>
    <row r="326" spans="1:7" ht="12.75">
      <c r="A326" s="1011" t="s">
        <v>1440</v>
      </c>
      <c r="B326" s="1011"/>
      <c r="C326" s="1011"/>
      <c r="D326" s="1011"/>
      <c r="E326" s="1011"/>
      <c r="F326" s="1011"/>
      <c r="G326" s="1011"/>
    </row>
    <row r="327" spans="1:7" ht="12.75">
      <c r="A327" s="18"/>
      <c r="B327" s="18"/>
      <c r="D327" s="44"/>
      <c r="G327"/>
    </row>
    <row r="328" spans="1:7" ht="12.75">
      <c r="C328" s="18"/>
      <c r="D328" s="1012" t="s">
        <v>174</v>
      </c>
      <c r="E328" s="1012"/>
      <c r="F328" s="1012"/>
      <c r="G328"/>
    </row>
    <row r="329" spans="1:7" ht="12.75">
      <c r="C329" s="18"/>
      <c r="D329" s="1006" t="s">
        <v>1481</v>
      </c>
      <c r="E329" s="1006"/>
      <c r="F329" s="1006"/>
      <c r="G329"/>
    </row>
    <row r="330" spans="1:7" ht="12.75">
      <c r="C330" s="18"/>
      <c r="D330" s="182"/>
      <c r="G330"/>
    </row>
    <row r="331" spans="1:7" ht="12.75">
      <c r="B331" s="624" t="s">
        <v>132</v>
      </c>
      <c r="D331" s="1006" t="s">
        <v>1638</v>
      </c>
      <c r="E331" s="1006"/>
      <c r="F331" s="1006"/>
      <c r="G331"/>
    </row>
    <row r="332" spans="1:7" ht="14.25">
      <c r="A332" s="271"/>
      <c r="B332" s="271"/>
      <c r="D332" s="431"/>
      <c r="G332"/>
    </row>
    <row r="333" spans="1:7" ht="14.25">
      <c r="A333" s="271"/>
      <c r="B333" s="624" t="s">
        <v>132</v>
      </c>
      <c r="D333" s="1006" t="s">
        <v>1639</v>
      </c>
      <c r="E333" s="1006"/>
      <c r="F333" s="1006"/>
      <c r="G333"/>
    </row>
    <row r="334" spans="1:7" ht="12.75">
      <c r="G334"/>
    </row>
    <row r="335" spans="1:7" ht="14.45" customHeight="1">
      <c r="A335" s="271"/>
      <c r="B335" s="624" t="s">
        <v>132</v>
      </c>
      <c r="D335" s="986" t="s">
        <v>1645</v>
      </c>
      <c r="E335" s="986"/>
      <c r="F335" s="986"/>
      <c r="G335"/>
    </row>
    <row r="336" spans="1:7" ht="14.25">
      <c r="A336" s="271"/>
      <c r="B336" s="271"/>
      <c r="D336" s="986"/>
      <c r="E336" s="986"/>
      <c r="F336" s="986"/>
      <c r="G336"/>
    </row>
    <row r="337" spans="1:7" ht="14.25">
      <c r="A337" s="271"/>
      <c r="B337" s="271"/>
      <c r="D337" s="986"/>
      <c r="E337" s="986"/>
      <c r="F337" s="986"/>
      <c r="G337"/>
    </row>
    <row r="338" spans="1:7" ht="14.25">
      <c r="A338" s="271"/>
      <c r="B338" s="271"/>
      <c r="D338" s="986"/>
      <c r="E338" s="986"/>
      <c r="F338" s="986"/>
      <c r="G338"/>
    </row>
    <row r="339" spans="1:7" ht="14.25">
      <c r="A339" s="271"/>
      <c r="B339" s="271"/>
      <c r="D339" s="986"/>
      <c r="E339" s="986"/>
      <c r="F339" s="986"/>
      <c r="G339"/>
    </row>
    <row r="340" spans="1:7" ht="14.25">
      <c r="A340" s="271"/>
      <c r="B340" s="271"/>
      <c r="D340" s="986"/>
      <c r="E340" s="986"/>
      <c r="F340" s="986"/>
      <c r="G340"/>
    </row>
    <row r="341" spans="1:7" ht="14.25">
      <c r="A341" s="271"/>
      <c r="B341" s="271"/>
      <c r="D341" s="986"/>
      <c r="E341" s="986"/>
      <c r="F341" s="986"/>
      <c r="G341"/>
    </row>
    <row r="342" spans="1:7" ht="14.25">
      <c r="A342" s="271"/>
      <c r="B342" s="271"/>
      <c r="D342" s="986"/>
      <c r="E342" s="986"/>
      <c r="F342" s="986"/>
      <c r="G342"/>
    </row>
    <row r="343" spans="1:7" ht="14.25">
      <c r="A343" s="271"/>
      <c r="B343" s="271"/>
      <c r="D343" s="986"/>
      <c r="E343" s="986"/>
      <c r="F343" s="986"/>
    </row>
    <row r="344" spans="1:7" ht="14.25">
      <c r="A344" s="271"/>
      <c r="B344" s="271"/>
      <c r="D344" s="986"/>
      <c r="E344" s="986"/>
      <c r="F344" s="986"/>
    </row>
    <row r="345" spans="1:7" ht="14.25">
      <c r="A345" s="271"/>
      <c r="B345" s="271"/>
      <c r="D345" s="986"/>
      <c r="E345" s="986"/>
      <c r="F345" s="986"/>
    </row>
    <row r="346" spans="1:7" ht="14.25">
      <c r="A346" s="271"/>
      <c r="B346" s="271"/>
      <c r="D346" s="986"/>
      <c r="E346" s="986"/>
      <c r="F346" s="986"/>
    </row>
    <row r="347" spans="1:7" ht="14.25">
      <c r="A347" s="271"/>
      <c r="B347" s="271"/>
      <c r="D347" s="986"/>
      <c r="E347" s="986"/>
      <c r="F347" s="986"/>
    </row>
    <row r="348" spans="1:7" ht="14.25">
      <c r="A348" s="271"/>
      <c r="B348" s="271"/>
      <c r="D348" s="986"/>
      <c r="E348" s="986"/>
      <c r="F348" s="986"/>
    </row>
    <row r="349" spans="1:7" ht="14.25">
      <c r="A349" s="271"/>
      <c r="B349" s="271"/>
      <c r="D349" s="986"/>
      <c r="E349" s="986"/>
      <c r="F349" s="986"/>
    </row>
    <row r="350" spans="1:7" ht="12.75"/>
    <row r="351" spans="1:7" ht="14.45" customHeight="1">
      <c r="A351" s="271"/>
      <c r="B351" s="624" t="s">
        <v>132</v>
      </c>
      <c r="D351" s="986" t="s">
        <v>1640</v>
      </c>
      <c r="E351" s="986"/>
      <c r="F351" s="986"/>
    </row>
    <row r="352" spans="1:7" ht="12.75">
      <c r="D352" s="986"/>
      <c r="E352" s="986"/>
      <c r="F352" s="986"/>
    </row>
    <row r="353" spans="1:6" ht="12.75">
      <c r="D353" s="986"/>
      <c r="E353" s="986"/>
      <c r="F353" s="986"/>
    </row>
    <row r="354" spans="1:6" ht="12.75">
      <c r="D354" s="986"/>
      <c r="E354" s="986"/>
      <c r="F354" s="986"/>
    </row>
    <row r="355" spans="1:6" ht="12.75">
      <c r="D355" s="986"/>
      <c r="E355" s="986"/>
      <c r="F355" s="986"/>
    </row>
    <row r="356" spans="1:6" ht="12.75">
      <c r="D356" s="986"/>
      <c r="E356" s="986"/>
      <c r="F356" s="986"/>
    </row>
    <row r="357" spans="1:6" ht="12.75">
      <c r="D357" s="986"/>
      <c r="E357" s="986"/>
      <c r="F357" s="986"/>
    </row>
    <row r="358" spans="1:6" ht="12.75">
      <c r="D358" s="986"/>
      <c r="E358" s="986"/>
      <c r="F358" s="986"/>
    </row>
    <row r="359" spans="1:6" ht="12.75">
      <c r="D359" s="986"/>
      <c r="E359" s="986"/>
      <c r="F359" s="986"/>
    </row>
    <row r="360" spans="1:6" ht="12.75">
      <c r="E360" s="44"/>
      <c r="F360" s="44"/>
    </row>
    <row r="361" spans="1:6" ht="14.25" customHeight="1">
      <c r="A361" s="271"/>
      <c r="B361" s="624" t="s">
        <v>132</v>
      </c>
      <c r="D361" s="1000" t="s">
        <v>2177</v>
      </c>
      <c r="E361" s="1000"/>
      <c r="F361" s="1000"/>
    </row>
    <row r="362" spans="1:6" ht="12.75">
      <c r="D362" s="1000"/>
      <c r="E362" s="1000"/>
      <c r="F362" s="1000"/>
    </row>
    <row r="363" spans="1:6" ht="12.75">
      <c r="D363" s="1000"/>
      <c r="E363" s="1000"/>
      <c r="F363" s="1000"/>
    </row>
    <row r="364" spans="1:6" ht="12.75">
      <c r="D364" s="1000"/>
      <c r="E364" s="1000"/>
      <c r="F364" s="1000"/>
    </row>
    <row r="365" spans="1:6" ht="12.75">
      <c r="D365" s="1000"/>
      <c r="E365" s="1000"/>
      <c r="F365" s="1000"/>
    </row>
    <row r="366" spans="1:6" ht="12.75">
      <c r="D366" s="209"/>
      <c r="E366" s="104" t="s">
        <v>2178</v>
      </c>
      <c r="F366" s="209"/>
    </row>
    <row r="367" spans="1:6" ht="13.5" thickBot="1">
      <c r="D367" s="794"/>
      <c r="E367" s="98"/>
      <c r="F367" s="98"/>
    </row>
    <row r="368" spans="1:6" ht="14.25" thickTop="1" thickBot="1">
      <c r="D368" s="1022" t="s">
        <v>1319</v>
      </c>
      <c r="E368" s="1022"/>
      <c r="F368" s="1022"/>
    </row>
    <row r="369" spans="1:6" ht="13.5" thickTop="1">
      <c r="D369" s="1024" t="s">
        <v>1641</v>
      </c>
      <c r="E369" s="1024"/>
      <c r="F369" s="1024"/>
    </row>
    <row r="370" spans="1:6" ht="12.75">
      <c r="D370" s="44"/>
    </row>
    <row r="371" spans="1:6" ht="14.25">
      <c r="A371" s="271"/>
      <c r="B371" s="624" t="s">
        <v>132</v>
      </c>
      <c r="C371" s="365"/>
      <c r="D371" s="1016" t="s">
        <v>2268</v>
      </c>
      <c r="E371" s="1016"/>
      <c r="F371" s="1016"/>
    </row>
    <row r="372" spans="1:6" ht="14.25">
      <c r="A372" s="271"/>
      <c r="B372" s="271"/>
      <c r="C372" s="365"/>
      <c r="D372" s="431"/>
    </row>
    <row r="373" spans="1:6" ht="14.25">
      <c r="A373" s="271"/>
      <c r="B373" s="624" t="s">
        <v>132</v>
      </c>
      <c r="C373" s="365"/>
      <c r="D373" s="981" t="s">
        <v>2269</v>
      </c>
      <c r="E373" s="1004"/>
      <c r="F373" s="1004"/>
    </row>
    <row r="374" spans="1:6" ht="14.25">
      <c r="A374" s="271"/>
      <c r="B374" s="271"/>
      <c r="C374" s="365"/>
      <c r="D374" s="1004"/>
      <c r="E374" s="1004"/>
      <c r="F374" s="1004"/>
    </row>
    <row r="375" spans="1:6" ht="14.25">
      <c r="A375" s="271"/>
      <c r="B375" s="271"/>
      <c r="C375" s="365"/>
      <c r="D375" s="1004"/>
      <c r="E375" s="1004"/>
      <c r="F375" s="1004"/>
    </row>
    <row r="376" spans="1:6" ht="14.25">
      <c r="A376" s="271"/>
      <c r="B376" s="271"/>
      <c r="C376" s="365"/>
      <c r="D376" s="1004"/>
      <c r="E376" s="1004"/>
      <c r="F376" s="1004"/>
    </row>
    <row r="377" spans="1:6" ht="14.25">
      <c r="A377" s="271"/>
      <c r="B377" s="271"/>
      <c r="C377" s="365"/>
      <c r="D377" s="1004"/>
      <c r="E377" s="1004"/>
      <c r="F377" s="1004"/>
    </row>
    <row r="378" spans="1:6" ht="14.25">
      <c r="A378" s="271"/>
      <c r="B378" s="271"/>
      <c r="C378" s="365"/>
      <c r="D378" s="1004"/>
      <c r="E378" s="1004"/>
      <c r="F378" s="1004"/>
    </row>
    <row r="379" spans="1:6" ht="14.25">
      <c r="A379" s="271"/>
      <c r="B379" s="271"/>
      <c r="C379" s="365"/>
      <c r="D379" s="1004"/>
      <c r="E379" s="1004"/>
      <c r="F379" s="1004"/>
    </row>
    <row r="380" spans="1:6" ht="14.25">
      <c r="A380" s="271"/>
      <c r="B380" s="271"/>
      <c r="C380" s="365"/>
      <c r="D380" s="1004"/>
      <c r="E380" s="1004"/>
      <c r="F380" s="1004"/>
    </row>
    <row r="381" spans="1:6" ht="14.25">
      <c r="A381" s="271"/>
      <c r="B381" s="271"/>
      <c r="C381" s="365"/>
      <c r="D381" s="1004"/>
      <c r="E381" s="1004"/>
      <c r="F381" s="1004"/>
    </row>
    <row r="382" spans="1:6" ht="14.25">
      <c r="A382" s="271"/>
      <c r="B382" s="271"/>
      <c r="C382" s="365"/>
      <c r="D382" s="1004"/>
      <c r="E382" s="1004"/>
      <c r="F382" s="1004"/>
    </row>
    <row r="383" spans="1:6" ht="14.25">
      <c r="A383" s="271"/>
      <c r="B383" s="271"/>
      <c r="C383" s="365"/>
      <c r="D383" s="642"/>
      <c r="E383" s="642"/>
      <c r="F383" s="642"/>
    </row>
    <row r="384" spans="1:6" ht="14.25">
      <c r="A384" s="271"/>
      <c r="B384" s="624" t="s">
        <v>132</v>
      </c>
      <c r="C384" s="365"/>
      <c r="D384" s="1004" t="s">
        <v>1642</v>
      </c>
      <c r="E384" s="1004"/>
      <c r="F384" s="1004"/>
    </row>
    <row r="385" spans="1:6" ht="12.75">
      <c r="A385" s="365"/>
      <c r="B385" s="365"/>
      <c r="C385" s="365"/>
      <c r="D385" s="1004"/>
      <c r="E385" s="1004"/>
      <c r="F385" s="1004"/>
    </row>
    <row r="386" spans="1:6" ht="12.75">
      <c r="A386" s="365"/>
      <c r="B386" s="365"/>
      <c r="C386" s="365"/>
      <c r="D386" s="1004"/>
      <c r="E386" s="1004"/>
      <c r="F386" s="1004"/>
    </row>
    <row r="387" spans="1:6" ht="12.75">
      <c r="A387" s="365"/>
      <c r="B387" s="365"/>
      <c r="C387" s="365"/>
      <c r="D387" s="1004"/>
      <c r="E387" s="1004"/>
      <c r="F387" s="1004"/>
    </row>
    <row r="388" spans="1:6" ht="12.75">
      <c r="A388" s="365"/>
      <c r="B388" s="365"/>
      <c r="C388" s="365"/>
      <c r="D388" s="642"/>
      <c r="E388" s="642"/>
      <c r="F388" s="642"/>
    </row>
    <row r="389" spans="1:6" ht="12.75">
      <c r="A389" s="365"/>
      <c r="B389" s="365"/>
      <c r="C389" s="365"/>
      <c r="D389" s="1004" t="s">
        <v>1643</v>
      </c>
      <c r="E389" s="1004"/>
      <c r="F389" s="1004"/>
    </row>
    <row r="390" spans="1:6" ht="12.75">
      <c r="A390" s="365"/>
      <c r="B390" s="365"/>
      <c r="C390" s="365"/>
      <c r="D390" s="1004"/>
      <c r="E390" s="1004"/>
      <c r="F390" s="1004"/>
    </row>
    <row r="391" spans="1:6" ht="12.75">
      <c r="A391" s="365"/>
      <c r="B391" s="365"/>
      <c r="C391" s="365"/>
      <c r="D391" s="1004"/>
      <c r="E391" s="1004"/>
      <c r="F391" s="1004"/>
    </row>
    <row r="392" spans="1:6" ht="12.75">
      <c r="A392" s="365"/>
      <c r="B392" s="365"/>
      <c r="C392" s="365"/>
      <c r="D392" s="1004"/>
      <c r="E392" s="1004"/>
      <c r="F392" s="1004"/>
    </row>
    <row r="393" spans="1:6" ht="12.75">
      <c r="A393" s="365"/>
      <c r="B393" s="365"/>
      <c r="C393" s="365"/>
      <c r="D393" s="1004"/>
      <c r="E393" s="1004"/>
      <c r="F393" s="1004"/>
    </row>
    <row r="394" spans="1:6" ht="12.75">
      <c r="A394" s="365"/>
      <c r="B394" s="365"/>
      <c r="C394" s="365"/>
      <c r="D394" s="1004"/>
      <c r="E394" s="1004"/>
      <c r="F394" s="1004"/>
    </row>
    <row r="395" spans="1:6" ht="12.75">
      <c r="A395" s="365"/>
      <c r="B395" s="365"/>
      <c r="C395" s="365"/>
      <c r="D395" s="1004"/>
      <c r="E395" s="1004"/>
      <c r="F395" s="1004"/>
    </row>
    <row r="396" spans="1:6" ht="12.75">
      <c r="A396" s="365"/>
      <c r="B396" s="365"/>
      <c r="C396" s="365"/>
      <c r="D396" s="1004"/>
      <c r="E396" s="1004"/>
      <c r="F396" s="1004"/>
    </row>
    <row r="397" spans="1:6" ht="12.75">
      <c r="A397" s="365"/>
      <c r="B397" s="365"/>
      <c r="C397" s="365"/>
      <c r="D397" s="1004"/>
      <c r="E397" s="1004"/>
      <c r="F397" s="1004"/>
    </row>
    <row r="398" spans="1:6" ht="13.7" customHeight="1">
      <c r="A398" s="365"/>
      <c r="B398" s="365"/>
      <c r="C398" s="365"/>
      <c r="D398" s="1004" t="s">
        <v>1646</v>
      </c>
      <c r="E398" s="1004"/>
      <c r="F398" s="1004"/>
    </row>
    <row r="399" spans="1:6" ht="13.7" customHeight="1">
      <c r="A399" s="365"/>
      <c r="B399" s="365"/>
      <c r="C399" s="365"/>
      <c r="D399" s="1004"/>
      <c r="E399" s="1004"/>
      <c r="F399" s="1004"/>
    </row>
    <row r="400" spans="1:6" ht="13.7" customHeight="1">
      <c r="A400" s="365"/>
      <c r="B400" s="365"/>
      <c r="C400" s="365"/>
      <c r="D400" s="1004"/>
      <c r="E400" s="1004"/>
      <c r="F400" s="1004"/>
    </row>
    <row r="401" spans="1:6" ht="13.7" customHeight="1">
      <c r="A401" s="365"/>
      <c r="B401" s="365"/>
      <c r="C401" s="365"/>
      <c r="D401" s="1004"/>
      <c r="E401" s="1004"/>
      <c r="F401" s="1004"/>
    </row>
    <row r="402" spans="1:6" ht="13.7" customHeight="1">
      <c r="A402" s="365"/>
      <c r="B402" s="365"/>
      <c r="C402" s="365"/>
      <c r="D402" s="1004"/>
      <c r="E402" s="1004"/>
      <c r="F402" s="1004"/>
    </row>
    <row r="403" spans="1:6" ht="13.7" customHeight="1">
      <c r="A403" s="365"/>
      <c r="B403" s="365"/>
      <c r="C403" s="365"/>
      <c r="D403" s="1004"/>
      <c r="E403" s="1004"/>
      <c r="F403" s="1004"/>
    </row>
    <row r="404" spans="1:6" ht="13.7" customHeight="1">
      <c r="A404" s="365"/>
      <c r="B404" s="365"/>
      <c r="C404" s="365"/>
      <c r="D404" s="1004"/>
      <c r="E404" s="1004"/>
      <c r="F404" s="1004"/>
    </row>
    <row r="405" spans="1:6" ht="13.7" customHeight="1">
      <c r="A405" s="365"/>
      <c r="B405" s="365"/>
      <c r="C405" s="365"/>
      <c r="D405" s="1004"/>
      <c r="E405" s="1004"/>
      <c r="F405" s="1004"/>
    </row>
    <row r="406" spans="1:6" ht="13.7" customHeight="1">
      <c r="A406" s="365"/>
      <c r="B406" s="365"/>
      <c r="C406" s="365"/>
      <c r="D406" s="1004"/>
      <c r="E406" s="1004"/>
      <c r="F406" s="1004"/>
    </row>
    <row r="407" spans="1:6" ht="13.7" customHeight="1">
      <c r="A407" s="365"/>
      <c r="B407" s="365"/>
      <c r="C407" s="365"/>
      <c r="D407" s="1004"/>
      <c r="E407" s="1004"/>
      <c r="F407" s="1004"/>
    </row>
    <row r="408" spans="1:6" ht="13.7" customHeight="1">
      <c r="A408" s="365"/>
      <c r="B408" s="365"/>
      <c r="C408" s="365"/>
      <c r="D408" s="1004"/>
      <c r="E408" s="1004"/>
      <c r="F408" s="1004"/>
    </row>
    <row r="409" spans="1:6" ht="13.7" customHeight="1">
      <c r="A409" s="365"/>
      <c r="B409" s="365"/>
      <c r="C409" s="365"/>
      <c r="D409" s="1004"/>
      <c r="E409" s="1004"/>
      <c r="F409" s="1004"/>
    </row>
    <row r="410" spans="1:6" ht="13.7" customHeight="1">
      <c r="A410" s="365"/>
      <c r="B410" s="365"/>
      <c r="C410" s="365"/>
      <c r="D410" s="1004"/>
      <c r="E410" s="1004"/>
      <c r="F410" s="1004"/>
    </row>
    <row r="411" spans="1:6" ht="13.7" customHeight="1">
      <c r="A411" s="365"/>
      <c r="B411" s="365"/>
      <c r="C411" s="365"/>
      <c r="D411" s="1004"/>
      <c r="E411" s="1004"/>
      <c r="F411" s="1004"/>
    </row>
    <row r="412" spans="1:6" ht="13.7" customHeight="1">
      <c r="A412" s="365"/>
      <c r="B412" s="365"/>
      <c r="C412" s="365"/>
      <c r="D412" s="1004"/>
      <c r="E412" s="1004"/>
      <c r="F412" s="1004"/>
    </row>
    <row r="413" spans="1:6" ht="13.7" customHeight="1">
      <c r="A413" s="365"/>
      <c r="B413" s="365"/>
      <c r="C413" s="365"/>
      <c r="D413" s="1004"/>
      <c r="E413" s="1004"/>
      <c r="F413" s="1004"/>
    </row>
    <row r="414" spans="1:6" ht="13.7" customHeight="1">
      <c r="A414" s="365"/>
      <c r="B414" s="365"/>
      <c r="C414" s="365"/>
      <c r="D414" s="1004"/>
      <c r="E414" s="1004"/>
      <c r="F414" s="1004"/>
    </row>
    <row r="415" spans="1:6" ht="13.7" customHeight="1">
      <c r="A415" s="365"/>
      <c r="B415" s="365"/>
      <c r="C415" s="365"/>
      <c r="D415" s="1004"/>
      <c r="E415" s="1004"/>
      <c r="F415" s="1004"/>
    </row>
    <row r="416" spans="1:6" ht="12.75">
      <c r="A416" s="365"/>
      <c r="B416" s="365"/>
      <c r="C416" s="365"/>
      <c r="D416" s="431"/>
    </row>
    <row r="417" spans="1:6" ht="13.7" customHeight="1">
      <c r="A417" s="365"/>
      <c r="B417" s="624" t="s">
        <v>132</v>
      </c>
      <c r="C417" s="365"/>
      <c r="D417" s="1004" t="s">
        <v>1644</v>
      </c>
      <c r="E417" s="1004"/>
      <c r="F417" s="1004"/>
    </row>
    <row r="418" spans="1:6" ht="12.75">
      <c r="A418" s="365"/>
      <c r="B418" s="365"/>
      <c r="C418" s="365"/>
      <c r="D418" s="1004"/>
      <c r="E418" s="1004"/>
      <c r="F418" s="1004"/>
    </row>
    <row r="419" spans="1:6" ht="12.75">
      <c r="A419" s="365"/>
      <c r="B419" s="365"/>
      <c r="C419" s="365"/>
      <c r="D419" s="642"/>
      <c r="E419" s="642"/>
      <c r="F419" s="642"/>
    </row>
    <row r="420" spans="1:6" ht="12.75">
      <c r="A420" s="365"/>
      <c r="B420" s="624" t="s">
        <v>132</v>
      </c>
      <c r="C420" s="365"/>
      <c r="D420" s="1007" t="s">
        <v>1969</v>
      </c>
      <c r="E420" s="1007"/>
      <c r="F420" s="1007"/>
    </row>
    <row r="421" spans="1:6" ht="12.75">
      <c r="A421" s="365"/>
      <c r="B421" s="365"/>
      <c r="C421" s="365"/>
      <c r="D421" s="1007"/>
      <c r="E421" s="1007"/>
      <c r="F421" s="1007"/>
    </row>
    <row r="422" spans="1:6" ht="12.75">
      <c r="A422" s="365"/>
      <c r="B422" s="365"/>
      <c r="C422" s="365"/>
      <c r="D422" s="1007"/>
      <c r="E422" s="1007"/>
      <c r="F422" s="1007"/>
    </row>
    <row r="423" spans="1:6" ht="12.75">
      <c r="A423" s="365"/>
      <c r="B423" s="365"/>
      <c r="C423" s="365"/>
      <c r="D423" s="1007"/>
      <c r="E423" s="1007"/>
      <c r="F423" s="1007"/>
    </row>
    <row r="424" spans="1:6" ht="12.75">
      <c r="A424" s="365"/>
      <c r="B424" s="365"/>
      <c r="C424" s="365"/>
      <c r="D424" s="1007"/>
      <c r="E424" s="1007"/>
      <c r="F424" s="1007"/>
    </row>
    <row r="425" spans="1:6" ht="12.75">
      <c r="A425" s="365"/>
      <c r="B425" s="365"/>
      <c r="C425" s="365"/>
      <c r="D425" s="1007"/>
      <c r="E425" s="1007"/>
      <c r="F425" s="1007"/>
    </row>
    <row r="426" spans="1:6" ht="14.45" customHeight="1">
      <c r="A426" s="271"/>
      <c r="B426" s="624" t="s">
        <v>132</v>
      </c>
      <c r="C426" s="365"/>
      <c r="D426" s="1007" t="s">
        <v>1950</v>
      </c>
      <c r="E426" s="1007"/>
      <c r="F426" s="1007"/>
    </row>
    <row r="427" spans="1:6" ht="14.25">
      <c r="A427" s="515"/>
      <c r="B427" s="515"/>
      <c r="C427" s="365"/>
      <c r="D427" s="1007"/>
      <c r="E427" s="1007"/>
      <c r="F427" s="1007"/>
    </row>
    <row r="428" spans="1:6" ht="14.25">
      <c r="A428" s="515"/>
      <c r="B428" s="515"/>
      <c r="C428" s="365"/>
      <c r="D428" s="1007"/>
      <c r="E428" s="1007"/>
      <c r="F428" s="1007"/>
    </row>
    <row r="429" spans="1:6" ht="14.25">
      <c r="A429" s="515"/>
      <c r="B429" s="515"/>
      <c r="C429" s="365"/>
      <c r="D429" s="1007"/>
      <c r="E429" s="1007"/>
      <c r="F429" s="1007"/>
    </row>
    <row r="430" spans="1:6" ht="14.25" customHeight="1">
      <c r="A430" s="515"/>
      <c r="B430" s="515"/>
      <c r="C430" s="365"/>
      <c r="D430" s="1008" t="s">
        <v>1965</v>
      </c>
      <c r="E430" s="1008"/>
      <c r="F430" s="1008"/>
    </row>
    <row r="431" spans="1:6" ht="12.75">
      <c r="D431" s="44"/>
    </row>
    <row r="432" spans="1:6" ht="14.45" customHeight="1">
      <c r="A432" s="271"/>
      <c r="B432" s="624" t="s">
        <v>132</v>
      </c>
      <c r="C432" s="207"/>
      <c r="D432" s="986" t="s">
        <v>2270</v>
      </c>
      <c r="E432" s="986"/>
      <c r="F432" s="986"/>
    </row>
    <row r="433" spans="1:6" ht="14.25">
      <c r="A433" s="271"/>
      <c r="B433" s="271"/>
      <c r="D433" s="986"/>
      <c r="E433" s="986"/>
      <c r="F433" s="986"/>
    </row>
    <row r="434" spans="1:6" ht="14.25">
      <c r="A434" s="271"/>
      <c r="B434" s="271"/>
      <c r="D434" s="986"/>
      <c r="E434" s="986"/>
      <c r="F434" s="986"/>
    </row>
    <row r="435" spans="1:6" ht="14.25">
      <c r="A435" s="271"/>
      <c r="B435" s="271"/>
      <c r="D435" s="986"/>
      <c r="E435" s="986"/>
      <c r="F435" s="986"/>
    </row>
    <row r="436" spans="1:6" ht="14.25">
      <c r="A436" s="271"/>
      <c r="B436" s="271"/>
      <c r="D436" s="986"/>
      <c r="E436" s="986"/>
      <c r="F436" s="986"/>
    </row>
    <row r="437" spans="1:6" ht="14.25">
      <c r="A437" s="271"/>
      <c r="B437" s="271"/>
      <c r="D437" s="986"/>
      <c r="E437" s="986"/>
      <c r="F437" s="986"/>
    </row>
    <row r="438" spans="1:6" ht="14.25">
      <c r="A438" s="271"/>
      <c r="B438" s="271"/>
      <c r="D438" s="986"/>
      <c r="E438" s="986"/>
      <c r="F438" s="986"/>
    </row>
    <row r="439" spans="1:6" ht="14.25">
      <c r="A439" s="271"/>
      <c r="B439" s="271"/>
      <c r="D439" s="986"/>
      <c r="E439" s="986"/>
      <c r="F439" s="986"/>
    </row>
    <row r="440" spans="1:6" ht="14.25">
      <c r="A440" s="271"/>
      <c r="B440" s="271"/>
      <c r="D440" s="986"/>
      <c r="E440" s="986"/>
      <c r="F440" s="986"/>
    </row>
    <row r="441" spans="1:6" ht="14.25">
      <c r="A441" s="271"/>
      <c r="B441" s="271"/>
      <c r="D441" s="986"/>
      <c r="E441" s="986"/>
      <c r="F441" s="986"/>
    </row>
    <row r="442" spans="1:6" ht="14.25">
      <c r="A442" s="271"/>
      <c r="B442" s="271"/>
      <c r="D442" s="986"/>
      <c r="E442" s="986"/>
      <c r="F442" s="986"/>
    </row>
    <row r="443" spans="1:6" ht="14.25">
      <c r="A443" s="271"/>
      <c r="B443" s="271"/>
      <c r="D443" s="986"/>
      <c r="E443" s="986"/>
      <c r="F443" s="986"/>
    </row>
    <row r="444" spans="1:6" ht="14.25">
      <c r="A444" s="271"/>
      <c r="B444" s="271"/>
      <c r="D444" s="986"/>
      <c r="E444" s="986"/>
      <c r="F444" s="986"/>
    </row>
    <row r="445" spans="1:6" ht="14.25">
      <c r="A445" s="271"/>
      <c r="B445" s="271"/>
      <c r="D445" s="986"/>
      <c r="E445" s="986"/>
      <c r="F445" s="986"/>
    </row>
    <row r="446" spans="1:6" ht="14.25">
      <c r="A446" s="271"/>
      <c r="B446" s="271"/>
      <c r="D446" s="986"/>
      <c r="E446" s="986"/>
      <c r="F446" s="986"/>
    </row>
    <row r="447" spans="1:6" ht="14.25">
      <c r="A447" s="271"/>
      <c r="B447" s="271"/>
      <c r="D447" s="986"/>
      <c r="E447" s="986"/>
      <c r="F447" s="986"/>
    </row>
    <row r="448" spans="1:6" ht="14.25">
      <c r="A448" s="271"/>
      <c r="B448" s="271"/>
      <c r="D448" s="986"/>
      <c r="E448" s="986"/>
      <c r="F448" s="986"/>
    </row>
    <row r="449" spans="1:6" ht="14.25">
      <c r="A449" s="271"/>
      <c r="B449" s="271"/>
      <c r="D449" s="986"/>
      <c r="E449" s="986"/>
      <c r="F449" s="986"/>
    </row>
    <row r="450" spans="1:6" ht="14.25">
      <c r="A450" s="271"/>
      <c r="B450" s="271"/>
      <c r="D450" s="986"/>
      <c r="E450" s="986"/>
      <c r="F450" s="986"/>
    </row>
    <row r="451" spans="1:6" ht="14.25">
      <c r="A451" s="271"/>
      <c r="B451" s="271"/>
      <c r="D451" s="986"/>
      <c r="E451" s="986"/>
      <c r="F451" s="986"/>
    </row>
    <row r="452" spans="1:6" ht="14.25">
      <c r="A452" s="271"/>
      <c r="B452" s="271"/>
      <c r="D452" s="986"/>
      <c r="E452" s="986"/>
      <c r="F452" s="986"/>
    </row>
    <row r="453" spans="1:6" ht="14.25">
      <c r="A453" s="271"/>
      <c r="B453" s="271"/>
      <c r="D453" s="986"/>
      <c r="E453" s="986"/>
      <c r="F453" s="986"/>
    </row>
    <row r="454" spans="1:6" ht="14.25">
      <c r="A454" s="271"/>
      <c r="B454" s="271"/>
      <c r="D454" s="986"/>
      <c r="E454" s="986"/>
      <c r="F454" s="986"/>
    </row>
    <row r="455" spans="1:6" ht="14.25">
      <c r="A455" s="271"/>
      <c r="B455" s="271"/>
      <c r="D455" s="986"/>
      <c r="E455" s="986"/>
      <c r="F455" s="986"/>
    </row>
    <row r="456" spans="1:6" ht="14.25">
      <c r="A456" s="271"/>
      <c r="B456" s="271"/>
      <c r="D456" s="986"/>
      <c r="E456" s="986"/>
      <c r="F456" s="986"/>
    </row>
    <row r="457" spans="1:6" ht="14.25">
      <c r="A457" s="271"/>
      <c r="B457" s="271"/>
      <c r="D457" s="986"/>
      <c r="E457" s="986"/>
      <c r="F457" s="986"/>
    </row>
    <row r="458" spans="1:6" ht="14.25">
      <c r="A458" s="271"/>
      <c r="B458" s="271"/>
      <c r="D458" s="986"/>
      <c r="E458" s="986"/>
      <c r="F458" s="986"/>
    </row>
    <row r="459" spans="1:6" ht="14.25">
      <c r="A459" s="271"/>
      <c r="B459" s="271"/>
      <c r="D459" s="986"/>
      <c r="E459" s="986"/>
      <c r="F459" s="986"/>
    </row>
    <row r="460" spans="1:6" ht="14.25">
      <c r="A460" s="271"/>
      <c r="B460" s="271"/>
      <c r="D460" s="986"/>
      <c r="E460" s="986"/>
      <c r="F460" s="986"/>
    </row>
    <row r="461" spans="1:6" ht="14.25">
      <c r="A461" s="271"/>
      <c r="B461" s="271"/>
      <c r="D461" s="986"/>
      <c r="E461" s="986"/>
      <c r="F461" s="986"/>
    </row>
    <row r="462" spans="1:6" ht="12.75" hidden="1">
      <c r="D462" s="986"/>
      <c r="E462" s="986"/>
      <c r="F462" s="986"/>
    </row>
    <row r="463" spans="1:6" ht="12.75" hidden="1">
      <c r="D463" s="44"/>
    </row>
    <row r="464" spans="1:6" ht="14.25">
      <c r="A464" s="271"/>
      <c r="B464" s="624" t="s">
        <v>132</v>
      </c>
      <c r="C464" s="207"/>
      <c r="D464" s="1005" t="s">
        <v>2180</v>
      </c>
      <c r="E464" s="1006"/>
      <c r="F464" s="1006"/>
    </row>
    <row r="465" spans="1:6" ht="12.75">
      <c r="D465"/>
      <c r="E465" s="948" t="s">
        <v>2179</v>
      </c>
      <c r="F465" s="948"/>
    </row>
    <row r="466" spans="1:6" ht="13.7" customHeight="1">
      <c r="D466" s="980" t="s">
        <v>1947</v>
      </c>
      <c r="E466" s="986"/>
      <c r="F466" s="986"/>
    </row>
    <row r="467" spans="1:6" ht="13.7" customHeight="1">
      <c r="D467" s="986"/>
      <c r="E467" s="986"/>
      <c r="F467" s="986"/>
    </row>
    <row r="468" spans="1:6" ht="12.75">
      <c r="D468" s="44"/>
    </row>
    <row r="469" spans="1:6" ht="14.45" customHeight="1">
      <c r="A469" s="271"/>
      <c r="B469" s="624" t="s">
        <v>132</v>
      </c>
      <c r="C469" s="207"/>
      <c r="D469" s="986" t="s">
        <v>1647</v>
      </c>
      <c r="E469" s="986"/>
      <c r="F469" s="986"/>
    </row>
    <row r="470" spans="1:6" ht="12.75">
      <c r="D470" s="986"/>
      <c r="E470" s="986"/>
      <c r="F470" s="986"/>
    </row>
    <row r="471" spans="1:6" ht="12.75">
      <c r="D471" s="986"/>
      <c r="E471" s="986"/>
      <c r="F471" s="986"/>
    </row>
    <row r="472" spans="1:6" ht="12.75">
      <c r="D472" s="24"/>
      <c r="E472" s="24"/>
      <c r="F472" s="24"/>
    </row>
    <row r="473" spans="1:6" ht="14.25">
      <c r="B473" s="624" t="s">
        <v>132</v>
      </c>
      <c r="C473" s="271"/>
      <c r="D473" s="980" t="s">
        <v>1794</v>
      </c>
      <c r="E473" s="986"/>
      <c r="F473" s="986"/>
    </row>
    <row r="474" spans="1:6" ht="12.75">
      <c r="D474" s="986"/>
      <c r="E474" s="986"/>
      <c r="F474" s="986"/>
    </row>
    <row r="475" spans="1:6" ht="12.75">
      <c r="D475" s="44"/>
      <c r="E475" s="44"/>
    </row>
    <row r="476" spans="1:6" ht="14.25">
      <c r="B476" s="624" t="s">
        <v>132</v>
      </c>
      <c r="C476" s="271"/>
      <c r="D476" s="986" t="s">
        <v>1648</v>
      </c>
      <c r="E476" s="986"/>
      <c r="F476" s="986"/>
    </row>
    <row r="477" spans="1:6" ht="12.75">
      <c r="D477" s="986"/>
      <c r="E477" s="986"/>
      <c r="F477" s="986"/>
    </row>
    <row r="478" spans="1:6" ht="12.75">
      <c r="D478" s="986"/>
      <c r="E478" s="986"/>
      <c r="F478" s="986"/>
    </row>
    <row r="479" spans="1:6" ht="12.75">
      <c r="D479" s="986"/>
      <c r="E479" s="986"/>
      <c r="F479" s="986"/>
    </row>
    <row r="480" spans="1:6" ht="12.75">
      <c r="B480" s="624" t="s">
        <v>132</v>
      </c>
      <c r="D480" s="986"/>
      <c r="E480" s="986"/>
      <c r="F480" s="986"/>
    </row>
    <row r="481" spans="2:6" ht="12.75">
      <c r="D481" s="986"/>
      <c r="E481" s="986"/>
      <c r="F481" s="986"/>
    </row>
    <row r="482" spans="2:6" ht="12.75">
      <c r="D482" s="986"/>
      <c r="E482" s="986"/>
      <c r="F482" s="986"/>
    </row>
    <row r="483" spans="2:6" ht="12.75">
      <c r="B483" s="624" t="s">
        <v>132</v>
      </c>
      <c r="D483" s="986"/>
      <c r="E483" s="986"/>
      <c r="F483" s="986"/>
    </row>
    <row r="484" spans="2:6" ht="12.75">
      <c r="D484" s="986"/>
      <c r="E484" s="986"/>
      <c r="F484" s="986"/>
    </row>
    <row r="485" spans="2:6" ht="12.75">
      <c r="D485" s="986"/>
      <c r="E485" s="986"/>
      <c r="F485" s="986"/>
    </row>
    <row r="486" spans="2:6" ht="12.75">
      <c r="D486" s="986"/>
      <c r="E486" s="986"/>
      <c r="F486" s="986"/>
    </row>
    <row r="487" spans="2:6" ht="12.75">
      <c r="B487" s="624" t="s">
        <v>132</v>
      </c>
      <c r="D487" s="986"/>
      <c r="E487" s="986"/>
      <c r="F487" s="986"/>
    </row>
    <row r="488" spans="2:6" ht="12.75">
      <c r="D488" s="986"/>
      <c r="E488" s="986"/>
      <c r="F488" s="986"/>
    </row>
    <row r="489" spans="2:6" ht="12.75">
      <c r="B489" s="624" t="s">
        <v>132</v>
      </c>
      <c r="D489" s="986"/>
      <c r="E489" s="986"/>
      <c r="F489" s="986"/>
    </row>
    <row r="490" spans="2:6" ht="12.75">
      <c r="D490" s="986"/>
      <c r="E490" s="986"/>
      <c r="F490" s="986"/>
    </row>
    <row r="491" spans="2:6" ht="13.7" customHeight="1">
      <c r="B491" s="624" t="s">
        <v>132</v>
      </c>
      <c r="D491" s="986" t="s">
        <v>1649</v>
      </c>
      <c r="E491" s="986"/>
      <c r="F491" s="986"/>
    </row>
    <row r="492" spans="2:6" ht="12.75">
      <c r="D492" s="986"/>
      <c r="E492" s="986"/>
      <c r="F492" s="986"/>
    </row>
    <row r="493" spans="2:6" ht="12.75">
      <c r="D493" s="986"/>
      <c r="E493" s="986"/>
      <c r="F493" s="986"/>
    </row>
    <row r="494" spans="2:6" ht="12.75">
      <c r="D494" s="986"/>
      <c r="E494" s="986"/>
      <c r="F494" s="986"/>
    </row>
    <row r="495" spans="2:6" ht="12.75">
      <c r="D495" s="986"/>
      <c r="E495" s="986"/>
      <c r="F495" s="986"/>
    </row>
    <row r="496" spans="2:6" ht="12.75">
      <c r="D496" s="44"/>
    </row>
    <row r="497" spans="1:7" ht="12.75">
      <c r="B497" s="624" t="s">
        <v>132</v>
      </c>
      <c r="D497" s="1006" t="s">
        <v>1482</v>
      </c>
      <c r="E497" s="1006"/>
      <c r="F497" s="1006"/>
    </row>
    <row r="498" spans="1:7" ht="12.75">
      <c r="A498" s="44"/>
      <c r="B498" s="44"/>
    </row>
    <row r="499" spans="1:7" ht="12.75">
      <c r="A499" s="1011" t="s">
        <v>1441</v>
      </c>
      <c r="B499" s="1011"/>
      <c r="C499" s="1011"/>
      <c r="D499" s="1011"/>
      <c r="E499" s="1011"/>
      <c r="F499" s="1011"/>
      <c r="G499" s="1011"/>
    </row>
    <row r="500" spans="1:7" ht="12.75">
      <c r="A500" s="44"/>
      <c r="B500" s="44"/>
    </row>
    <row r="501" spans="1:7" ht="12.75">
      <c r="D501" s="1015" t="s">
        <v>1165</v>
      </c>
      <c r="E501" s="1015"/>
      <c r="F501" s="1015"/>
    </row>
    <row r="502" spans="1:7" ht="12.75">
      <c r="D502" s="1016" t="s">
        <v>1475</v>
      </c>
      <c r="E502" s="1016"/>
      <c r="F502" s="1016"/>
    </row>
    <row r="503" spans="1:7" ht="14.25">
      <c r="A503" s="271"/>
      <c r="B503" s="271"/>
      <c r="D503" s="431"/>
    </row>
    <row r="504" spans="1:7" ht="14.25">
      <c r="A504" s="271"/>
      <c r="B504" s="624" t="s">
        <v>132</v>
      </c>
      <c r="D504" s="1004" t="s">
        <v>1650</v>
      </c>
      <c r="E504" s="1004"/>
      <c r="F504" s="1004"/>
    </row>
    <row r="505" spans="1:7" ht="14.25">
      <c r="A505" s="271"/>
      <c r="B505" s="271"/>
      <c r="D505" s="1004"/>
      <c r="E505" s="1004"/>
      <c r="F505" s="1004"/>
    </row>
    <row r="506" spans="1:7" ht="14.25">
      <c r="A506" s="271"/>
      <c r="B506" s="271"/>
      <c r="D506" s="44"/>
    </row>
    <row r="507" spans="1:7" ht="14.25">
      <c r="A507" s="271"/>
      <c r="B507" s="624" t="s">
        <v>132</v>
      </c>
      <c r="D507" s="1017" t="s">
        <v>1966</v>
      </c>
      <c r="E507" s="1014"/>
      <c r="F507" s="1014"/>
    </row>
    <row r="508" spans="1:7" ht="14.25">
      <c r="A508" s="271"/>
      <c r="B508" s="271"/>
      <c r="D508" s="1014"/>
      <c r="E508" s="1014"/>
      <c r="F508" s="1014"/>
    </row>
    <row r="509" spans="1:7" ht="14.25">
      <c r="A509" s="271"/>
      <c r="B509" s="271"/>
      <c r="D509" s="1014"/>
      <c r="E509" s="1014"/>
      <c r="F509" s="1014"/>
      <c r="G509"/>
    </row>
    <row r="510" spans="1:7" ht="14.25">
      <c r="A510" s="271"/>
      <c r="B510" s="271"/>
      <c r="D510" s="1014"/>
      <c r="E510" s="1014"/>
      <c r="F510" s="1014"/>
      <c r="G510"/>
    </row>
    <row r="511" spans="1:7" ht="12.75">
      <c r="G511"/>
    </row>
    <row r="512" spans="1:7" ht="14.25">
      <c r="A512" s="271"/>
      <c r="B512" s="624" t="s">
        <v>132</v>
      </c>
      <c r="D512" s="1006" t="s">
        <v>1652</v>
      </c>
      <c r="E512" s="1006"/>
      <c r="F512" s="1006"/>
      <c r="G512"/>
    </row>
    <row r="513" spans="1:7" ht="12.75">
      <c r="D513" s="44"/>
      <c r="G513"/>
    </row>
    <row r="514" spans="1:7" ht="14.25">
      <c r="A514" s="271"/>
      <c r="B514" s="624" t="s">
        <v>132</v>
      </c>
      <c r="D514" s="986" t="s">
        <v>1653</v>
      </c>
      <c r="E514" s="986"/>
      <c r="F514" s="986"/>
      <c r="G514"/>
    </row>
    <row r="515" spans="1:7" ht="12.75">
      <c r="D515" s="986"/>
      <c r="E515" s="986"/>
      <c r="F515" s="986"/>
      <c r="G515"/>
    </row>
    <row r="516" spans="1:7" ht="12.75">
      <c r="D516" s="431"/>
      <c r="G516"/>
    </row>
    <row r="517" spans="1:7" ht="14.25">
      <c r="A517" s="271"/>
      <c r="B517" s="624" t="s">
        <v>132</v>
      </c>
      <c r="D517" s="1006" t="s">
        <v>1651</v>
      </c>
      <c r="E517" s="1006"/>
      <c r="F517" s="1006"/>
    </row>
    <row r="518" spans="1:7" ht="14.25">
      <c r="A518" s="271"/>
      <c r="B518" s="271"/>
      <c r="D518" s="44"/>
    </row>
    <row r="519" spans="1:7" ht="12.75">
      <c r="A519" s="1011" t="s">
        <v>1442</v>
      </c>
      <c r="B519" s="1011"/>
      <c r="C519" s="1011"/>
      <c r="D519" s="1011"/>
      <c r="E519" s="1011"/>
      <c r="F519" s="1011"/>
      <c r="G519" s="1011"/>
    </row>
    <row r="520" spans="1:7" ht="12" customHeight="1">
      <c r="A520" s="271"/>
      <c r="B520" s="271"/>
      <c r="D520" s="44"/>
    </row>
    <row r="521" spans="1:7" ht="12.75">
      <c r="B521" s="624" t="s">
        <v>1439</v>
      </c>
      <c r="C521" s="190"/>
      <c r="D521" s="1035" t="s">
        <v>1594</v>
      </c>
      <c r="E521" s="1035"/>
      <c r="F521" s="1035"/>
    </row>
    <row r="522" spans="1:7" ht="12.75">
      <c r="C522" s="190"/>
      <c r="D522" s="1035"/>
      <c r="E522" s="1035"/>
      <c r="F522" s="1035"/>
    </row>
    <row r="523" spans="1:7" ht="12.75">
      <c r="A523" s="191"/>
      <c r="B523" s="191"/>
      <c r="C523" s="191"/>
      <c r="D523" s="1035"/>
      <c r="E523" s="1035"/>
      <c r="F523" s="1035"/>
    </row>
    <row r="524" spans="1:7" ht="12.75">
      <c r="A524" s="191"/>
      <c r="B524" s="191"/>
      <c r="C524" s="191"/>
      <c r="D524" s="1035"/>
      <c r="E524" s="1035"/>
      <c r="F524" s="1035"/>
    </row>
    <row r="525" spans="1:7" ht="12.75">
      <c r="A525" s="191"/>
      <c r="B525" s="191"/>
      <c r="C525" s="191"/>
    </row>
    <row r="526" spans="1:7" ht="14.25">
      <c r="A526" s="271"/>
      <c r="B526" s="624" t="s">
        <v>132</v>
      </c>
      <c r="C526" s="207"/>
      <c r="D526" s="986" t="s">
        <v>2271</v>
      </c>
      <c r="E526" s="986"/>
      <c r="F526" s="986"/>
      <c r="G526"/>
    </row>
    <row r="527" spans="1:7" ht="12.75">
      <c r="A527" s="207"/>
      <c r="B527" s="207"/>
      <c r="C527" s="207"/>
      <c r="D527" s="986"/>
      <c r="E527" s="986"/>
      <c r="F527" s="986"/>
      <c r="G527"/>
    </row>
    <row r="528" spans="1:7" ht="12.75">
      <c r="A528" s="191"/>
      <c r="B528" s="191"/>
      <c r="C528" s="191"/>
      <c r="D528" s="44"/>
      <c r="G528"/>
    </row>
    <row r="529" spans="1:7" ht="12.75">
      <c r="A529" s="191"/>
      <c r="B529" s="624" t="s">
        <v>132</v>
      </c>
      <c r="C529" s="191"/>
      <c r="D529" s="949" t="s">
        <v>2181</v>
      </c>
      <c r="E529" s="950"/>
      <c r="G529"/>
    </row>
    <row r="530" spans="1:7" ht="12.75">
      <c r="A530" s="191"/>
      <c r="B530" s="191"/>
      <c r="C530" s="191"/>
      <c r="D530" s="950"/>
      <c r="E530" s="104" t="s">
        <v>2182</v>
      </c>
      <c r="G530"/>
    </row>
    <row r="531" spans="1:7" ht="14.25">
      <c r="A531" s="271"/>
      <c r="B531"/>
      <c r="D531" s="1004" t="s">
        <v>2272</v>
      </c>
      <c r="E531" s="1004"/>
      <c r="F531" s="1004"/>
      <c r="G531"/>
    </row>
    <row r="532" spans="1:7" ht="14.25">
      <c r="A532" s="271"/>
      <c r="B532" s="271"/>
      <c r="D532" s="1004"/>
      <c r="E532" s="1004"/>
      <c r="F532" s="1004"/>
      <c r="G532"/>
    </row>
    <row r="533" spans="1:7" ht="12.75">
      <c r="D533" s="1004"/>
      <c r="E533" s="1004"/>
      <c r="F533" s="1004"/>
    </row>
    <row r="534" spans="1:7" ht="12" customHeight="1">
      <c r="A534" s="44"/>
      <c r="B534" s="44"/>
      <c r="C534" s="207"/>
      <c r="E534" s="44"/>
    </row>
    <row r="535" spans="1:7" ht="12.75">
      <c r="A535" s="1011" t="s">
        <v>1454</v>
      </c>
      <c r="B535" s="1011"/>
      <c r="C535" s="1011"/>
      <c r="D535" s="1011"/>
      <c r="E535" s="1011"/>
      <c r="F535" s="1011"/>
      <c r="G535" s="1011"/>
    </row>
    <row r="536" spans="1:7" ht="12" customHeight="1">
      <c r="A536" s="44"/>
      <c r="B536" s="44"/>
      <c r="C536" s="207"/>
      <c r="E536" s="44"/>
    </row>
    <row r="537" spans="1:7" ht="12.75">
      <c r="C537" s="207"/>
      <c r="D537" s="1012" t="s">
        <v>1483</v>
      </c>
      <c r="E537" s="1012"/>
      <c r="F537" s="1012"/>
    </row>
    <row r="538" spans="1:7" ht="12.75"/>
    <row r="539" spans="1:7" ht="12.75">
      <c r="B539" s="624" t="s">
        <v>132</v>
      </c>
      <c r="D539" s="986" t="s">
        <v>1622</v>
      </c>
      <c r="E539" s="986"/>
      <c r="F539" s="986"/>
    </row>
    <row r="540" spans="1:7" ht="12.75">
      <c r="D540" s="986"/>
      <c r="E540" s="986"/>
      <c r="F540" s="986"/>
    </row>
    <row r="541" spans="1:7" ht="12" customHeight="1">
      <c r="A541" s="207"/>
      <c r="B541" s="207"/>
      <c r="C541" s="207"/>
      <c r="D541" s="44"/>
    </row>
    <row r="542" spans="1:7" ht="14.25">
      <c r="A542" s="271"/>
      <c r="B542" s="624" t="s">
        <v>132</v>
      </c>
      <c r="C542" s="207"/>
      <c r="D542" s="986" t="s">
        <v>1623</v>
      </c>
      <c r="E542" s="986"/>
      <c r="F542" s="986"/>
    </row>
    <row r="543" spans="1:7" ht="12.75">
      <c r="A543" s="207"/>
      <c r="B543" s="207"/>
      <c r="C543" s="207"/>
      <c r="D543" s="986"/>
      <c r="E543" s="986"/>
      <c r="F543" s="986"/>
    </row>
    <row r="544" spans="1:7" ht="12" customHeight="1">
      <c r="A544" s="207"/>
      <c r="B544" s="207"/>
      <c r="C544" s="207"/>
      <c r="D544" s="44"/>
    </row>
    <row r="545" spans="1:7" ht="12.75">
      <c r="A545" s="1031" t="s">
        <v>1492</v>
      </c>
      <c r="B545" s="1031"/>
      <c r="C545" s="1031"/>
      <c r="D545" s="1031"/>
      <c r="E545" s="1031"/>
      <c r="F545" s="1031"/>
      <c r="G545" s="1031"/>
    </row>
    <row r="546" spans="1:7" ht="12" customHeight="1">
      <c r="A546" s="44"/>
      <c r="B546" s="44"/>
      <c r="C546" s="207"/>
      <c r="D546" s="44"/>
    </row>
    <row r="547" spans="1:7" ht="12.75">
      <c r="C547" s="207"/>
      <c r="D547" s="1012" t="s">
        <v>175</v>
      </c>
      <c r="E547" s="1012"/>
      <c r="F547" s="1012"/>
    </row>
    <row r="548" spans="1:7" ht="12.75">
      <c r="C548" s="207"/>
      <c r="D548" s="1006" t="s">
        <v>1603</v>
      </c>
      <c r="E548" s="1006"/>
      <c r="F548" s="1006"/>
    </row>
    <row r="549" spans="1:7" ht="12.75">
      <c r="C549" s="207"/>
      <c r="D549" s="44"/>
      <c r="E549" s="44"/>
      <c r="F549" s="44"/>
    </row>
    <row r="550" spans="1:7" ht="14.25">
      <c r="A550" s="271"/>
      <c r="B550" s="624" t="s">
        <v>1439</v>
      </c>
      <c r="C550" s="207"/>
      <c r="D550" s="1006" t="s">
        <v>1160</v>
      </c>
      <c r="E550" s="1006"/>
      <c r="F550" s="1006"/>
    </row>
    <row r="551" spans="1:7" ht="12" customHeight="1">
      <c r="A551" s="207"/>
      <c r="B551" s="207"/>
      <c r="C551" s="207"/>
      <c r="D551" s="44"/>
      <c r="E551"/>
      <c r="F551"/>
      <c r="G551"/>
    </row>
    <row r="552" spans="1:7" ht="14.45" customHeight="1">
      <c r="A552" s="271"/>
      <c r="B552" s="974" t="s">
        <v>1439</v>
      </c>
      <c r="C552" s="207"/>
      <c r="D552" s="986" t="s">
        <v>1602</v>
      </c>
      <c r="E552" s="986"/>
      <c r="F552" s="986"/>
      <c r="G552"/>
    </row>
    <row r="553" spans="1:7" ht="12.75">
      <c r="A553" s="207"/>
      <c r="B553" s="207"/>
      <c r="C553" s="207"/>
      <c r="D553" s="986"/>
      <c r="E553" s="986"/>
      <c r="F553" s="986"/>
      <c r="G553"/>
    </row>
    <row r="554" spans="1:7" ht="12" customHeight="1">
      <c r="A554" s="207"/>
      <c r="B554" s="207"/>
      <c r="C554" s="207"/>
      <c r="D554" s="44"/>
      <c r="E554"/>
      <c r="F554"/>
      <c r="G554"/>
    </row>
    <row r="555" spans="1:7" ht="14.25">
      <c r="A555" s="271"/>
      <c r="B555" s="974" t="s">
        <v>1439</v>
      </c>
      <c r="C555" s="207"/>
      <c r="D555" s="986" t="s">
        <v>1604</v>
      </c>
      <c r="E555" s="986"/>
      <c r="F555" s="986"/>
      <c r="G555"/>
    </row>
    <row r="556" spans="1:7" ht="12.75">
      <c r="A556" s="207"/>
      <c r="B556" s="207"/>
      <c r="C556" s="207"/>
      <c r="D556" s="986"/>
      <c r="E556" s="986"/>
      <c r="F556" s="986"/>
      <c r="G556"/>
    </row>
    <row r="557" spans="1:7" ht="12" customHeight="1">
      <c r="A557" s="207"/>
      <c r="B557" s="207"/>
      <c r="C557" s="207"/>
      <c r="D557" s="44"/>
      <c r="E557"/>
      <c r="F557"/>
      <c r="G557"/>
    </row>
    <row r="558" spans="1:7" ht="14.25">
      <c r="A558" s="271"/>
      <c r="B558" s="974" t="s">
        <v>1439</v>
      </c>
      <c r="C558" s="207"/>
      <c r="D558" s="986" t="s">
        <v>1605</v>
      </c>
      <c r="E558" s="986"/>
      <c r="F558" s="986"/>
      <c r="G558"/>
    </row>
    <row r="559" spans="1:7" ht="12.75">
      <c r="A559" s="207"/>
      <c r="B559" s="207"/>
      <c r="C559" s="207"/>
      <c r="D559" s="986"/>
      <c r="E559" s="986"/>
      <c r="F559" s="986"/>
      <c r="G559"/>
    </row>
    <row r="560" spans="1:7" ht="12" customHeight="1">
      <c r="A560" s="207"/>
      <c r="B560" s="207"/>
      <c r="C560" s="207"/>
      <c r="D560" s="44"/>
      <c r="E560"/>
      <c r="F560"/>
      <c r="G560"/>
    </row>
    <row r="561" spans="1:7" ht="14.45" customHeight="1">
      <c r="A561" s="271"/>
      <c r="B561" s="974" t="s">
        <v>1439</v>
      </c>
      <c r="C561" s="207"/>
      <c r="D561" s="986" t="s">
        <v>1606</v>
      </c>
      <c r="E561" s="986"/>
      <c r="F561" s="986"/>
      <c r="G561"/>
    </row>
    <row r="562" spans="1:7" ht="12.75">
      <c r="A562" s="207"/>
      <c r="B562" s="207"/>
      <c r="C562" s="207"/>
      <c r="D562" s="986"/>
      <c r="E562" s="986"/>
      <c r="F562" s="986"/>
      <c r="G562"/>
    </row>
    <row r="563" spans="1:7" ht="12.75">
      <c r="A563" s="207"/>
      <c r="B563" s="207"/>
      <c r="C563" s="207"/>
      <c r="D563" s="986"/>
      <c r="E563" s="986"/>
      <c r="F563" s="986"/>
      <c r="G563"/>
    </row>
    <row r="564" spans="1:7" ht="12.75">
      <c r="A564" s="207"/>
      <c r="B564" s="207"/>
      <c r="C564" s="207"/>
      <c r="D564" s="44"/>
      <c r="E564"/>
      <c r="F564"/>
      <c r="G564"/>
    </row>
    <row r="565" spans="1:7" ht="14.25">
      <c r="A565" s="271"/>
      <c r="B565" s="624" t="s">
        <v>132</v>
      </c>
      <c r="C565" s="207"/>
      <c r="D565" s="980" t="s">
        <v>1704</v>
      </c>
      <c r="E565" s="986"/>
      <c r="F565" s="986"/>
      <c r="G565"/>
    </row>
    <row r="566" spans="1:7" ht="12.75">
      <c r="A566" s="207"/>
      <c r="B566" s="207"/>
      <c r="C566" s="207"/>
      <c r="D566" s="986"/>
      <c r="E566" s="986"/>
      <c r="F566" s="986"/>
      <c r="G566"/>
    </row>
    <row r="567" spans="1:7" ht="12.75">
      <c r="A567" s="207"/>
      <c r="B567" s="207"/>
      <c r="C567" s="207"/>
      <c r="D567" s="44"/>
      <c r="G567"/>
    </row>
    <row r="568" spans="1:7" ht="14.25">
      <c r="A568" s="271"/>
      <c r="B568" s="974" t="s">
        <v>1439</v>
      </c>
      <c r="C568" s="207"/>
      <c r="D568" s="986" t="s">
        <v>1607</v>
      </c>
      <c r="E568" s="986"/>
      <c r="F568" s="986"/>
      <c r="G568"/>
    </row>
    <row r="569" spans="1:7" ht="12.75">
      <c r="A569" s="207"/>
      <c r="B569" s="207"/>
      <c r="C569" s="207"/>
      <c r="D569" s="986"/>
      <c r="E569" s="986"/>
      <c r="F569" s="986"/>
      <c r="G569"/>
    </row>
    <row r="570" spans="1:7" ht="12" customHeight="1">
      <c r="A570" s="207"/>
      <c r="B570" s="207"/>
      <c r="C570" s="207"/>
      <c r="D570" s="44"/>
      <c r="G570"/>
    </row>
    <row r="571" spans="1:7" ht="14.25">
      <c r="A571" s="271"/>
      <c r="B571" s="974" t="s">
        <v>1439</v>
      </c>
      <c r="C571" s="207"/>
      <c r="D571" s="1006" t="s">
        <v>1608</v>
      </c>
      <c r="E571" s="1006"/>
      <c r="F571" s="1006"/>
      <c r="G571"/>
    </row>
    <row r="572" spans="1:7" ht="14.25">
      <c r="A572" s="271"/>
      <c r="B572" s="271"/>
      <c r="C572" s="207"/>
      <c r="D572" s="1034" t="s">
        <v>2183</v>
      </c>
      <c r="E572" s="1034"/>
      <c r="F572" s="1034"/>
      <c r="G572"/>
    </row>
    <row r="573" spans="1:7" ht="12.75">
      <c r="A573" s="18"/>
      <c r="B573" s="18"/>
      <c r="C573" s="207"/>
      <c r="D573" s="951"/>
      <c r="E573" s="104" t="s">
        <v>2184</v>
      </c>
      <c r="F573" s="952"/>
      <c r="G573"/>
    </row>
    <row r="574" spans="1:7" ht="15" customHeight="1">
      <c r="A574" s="18"/>
      <c r="B574" s="18"/>
      <c r="C574" s="207"/>
      <c r="D574" s="980" t="s">
        <v>1828</v>
      </c>
      <c r="E574" s="986"/>
      <c r="F574" s="986"/>
      <c r="G574"/>
    </row>
    <row r="575" spans="1:7" ht="12.75">
      <c r="A575" s="18"/>
      <c r="B575" s="18"/>
      <c r="C575" s="207"/>
      <c r="D575" s="986"/>
      <c r="E575" s="986"/>
      <c r="F575" s="986"/>
      <c r="G575"/>
    </row>
    <row r="576" spans="1:7" ht="12.75">
      <c r="A576" s="18"/>
      <c r="B576" s="18"/>
      <c r="C576" s="207"/>
      <c r="D576" s="986"/>
      <c r="E576" s="986"/>
      <c r="F576" s="986"/>
      <c r="G576"/>
    </row>
    <row r="577" spans="1:7" ht="12.75">
      <c r="A577" s="18"/>
      <c r="B577" s="18"/>
      <c r="C577" s="207"/>
      <c r="D577" s="986"/>
      <c r="E577" s="986"/>
      <c r="F577" s="986"/>
      <c r="G577"/>
    </row>
    <row r="578" spans="1:7" ht="12.75">
      <c r="A578" s="18"/>
      <c r="B578" s="18"/>
      <c r="C578" s="207"/>
      <c r="D578" s="986"/>
      <c r="E578" s="986"/>
      <c r="F578" s="986"/>
      <c r="G578"/>
    </row>
    <row r="579" spans="1:7" ht="12.75">
      <c r="A579" s="18"/>
      <c r="B579" s="18"/>
      <c r="C579" s="207"/>
      <c r="D579" s="986"/>
      <c r="E579" s="986"/>
      <c r="F579" s="986"/>
      <c r="G579"/>
    </row>
    <row r="580" spans="1:7" ht="12.75">
      <c r="A580" s="18"/>
      <c r="B580" s="18"/>
      <c r="C580" s="207"/>
      <c r="D580" s="986"/>
      <c r="E580" s="986"/>
      <c r="F580" s="986"/>
      <c r="G580"/>
    </row>
    <row r="581" spans="1:7" ht="12.75">
      <c r="A581" s="18"/>
      <c r="B581" s="18"/>
      <c r="C581" s="207"/>
      <c r="D581" s="986"/>
      <c r="E581" s="986"/>
      <c r="F581" s="986"/>
      <c r="G581"/>
    </row>
    <row r="582" spans="1:7" ht="12.75">
      <c r="A582" s="18"/>
      <c r="B582" s="18"/>
      <c r="C582" s="207"/>
      <c r="D582" s="986"/>
      <c r="E582" s="986"/>
      <c r="F582" s="986"/>
      <c r="G582"/>
    </row>
    <row r="583" spans="1:7" ht="12.75">
      <c r="A583" s="18"/>
      <c r="B583" s="18"/>
      <c r="C583" s="207"/>
      <c r="D583" s="209"/>
      <c r="E583" s="209"/>
      <c r="F583" s="209"/>
      <c r="G583"/>
    </row>
    <row r="584" spans="1:7" ht="14.25">
      <c r="A584" s="271"/>
      <c r="B584" s="974" t="s">
        <v>1439</v>
      </c>
      <c r="C584" s="207"/>
      <c r="D584" s="1006" t="s">
        <v>1609</v>
      </c>
      <c r="E584" s="1006"/>
      <c r="F584" s="1006"/>
      <c r="G584"/>
    </row>
    <row r="585" spans="1:7" ht="13.7" customHeight="1">
      <c r="C585" s="207"/>
      <c r="D585" s="986" t="s">
        <v>1610</v>
      </c>
      <c r="E585" s="986"/>
      <c r="F585" s="986"/>
      <c r="G585"/>
    </row>
    <row r="586" spans="1:7" ht="12.75">
      <c r="A586" s="207"/>
      <c r="B586" s="207"/>
      <c r="C586" s="207"/>
      <c r="D586" s="986"/>
      <c r="E586" s="986"/>
      <c r="F586" s="986"/>
      <c r="G586"/>
    </row>
    <row r="587" spans="1:7" ht="12.75">
      <c r="A587" s="207"/>
      <c r="B587" s="207"/>
      <c r="C587" s="207"/>
      <c r="D587" s="986"/>
      <c r="E587" s="986"/>
      <c r="F587" s="986"/>
      <c r="G587"/>
    </row>
    <row r="588" spans="1:7" ht="12.75">
      <c r="A588" s="207"/>
      <c r="B588" s="207"/>
      <c r="C588" s="207"/>
      <c r="D588" s="209"/>
      <c r="E588" s="209"/>
      <c r="F588" s="209"/>
      <c r="G588"/>
    </row>
    <row r="589" spans="1:7" ht="14.45" customHeight="1">
      <c r="A589" s="271"/>
      <c r="B589" s="974" t="s">
        <v>1439</v>
      </c>
      <c r="C589" s="207"/>
      <c r="D589" s="986" t="s">
        <v>2273</v>
      </c>
      <c r="E589" s="986"/>
      <c r="F589" s="986"/>
      <c r="G589"/>
    </row>
    <row r="590" spans="1:7" ht="14.25">
      <c r="A590" s="271"/>
      <c r="B590" s="271"/>
      <c r="C590" s="207"/>
      <c r="D590" s="986"/>
      <c r="E590" s="986"/>
      <c r="F590" s="986"/>
      <c r="G590"/>
    </row>
    <row r="591" spans="1:7" ht="14.25">
      <c r="A591" s="271"/>
      <c r="B591" s="271"/>
      <c r="C591" s="207"/>
      <c r="D591" s="986"/>
      <c r="E591" s="986"/>
      <c r="F591" s="986"/>
    </row>
    <row r="592" spans="1:7" ht="12.75">
      <c r="A592" s="207"/>
      <c r="B592" s="207"/>
      <c r="C592" s="207"/>
      <c r="D592" s="986"/>
      <c r="E592" s="986"/>
      <c r="F592" s="986"/>
    </row>
    <row r="593" spans="1:7" ht="12.75">
      <c r="A593" s="207"/>
      <c r="B593" s="207"/>
      <c r="C593" s="207"/>
      <c r="D593" s="44"/>
    </row>
    <row r="594" spans="1:7" ht="12.75">
      <c r="A594" s="191"/>
      <c r="B594" s="624" t="s">
        <v>132</v>
      </c>
      <c r="C594" s="191"/>
      <c r="D594" s="1009" t="s">
        <v>1892</v>
      </c>
      <c r="E594" s="1010"/>
      <c r="F594" s="1010"/>
    </row>
    <row r="595" spans="1:7" ht="12.75">
      <c r="A595" s="191"/>
      <c r="B595" s="191"/>
      <c r="C595" s="191"/>
    </row>
    <row r="596" spans="1:7" ht="12.75">
      <c r="A596" s="207"/>
      <c r="B596" s="207"/>
      <c r="C596" s="207"/>
      <c r="D596" s="24"/>
      <c r="E596" s="24"/>
      <c r="F596" s="24"/>
    </row>
    <row r="597" spans="1:7" ht="12.75">
      <c r="A597" s="1011" t="s">
        <v>1456</v>
      </c>
      <c r="B597" s="1011"/>
      <c r="C597" s="1011"/>
      <c r="D597" s="1011"/>
      <c r="E597" s="1011"/>
      <c r="F597" s="1011"/>
      <c r="G597" s="1011"/>
    </row>
    <row r="598" spans="1:7" ht="12.75">
      <c r="A598" s="207"/>
      <c r="B598" s="207"/>
      <c r="C598" s="207"/>
    </row>
    <row r="599" spans="1:7" ht="12.75">
      <c r="C599" s="190"/>
      <c r="D599" s="1013" t="s">
        <v>176</v>
      </c>
      <c r="E599" s="1013"/>
      <c r="F599" s="1013"/>
    </row>
    <row r="600" spans="1:7" ht="12.75">
      <c r="C600" s="190"/>
      <c r="D600" s="1014" t="s">
        <v>1508</v>
      </c>
      <c r="E600" s="1014"/>
      <c r="F600" s="1014"/>
    </row>
    <row r="601" spans="1:7" ht="12.75">
      <c r="C601" s="190"/>
      <c r="D601" s="375"/>
    </row>
    <row r="602" spans="1:7" ht="14.25">
      <c r="A602" s="271"/>
      <c r="B602" s="974" t="s">
        <v>1439</v>
      </c>
      <c r="D602" s="1014" t="s">
        <v>1161</v>
      </c>
      <c r="E602" s="1014"/>
      <c r="F602" s="1014"/>
    </row>
    <row r="603" spans="1:7" ht="12.75">
      <c r="A603" s="18"/>
      <c r="B603" s="18"/>
      <c r="D603" s="365"/>
    </row>
    <row r="604" spans="1:7" ht="14.45" customHeight="1">
      <c r="A604" s="271"/>
      <c r="B604" s="974" t="s">
        <v>1439</v>
      </c>
      <c r="D604" s="1014" t="s">
        <v>2274</v>
      </c>
      <c r="E604" s="1014"/>
      <c r="F604" s="1014"/>
    </row>
    <row r="605" spans="1:7" ht="14.45" customHeight="1">
      <c r="A605" s="271"/>
      <c r="B605" s="271"/>
      <c r="D605" s="1014"/>
      <c r="E605" s="1014"/>
      <c r="F605" s="1014"/>
    </row>
    <row r="606" spans="1:7" ht="14.25">
      <c r="A606" s="271"/>
      <c r="B606" s="271"/>
      <c r="D606" s="1014"/>
      <c r="E606" s="1014"/>
      <c r="F606" s="1014"/>
    </row>
    <row r="607" spans="1:7" ht="14.25">
      <c r="A607" s="271"/>
      <c r="B607" s="271"/>
      <c r="D607" s="628"/>
      <c r="E607" s="628"/>
      <c r="F607" s="628"/>
    </row>
    <row r="608" spans="1:7" ht="14.25">
      <c r="A608" s="271"/>
      <c r="B608" s="624" t="s">
        <v>132</v>
      </c>
      <c r="D608" s="1014" t="s">
        <v>1509</v>
      </c>
      <c r="E608" s="1014"/>
      <c r="F608" s="1014"/>
    </row>
    <row r="609" spans="1:7" ht="14.25">
      <c r="A609" s="271"/>
      <c r="B609" s="271"/>
      <c r="D609" s="1014"/>
      <c r="E609" s="1014"/>
      <c r="F609" s="1014"/>
    </row>
    <row r="610" spans="1:7" ht="14.25">
      <c r="A610" s="271"/>
      <c r="B610" s="271"/>
      <c r="D610" s="1014"/>
      <c r="E610" s="1014"/>
      <c r="F610" s="1014"/>
    </row>
    <row r="611" spans="1:7" ht="14.25">
      <c r="A611" s="271"/>
      <c r="B611" s="271"/>
      <c r="D611" s="1014"/>
      <c r="E611" s="1014"/>
      <c r="F611" s="1014"/>
    </row>
    <row r="612" spans="1:7" ht="14.25">
      <c r="A612" s="271"/>
      <c r="B612" s="271"/>
      <c r="D612" s="375"/>
    </row>
    <row r="613" spans="1:7" ht="14.25">
      <c r="A613" s="271"/>
      <c r="B613" s="974" t="s">
        <v>1439</v>
      </c>
      <c r="D613" s="1014" t="s">
        <v>2275</v>
      </c>
      <c r="E613" s="1014"/>
      <c r="F613" s="1014"/>
    </row>
    <row r="614" spans="1:7" ht="14.25">
      <c r="A614" s="271"/>
      <c r="B614" s="271"/>
      <c r="D614" s="1014"/>
      <c r="E614" s="1014"/>
      <c r="F614" s="1014"/>
    </row>
    <row r="615" spans="1:7" ht="14.25">
      <c r="A615" s="271"/>
      <c r="B615" s="271"/>
      <c r="D615" s="375"/>
    </row>
    <row r="616" spans="1:7" ht="14.45" customHeight="1">
      <c r="A616" s="271"/>
      <c r="B616" s="624" t="s">
        <v>132</v>
      </c>
      <c r="D616" s="1014" t="s">
        <v>1513</v>
      </c>
      <c r="E616" s="1014"/>
      <c r="F616" s="1014"/>
    </row>
    <row r="617" spans="1:7" ht="14.25">
      <c r="A617" s="271"/>
      <c r="B617" s="271"/>
      <c r="D617" s="1014"/>
      <c r="E617" s="1014"/>
      <c r="F617" s="1014"/>
    </row>
    <row r="618" spans="1:7" ht="14.25">
      <c r="A618" s="271"/>
      <c r="B618" s="271"/>
      <c r="D618" s="375"/>
    </row>
    <row r="619" spans="1:7" ht="14.25">
      <c r="A619" s="271"/>
      <c r="B619" s="974" t="s">
        <v>1439</v>
      </c>
      <c r="D619" s="1014" t="s">
        <v>1162</v>
      </c>
      <c r="E619" s="1014"/>
      <c r="F619" s="1014"/>
    </row>
    <row r="620" spans="1:7" ht="12.75">
      <c r="A620" s="18"/>
      <c r="B620" s="18"/>
    </row>
    <row r="621" spans="1:7" ht="12.75">
      <c r="A621" s="1011" t="s">
        <v>1458</v>
      </c>
      <c r="B621" s="1011"/>
      <c r="C621" s="1011"/>
      <c r="D621" s="1011"/>
      <c r="E621" s="1011"/>
      <c r="F621" s="1011"/>
      <c r="G621" s="1011"/>
    </row>
    <row r="622" spans="1:7" ht="12.75">
      <c r="A622" s="63"/>
      <c r="B622" s="63"/>
    </row>
    <row r="623" spans="1:7" ht="12.75">
      <c r="C623" s="191"/>
      <c r="D623" s="1020" t="s">
        <v>1457</v>
      </c>
      <c r="E623" s="1020"/>
      <c r="F623" s="1020"/>
    </row>
    <row r="624" spans="1:7" ht="12.75">
      <c r="C624" s="191"/>
      <c r="D624" s="1010" t="s">
        <v>1484</v>
      </c>
      <c r="E624" s="1010"/>
      <c r="F624" s="1010"/>
    </row>
    <row r="625" spans="1:7" ht="12.75">
      <c r="C625" s="191"/>
      <c r="D625" s="102"/>
      <c r="E625" s="102"/>
      <c r="F625" s="102"/>
    </row>
    <row r="626" spans="1:7" ht="14.25" customHeight="1">
      <c r="A626" s="271"/>
      <c r="B626" s="974" t="s">
        <v>1439</v>
      </c>
      <c r="D626" s="1001" t="s">
        <v>2186</v>
      </c>
      <c r="E626" s="1002"/>
      <c r="F626" s="1002"/>
    </row>
    <row r="627" spans="1:7" ht="12.75">
      <c r="D627" s="1002"/>
      <c r="E627" s="1002"/>
      <c r="F627" s="1002"/>
    </row>
    <row r="628" spans="1:7" ht="12.75">
      <c r="D628" s="953"/>
      <c r="E628" s="947" t="s">
        <v>2185</v>
      </c>
      <c r="F628" s="953"/>
    </row>
    <row r="629" spans="1:7" ht="12.75">
      <c r="A629" s="63"/>
      <c r="B629" s="63"/>
    </row>
    <row r="630" spans="1:7" ht="12" customHeight="1">
      <c r="A630" s="1011" t="s">
        <v>1460</v>
      </c>
      <c r="B630" s="1011"/>
      <c r="C630" s="1011"/>
      <c r="D630" s="1011"/>
      <c r="E630" s="1011"/>
      <c r="F630" s="1011"/>
      <c r="G630" s="1011"/>
    </row>
    <row r="631" spans="1:7" ht="12.75">
      <c r="A631" s="44"/>
      <c r="B631" s="44"/>
    </row>
    <row r="632" spans="1:7" ht="12.75">
      <c r="C632" s="190"/>
      <c r="D632" s="1012" t="s">
        <v>1459</v>
      </c>
      <c r="E632" s="1012"/>
      <c r="F632" s="1012"/>
    </row>
    <row r="633" spans="1:7" ht="12.75">
      <c r="A633" s="191"/>
      <c r="B633" s="191"/>
      <c r="C633" s="191"/>
      <c r="D633" s="1006" t="s">
        <v>1624</v>
      </c>
      <c r="E633" s="1006"/>
      <c r="F633" s="1006"/>
    </row>
    <row r="634" spans="1:7" ht="12.75">
      <c r="A634" s="191"/>
      <c r="B634" s="191"/>
      <c r="C634" s="191"/>
    </row>
    <row r="635" spans="1:7" ht="14.25">
      <c r="A635" s="271"/>
      <c r="B635" s="271"/>
      <c r="D635" s="1020" t="s">
        <v>911</v>
      </c>
      <c r="E635" s="1020"/>
      <c r="F635" s="1020"/>
    </row>
    <row r="636" spans="1:7" ht="14.25">
      <c r="A636" s="271"/>
      <c r="B636" s="974" t="s">
        <v>1439</v>
      </c>
      <c r="D636" s="1010" t="s">
        <v>1625</v>
      </c>
      <c r="E636" s="1010"/>
      <c r="F636" s="1010"/>
    </row>
    <row r="637" spans="1:7" ht="14.25">
      <c r="A637" s="271"/>
      <c r="B637" s="271"/>
      <c r="D637" s="44"/>
    </row>
    <row r="638" spans="1:7" ht="14.25">
      <c r="A638" s="271"/>
      <c r="B638" s="624" t="s">
        <v>132</v>
      </c>
      <c r="D638" s="986" t="s">
        <v>1626</v>
      </c>
      <c r="E638" s="986"/>
      <c r="F638" s="986"/>
    </row>
    <row r="639" spans="1:7" ht="14.25">
      <c r="A639" s="271"/>
      <c r="B639" s="271"/>
      <c r="D639" s="986"/>
      <c r="E639" s="986"/>
      <c r="F639" s="986"/>
    </row>
    <row r="640" spans="1:7" ht="14.25">
      <c r="A640" s="271"/>
      <c r="B640" s="271"/>
      <c r="D640" s="44"/>
    </row>
    <row r="641" spans="1:7" ht="14.25">
      <c r="A641" s="271"/>
      <c r="B641" s="974" t="s">
        <v>1439</v>
      </c>
      <c r="D641" s="980" t="s">
        <v>2016</v>
      </c>
      <c r="E641" s="980"/>
      <c r="F641" s="980"/>
    </row>
    <row r="642" spans="1:7" ht="13.7" customHeight="1">
      <c r="D642" s="980"/>
      <c r="E642" s="980"/>
      <c r="F642" s="980"/>
    </row>
    <row r="643" spans="1:7" ht="12.75"/>
    <row r="644" spans="1:7" ht="14.25">
      <c r="A644" s="271"/>
      <c r="B644" s="974" t="s">
        <v>1439</v>
      </c>
      <c r="D644" s="1010" t="s">
        <v>1627</v>
      </c>
      <c r="E644" s="1010"/>
      <c r="F644" s="1010"/>
    </row>
    <row r="645" spans="1:7" ht="12.75">
      <c r="A645" s="190"/>
      <c r="B645" s="190"/>
      <c r="C645" s="190"/>
    </row>
    <row r="646" spans="1:7" ht="12.75">
      <c r="A646" s="1011" t="s">
        <v>1461</v>
      </c>
      <c r="B646" s="1011"/>
      <c r="C646" s="1011"/>
      <c r="D646" s="1011"/>
      <c r="E646" s="1011"/>
      <c r="F646" s="1011"/>
      <c r="G646" s="1011"/>
    </row>
    <row r="647" spans="1:7" ht="12.75">
      <c r="A647" s="190"/>
      <c r="B647" s="190"/>
      <c r="C647" s="190"/>
    </row>
    <row r="648" spans="1:7" ht="12.75">
      <c r="C648" s="18"/>
      <c r="D648" s="1050" t="s">
        <v>1485</v>
      </c>
      <c r="E648" s="1050"/>
      <c r="F648" s="1050"/>
    </row>
    <row r="649" spans="1:7" ht="12.75">
      <c r="A649" s="18"/>
      <c r="B649" s="18"/>
      <c r="D649" s="3"/>
    </row>
    <row r="650" spans="1:7" ht="14.25" customHeight="1">
      <c r="A650" s="271"/>
      <c r="B650" s="974" t="s">
        <v>1439</v>
      </c>
      <c r="D650" s="1001" t="s">
        <v>2276</v>
      </c>
      <c r="E650" s="1001"/>
      <c r="F650" s="1001"/>
    </row>
    <row r="651" spans="1:7" ht="14.25">
      <c r="A651" s="271"/>
      <c r="B651" s="271"/>
      <c r="D651" s="1001"/>
      <c r="E651" s="1001"/>
      <c r="F651" s="1001"/>
    </row>
    <row r="652" spans="1:7" ht="12.75">
      <c r="D652" s="953"/>
      <c r="E652" s="947" t="s">
        <v>2188</v>
      </c>
      <c r="F652" s="953"/>
    </row>
    <row r="653" spans="1:7" ht="12.75">
      <c r="D653" s="983" t="s">
        <v>2187</v>
      </c>
      <c r="E653" s="983"/>
      <c r="F653" s="983"/>
    </row>
    <row r="654" spans="1:7" ht="12.75" customHeight="1">
      <c r="D654" s="983"/>
      <c r="E654" s="983"/>
      <c r="F654" s="983"/>
    </row>
    <row r="655" spans="1:7" ht="12.75">
      <c r="B655"/>
      <c r="D655" s="983"/>
      <c r="E655" s="983"/>
      <c r="F655" s="983"/>
    </row>
    <row r="656" spans="1:7" ht="12.75"/>
    <row r="657" spans="1:9" ht="14.25">
      <c r="A657" s="303"/>
      <c r="B657" s="624" t="s">
        <v>132</v>
      </c>
      <c r="D657" s="1051" t="s">
        <v>1628</v>
      </c>
      <c r="E657" s="1051"/>
      <c r="F657" s="1051"/>
      <c r="G657" s="44"/>
    </row>
    <row r="658" spans="1:9" ht="14.25">
      <c r="A658" s="303"/>
      <c r="B658" s="303"/>
      <c r="D658" s="1051"/>
      <c r="E658" s="1051"/>
      <c r="F658" s="1051"/>
      <c r="G658" s="44"/>
    </row>
    <row r="659" spans="1:9" ht="14.25">
      <c r="A659" s="303"/>
      <c r="B659" s="303"/>
      <c r="D659" s="44"/>
      <c r="E659" s="44"/>
      <c r="F659" s="44"/>
      <c r="G659" s="44"/>
    </row>
    <row r="660" spans="1:9" ht="13.7" customHeight="1">
      <c r="A660" s="303"/>
      <c r="B660" s="624" t="s">
        <v>132</v>
      </c>
      <c r="D660" s="1021" t="s">
        <v>1893</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132</v>
      </c>
      <c r="C663" s="207"/>
      <c r="D663" s="1052" t="s">
        <v>1629</v>
      </c>
      <c r="E663" s="1052"/>
      <c r="F663" s="1052"/>
      <c r="G663" s="44"/>
    </row>
    <row r="664" spans="1:9" ht="12.75">
      <c r="A664" s="44"/>
      <c r="B664" s="44"/>
      <c r="C664" s="207"/>
      <c r="D664" s="44"/>
      <c r="E664" s="44"/>
      <c r="F664" s="44"/>
      <c r="G664" s="44"/>
      <c r="H664" s="267"/>
      <c r="I664" s="267"/>
    </row>
    <row r="665" spans="1:9" ht="12.75">
      <c r="A665" s="1011" t="s">
        <v>1463</v>
      </c>
      <c r="B665" s="1011"/>
      <c r="C665" s="1011"/>
      <c r="D665" s="1011"/>
      <c r="E665" s="1011"/>
      <c r="F665" s="1011"/>
      <c r="G665" s="1011"/>
    </row>
    <row r="666" spans="1:9" ht="12.75">
      <c r="A666" s="44"/>
      <c r="B666" s="44"/>
      <c r="C666" s="207"/>
      <c r="D666" s="44"/>
      <c r="E666" s="44"/>
      <c r="F666" s="44"/>
      <c r="G666" s="44"/>
    </row>
    <row r="667" spans="1:9" ht="12.75">
      <c r="C667" s="190"/>
      <c r="D667" s="1012" t="s">
        <v>1462</v>
      </c>
      <c r="E667" s="1012"/>
      <c r="F667" s="1012"/>
      <c r="G667" s="44"/>
    </row>
    <row r="668" spans="1:9" ht="12.75">
      <c r="A668" s="191"/>
      <c r="B668" s="191"/>
      <c r="C668" s="191"/>
      <c r="D668" s="1006" t="s">
        <v>1486</v>
      </c>
      <c r="E668" s="1006"/>
      <c r="F668" s="1006"/>
      <c r="G668" s="44"/>
    </row>
    <row r="669" spans="1:9" ht="12.75">
      <c r="A669" s="191"/>
      <c r="B669" s="191"/>
      <c r="C669" s="191"/>
      <c r="D669" s="44"/>
      <c r="E669" s="44"/>
      <c r="F669" s="44"/>
      <c r="G669" s="44"/>
    </row>
    <row r="670" spans="1:9" ht="14.45" customHeight="1">
      <c r="A670" s="271"/>
      <c r="B670" s="974" t="s">
        <v>1439</v>
      </c>
      <c r="C670" s="207"/>
      <c r="D670" s="980" t="s">
        <v>1968</v>
      </c>
      <c r="E670" s="980"/>
      <c r="F670" s="980"/>
      <c r="G670" s="44"/>
    </row>
    <row r="671" spans="1:9" ht="14.25">
      <c r="A671" s="271"/>
      <c r="B671" s="271"/>
      <c r="C671" s="207"/>
      <c r="D671" s="980"/>
      <c r="E671" s="980"/>
      <c r="F671" s="980"/>
      <c r="G671" s="44"/>
    </row>
    <row r="672" spans="1:9" ht="14.25">
      <c r="A672" s="271"/>
      <c r="B672" s="271"/>
      <c r="C672" s="207"/>
      <c r="D672" s="980"/>
      <c r="E672" s="980"/>
      <c r="F672" s="980"/>
      <c r="G672" s="44"/>
    </row>
    <row r="673" spans="1:7" ht="14.25">
      <c r="A673" s="271"/>
      <c r="B673" s="271"/>
      <c r="C673" s="207"/>
      <c r="D673" s="980"/>
      <c r="E673" s="980"/>
      <c r="F673" s="980"/>
      <c r="G673" s="44"/>
    </row>
    <row r="674" spans="1:7" ht="14.25">
      <c r="A674" s="271"/>
      <c r="B674" s="271"/>
      <c r="C674" s="207"/>
      <c r="D674" s="980"/>
      <c r="E674" s="980"/>
      <c r="F674" s="980"/>
      <c r="G674" s="44"/>
    </row>
    <row r="675" spans="1:7" ht="14.25">
      <c r="A675" s="271"/>
      <c r="B675" s="271"/>
      <c r="C675" s="207"/>
      <c r="D675" s="980"/>
      <c r="E675" s="980"/>
      <c r="F675" s="980"/>
      <c r="G675" s="44"/>
    </row>
    <row r="676" spans="1:7" ht="14.25" hidden="1">
      <c r="A676" s="271"/>
      <c r="B676" s="271"/>
      <c r="C676" s="207"/>
      <c r="D676" s="375"/>
      <c r="F676" s="44"/>
      <c r="G676" s="44"/>
    </row>
    <row r="677" spans="1:7" ht="14.25" hidden="1">
      <c r="A677" s="271"/>
      <c r="B677" s="624" t="s">
        <v>84</v>
      </c>
      <c r="C677" s="207"/>
      <c r="D677" s="1037" t="s">
        <v>1506</v>
      </c>
      <c r="E677" s="1037"/>
      <c r="F677" s="1037"/>
      <c r="G677" s="44"/>
    </row>
    <row r="678" spans="1:7" ht="14.25" hidden="1">
      <c r="A678" s="271"/>
      <c r="B678" s="271"/>
      <c r="C678" s="207"/>
      <c r="D678" s="1032" t="s">
        <v>2277</v>
      </c>
      <c r="E678" s="1032"/>
      <c r="F678" s="1032"/>
      <c r="G678" s="44"/>
    </row>
    <row r="679" spans="1:7" ht="14.25" hidden="1">
      <c r="A679" s="271"/>
      <c r="B679" s="271"/>
      <c r="C679" s="207"/>
      <c r="D679" s="1032"/>
      <c r="E679" s="1032"/>
      <c r="F679" s="1032"/>
      <c r="G679" s="44"/>
    </row>
    <row r="680" spans="1:7" ht="14.25" hidden="1">
      <c r="A680" s="271"/>
      <c r="B680" s="271"/>
      <c r="C680" s="207"/>
      <c r="D680" s="1032"/>
      <c r="E680" s="1032"/>
      <c r="F680" s="1032"/>
      <c r="G680" s="44"/>
    </row>
    <row r="681" spans="1:7" ht="14.25" hidden="1">
      <c r="A681" s="271"/>
      <c r="B681" s="271"/>
      <c r="C681" s="207"/>
      <c r="D681" s="1032"/>
      <c r="E681" s="1032"/>
      <c r="F681" s="1032"/>
      <c r="G681" s="44"/>
    </row>
    <row r="682" spans="1:7" ht="14.25" hidden="1">
      <c r="A682" s="271"/>
      <c r="B682" s="271"/>
      <c r="C682" s="207"/>
      <c r="D682" s="1032"/>
      <c r="E682" s="1032"/>
      <c r="F682" s="1032"/>
      <c r="G682" s="44"/>
    </row>
    <row r="683" spans="1:7" ht="14.25" hidden="1">
      <c r="A683" s="271"/>
      <c r="B683" s="271"/>
      <c r="C683" s="207"/>
      <c r="D683" s="1053" t="s">
        <v>1967</v>
      </c>
      <c r="E683" s="1053"/>
      <c r="F683" s="1053"/>
      <c r="G683" s="44"/>
    </row>
    <row r="684" spans="1:7" ht="12.75">
      <c r="A684" s="44"/>
      <c r="B684" s="44"/>
      <c r="C684" s="207"/>
      <c r="D684" s="44"/>
      <c r="E684" s="44"/>
      <c r="F684" s="44"/>
      <c r="G684" s="44"/>
    </row>
    <row r="685" spans="1:7" ht="12.75">
      <c r="A685" s="1011" t="s">
        <v>1464</v>
      </c>
      <c r="B685" s="1011"/>
      <c r="C685" s="1011"/>
      <c r="D685" s="1011"/>
      <c r="E685" s="1011"/>
      <c r="F685" s="1011"/>
      <c r="G685" s="1011"/>
    </row>
    <row r="686" spans="1:7" ht="12.75">
      <c r="A686" s="44"/>
      <c r="B686" s="44"/>
      <c r="C686" s="207"/>
      <c r="D686" s="44"/>
      <c r="E686" s="44"/>
      <c r="F686" s="44"/>
      <c r="G686" s="44"/>
    </row>
    <row r="687" spans="1:7" ht="12.75">
      <c r="C687" s="190"/>
      <c r="D687" s="1012" t="s">
        <v>820</v>
      </c>
      <c r="E687" s="1012"/>
      <c r="F687" s="1012"/>
      <c r="G687" s="44"/>
    </row>
    <row r="688" spans="1:7" ht="12.75">
      <c r="A688" s="190"/>
      <c r="B688" s="190"/>
      <c r="C688" s="190"/>
      <c r="D688" s="1012" t="s">
        <v>912</v>
      </c>
      <c r="E688" s="1012"/>
      <c r="F688" s="1012"/>
      <c r="G688" s="44"/>
    </row>
    <row r="689" spans="1:6" ht="12.75">
      <c r="A689" s="191"/>
      <c r="B689" s="191"/>
      <c r="C689" s="191"/>
      <c r="D689" s="1006" t="s">
        <v>1593</v>
      </c>
      <c r="E689" s="1006"/>
      <c r="F689" s="1006"/>
    </row>
    <row r="690" spans="1:6" ht="14.25" customHeight="1">
      <c r="A690" s="191"/>
      <c r="B690" s="191"/>
      <c r="C690" s="191"/>
    </row>
    <row r="691" spans="1:6" ht="14.25">
      <c r="A691" s="271"/>
      <c r="B691" s="974" t="s">
        <v>1439</v>
      </c>
      <c r="C691" s="191"/>
      <c r="D691" s="1006" t="s">
        <v>1163</v>
      </c>
      <c r="E691" s="1006"/>
      <c r="F691" s="1006"/>
    </row>
    <row r="692" spans="1:6" ht="12.75">
      <c r="A692" s="191"/>
      <c r="B692" s="191"/>
      <c r="C692" s="191"/>
      <c r="D692" s="1006" t="s">
        <v>1181</v>
      </c>
      <c r="E692" s="1006"/>
      <c r="F692" s="1006"/>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132</v>
      </c>
      <c r="C696" s="191"/>
      <c r="D696" s="986" t="s">
        <v>2278</v>
      </c>
      <c r="E696" s="986"/>
      <c r="F696" s="986"/>
    </row>
    <row r="697" spans="1:6" ht="12.75">
      <c r="A697" s="18"/>
      <c r="B697" s="18"/>
      <c r="C697" s="191"/>
      <c r="D697" s="986"/>
      <c r="E697" s="986"/>
      <c r="F697" s="986"/>
    </row>
    <row r="698" spans="1:6" ht="12.75">
      <c r="A698" s="191"/>
      <c r="B698" s="191"/>
      <c r="C698" s="191"/>
      <c r="D698" s="986"/>
      <c r="E698" s="986"/>
      <c r="F698" s="986"/>
    </row>
    <row r="699" spans="1:6" ht="12.75">
      <c r="A699" s="191"/>
      <c r="B699" s="191"/>
      <c r="C699" s="191"/>
    </row>
    <row r="700" spans="1:6" ht="14.25">
      <c r="A700" s="271"/>
      <c r="B700" s="974" t="s">
        <v>1439</v>
      </c>
      <c r="C700" s="191"/>
      <c r="D700" s="1006" t="s">
        <v>1222</v>
      </c>
      <c r="E700" s="1006"/>
      <c r="F700" s="1006"/>
    </row>
    <row r="701" spans="1:6" ht="14.25">
      <c r="A701" s="271"/>
      <c r="B701" s="271"/>
      <c r="C701" s="191"/>
      <c r="D701" s="1006" t="s">
        <v>1181</v>
      </c>
      <c r="E701" s="1006"/>
      <c r="F701" s="1006"/>
    </row>
    <row r="702" spans="1:6" ht="12.75">
      <c r="A702" s="191"/>
      <c r="B702" s="191"/>
      <c r="C702" s="191"/>
      <c r="E702" s="1023" t="s">
        <v>2191</v>
      </c>
      <c r="F702" s="1023"/>
    </row>
    <row r="703" spans="1:6" ht="12.75">
      <c r="A703" s="191"/>
      <c r="B703" s="191"/>
      <c r="C703" s="191"/>
      <c r="D703" s="3"/>
    </row>
    <row r="704" spans="1:6" ht="14.25">
      <c r="A704" s="271"/>
      <c r="B704" s="974" t="s">
        <v>1439</v>
      </c>
      <c r="C704" s="191"/>
      <c r="D704" s="986" t="s">
        <v>1595</v>
      </c>
      <c r="E704" s="986"/>
      <c r="F704" s="986"/>
    </row>
    <row r="705" spans="1:6" ht="12.75">
      <c r="A705" s="191"/>
      <c r="B705" s="191"/>
      <c r="C705" s="191"/>
      <c r="D705" s="986"/>
      <c r="E705" s="986"/>
      <c r="F705" s="986"/>
    </row>
    <row r="706" spans="1:6" ht="12.75">
      <c r="A706" s="191"/>
      <c r="B706" s="191"/>
      <c r="C706" s="191"/>
      <c r="D706" s="986"/>
      <c r="E706" s="986"/>
      <c r="F706" s="986"/>
    </row>
    <row r="707" spans="1:6" ht="12.75">
      <c r="A707" s="191"/>
      <c r="B707" s="191"/>
      <c r="C707" s="191"/>
      <c r="D707" s="986"/>
      <c r="E707" s="986"/>
      <c r="F707" s="986"/>
    </row>
    <row r="708" spans="1:6" ht="12.75">
      <c r="A708" s="191"/>
      <c r="B708" s="191"/>
      <c r="C708" s="191"/>
      <c r="D708" s="986"/>
      <c r="E708" s="986"/>
      <c r="F708" s="986"/>
    </row>
    <row r="709" spans="1:6" ht="12.75">
      <c r="A709" s="191"/>
      <c r="B709" s="191"/>
      <c r="C709" s="191"/>
      <c r="D709" s="986"/>
      <c r="E709" s="986"/>
      <c r="F709" s="986"/>
    </row>
    <row r="710" spans="1:6" ht="12.75">
      <c r="A710" s="191"/>
      <c r="B710" s="191"/>
      <c r="C710" s="191"/>
      <c r="D710" s="986"/>
      <c r="E710" s="986"/>
      <c r="F710" s="986"/>
    </row>
    <row r="711" spans="1:6" ht="12.75">
      <c r="A711" s="191"/>
      <c r="B711" s="974" t="s">
        <v>1439</v>
      </c>
      <c r="C711" s="191"/>
      <c r="D711" s="980" t="s">
        <v>1808</v>
      </c>
      <c r="E711" s="986"/>
      <c r="F711" s="986"/>
    </row>
    <row r="712" spans="1:6" ht="12.75">
      <c r="A712" s="191"/>
      <c r="B712" s="191"/>
      <c r="C712" s="191"/>
      <c r="D712" s="986"/>
      <c r="E712" s="986"/>
      <c r="F712" s="986"/>
    </row>
    <row r="713" spans="1:6" ht="12.75">
      <c r="A713" s="191"/>
      <c r="B713" s="191"/>
      <c r="C713" s="191"/>
    </row>
    <row r="714" spans="1:6" ht="14.45" customHeight="1">
      <c r="A714" s="271"/>
      <c r="B714" s="624" t="s">
        <v>132</v>
      </c>
      <c r="C714" s="191"/>
      <c r="D714" s="986" t="s">
        <v>1596</v>
      </c>
      <c r="E714" s="986"/>
      <c r="F714" s="986"/>
    </row>
    <row r="715" spans="1:6" ht="12.75">
      <c r="A715" s="191"/>
      <c r="B715" s="191"/>
      <c r="C715" s="191"/>
      <c r="D715" s="986"/>
      <c r="E715" s="986"/>
      <c r="F715" s="986"/>
    </row>
    <row r="716" spans="1:6" ht="12.75">
      <c r="A716" s="191"/>
      <c r="B716" s="191"/>
      <c r="C716" s="191"/>
      <c r="D716" s="986"/>
      <c r="E716" s="986"/>
      <c r="F716" s="986"/>
    </row>
    <row r="717" spans="1:6" ht="12.75">
      <c r="A717" s="191"/>
      <c r="B717" s="191"/>
      <c r="C717" s="191"/>
      <c r="D717" s="986"/>
      <c r="E717" s="986"/>
      <c r="F717" s="986"/>
    </row>
    <row r="718" spans="1:6" ht="12.75">
      <c r="A718" s="191"/>
      <c r="B718" s="191"/>
      <c r="C718" s="191"/>
      <c r="D718" s="986"/>
      <c r="E718" s="986"/>
      <c r="F718" s="986"/>
    </row>
    <row r="719" spans="1:6" ht="12.75">
      <c r="A719" s="191"/>
      <c r="B719" s="191"/>
      <c r="C719" s="191"/>
      <c r="D719" s="986"/>
      <c r="E719" s="986"/>
      <c r="F719" s="986"/>
    </row>
    <row r="720" spans="1:6" ht="12.75">
      <c r="A720" s="191"/>
      <c r="B720" s="191"/>
      <c r="C720" s="191"/>
      <c r="D720" s="986"/>
      <c r="E720" s="986"/>
      <c r="F720" s="986"/>
    </row>
    <row r="721" spans="1:9" ht="12.75">
      <c r="A721" s="191"/>
      <c r="B721" s="191"/>
      <c r="C721" s="191"/>
      <c r="D721" s="986"/>
      <c r="E721" s="986"/>
      <c r="F721" s="986"/>
    </row>
    <row r="722" spans="1:9" ht="12.75">
      <c r="A722" s="191"/>
      <c r="B722" s="191"/>
      <c r="C722" s="191"/>
      <c r="D722" s="986"/>
      <c r="E722" s="986"/>
      <c r="F722" s="986"/>
    </row>
    <row r="723" spans="1:9" ht="12.75">
      <c r="A723" s="191"/>
      <c r="B723" s="191"/>
      <c r="C723" s="191"/>
      <c r="D723" s="986"/>
      <c r="E723" s="986"/>
      <c r="F723" s="986"/>
    </row>
    <row r="724" spans="1:9" ht="12.75">
      <c r="A724" s="191"/>
      <c r="B724" s="191"/>
      <c r="C724" s="191"/>
      <c r="D724" s="986"/>
      <c r="E724" s="986"/>
      <c r="F724" s="986"/>
    </row>
    <row r="725" spans="1:9" ht="12.75">
      <c r="A725" s="191"/>
      <c r="B725" s="191"/>
      <c r="C725" s="191"/>
      <c r="D725" s="986"/>
      <c r="E725" s="986"/>
      <c r="F725" s="986"/>
    </row>
    <row r="726" spans="1:9" ht="12.75">
      <c r="A726" s="191"/>
      <c r="B726" s="191"/>
      <c r="C726" s="191"/>
      <c r="D726" s="986"/>
      <c r="E726" s="986"/>
      <c r="F726" s="986"/>
    </row>
    <row r="727" spans="1:9" ht="12.75">
      <c r="A727" s="191"/>
      <c r="B727" s="624" t="s">
        <v>132</v>
      </c>
      <c r="C727" s="191"/>
      <c r="D727" s="986" t="s">
        <v>1600</v>
      </c>
      <c r="E727" s="986"/>
      <c r="F727" s="986"/>
      <c r="H727" s="267"/>
      <c r="I727" s="267"/>
    </row>
    <row r="728" spans="1:9" ht="12.75">
      <c r="A728" s="191"/>
      <c r="B728" s="191"/>
      <c r="C728" s="191"/>
      <c r="D728" s="986"/>
      <c r="E728" s="986"/>
      <c r="F728" s="986"/>
      <c r="H728" s="267"/>
      <c r="I728" s="267"/>
    </row>
    <row r="729" spans="1:9" ht="12.75">
      <c r="A729" s="191"/>
      <c r="B729" s="191"/>
      <c r="C729" s="191"/>
      <c r="D729" s="24"/>
      <c r="E729" s="24"/>
      <c r="F729" s="24"/>
      <c r="H729" s="267"/>
      <c r="I729" s="267"/>
    </row>
    <row r="730" spans="1:9" ht="12.75">
      <c r="A730" s="191"/>
      <c r="B730" s="624" t="s">
        <v>132</v>
      </c>
      <c r="C730" s="191"/>
      <c r="D730" s="986" t="s">
        <v>1601</v>
      </c>
      <c r="E730" s="986"/>
      <c r="F730" s="986"/>
      <c r="H730" s="267"/>
      <c r="I730" s="267"/>
    </row>
    <row r="731" spans="1:9" ht="12.75">
      <c r="A731" s="191"/>
      <c r="B731" s="191"/>
      <c r="C731" s="191"/>
      <c r="D731" s="986"/>
      <c r="E731" s="986"/>
      <c r="F731" s="986"/>
      <c r="H731" s="267"/>
      <c r="I731" s="267"/>
    </row>
    <row r="732" spans="1:9" ht="12.75">
      <c r="A732" s="191"/>
      <c r="B732" s="191"/>
      <c r="C732" s="191"/>
      <c r="D732" s="986"/>
      <c r="E732" s="986"/>
      <c r="F732" s="986"/>
      <c r="H732" s="267"/>
      <c r="I732" s="267"/>
    </row>
    <row r="733" spans="1:9" ht="12.75">
      <c r="A733" s="191"/>
      <c r="B733" s="191"/>
      <c r="C733" s="191"/>
      <c r="D733" s="24"/>
      <c r="E733" s="24"/>
      <c r="F733" s="24"/>
      <c r="H733" s="267"/>
      <c r="I733" s="267"/>
    </row>
    <row r="734" spans="1:9" ht="14.45" customHeight="1">
      <c r="A734" s="271"/>
      <c r="B734" s="624" t="s">
        <v>132</v>
      </c>
      <c r="C734" s="191"/>
      <c r="D734" s="980" t="s">
        <v>2017</v>
      </c>
      <c r="E734" s="986"/>
      <c r="F734" s="986"/>
    </row>
    <row r="735" spans="1:9" ht="12.75">
      <c r="A735" s="191"/>
      <c r="B735" s="191"/>
      <c r="C735" s="191"/>
      <c r="D735" s="986"/>
      <c r="E735" s="986"/>
      <c r="F735" s="986"/>
    </row>
    <row r="736" spans="1:9" ht="12.75">
      <c r="A736" s="191"/>
      <c r="B736" s="191"/>
      <c r="C736" s="191"/>
      <c r="D736" s="986"/>
      <c r="E736" s="986"/>
      <c r="F736" s="986"/>
    </row>
    <row r="737" spans="1:9" ht="12.75">
      <c r="A737" s="191"/>
      <c r="B737" s="191"/>
      <c r="C737" s="191"/>
    </row>
    <row r="738" spans="1:9" ht="14.45" customHeight="1">
      <c r="A738" s="271"/>
      <c r="B738" s="624" t="s">
        <v>132</v>
      </c>
      <c r="C738" s="191"/>
      <c r="D738" s="986" t="s">
        <v>1597</v>
      </c>
      <c r="E738" s="986"/>
      <c r="F738" s="986"/>
    </row>
    <row r="739" spans="1:9" ht="12.75">
      <c r="A739" s="191"/>
      <c r="B739" s="191"/>
      <c r="C739" s="191"/>
      <c r="D739" s="986"/>
      <c r="E739" s="986"/>
      <c r="F739" s="986"/>
    </row>
    <row r="740" spans="1:9" ht="12.75">
      <c r="A740" s="191"/>
      <c r="B740" s="191"/>
      <c r="C740" s="191"/>
      <c r="D740" s="986"/>
      <c r="E740" s="986"/>
      <c r="F740" s="986"/>
    </row>
    <row r="741" spans="1:9" ht="12.75">
      <c r="A741" s="191"/>
      <c r="B741" s="191"/>
      <c r="C741" s="191"/>
      <c r="D741" s="212"/>
      <c r="H741" s="267"/>
      <c r="I741" s="267"/>
    </row>
    <row r="742" spans="1:9" ht="14.25">
      <c r="A742" s="271"/>
      <c r="B742" s="624" t="s">
        <v>132</v>
      </c>
      <c r="C742" s="191"/>
      <c r="D742" s="986" t="s">
        <v>1599</v>
      </c>
      <c r="E742" s="986"/>
      <c r="F742" s="986"/>
    </row>
    <row r="743" spans="1:9" ht="12.75">
      <c r="A743" s="191"/>
      <c r="B743" s="191"/>
      <c r="C743" s="191"/>
      <c r="D743" s="986"/>
      <c r="E743" s="986"/>
      <c r="F743" s="986"/>
    </row>
    <row r="744" spans="1:9" ht="12.75">
      <c r="A744" s="191"/>
      <c r="B744" s="191"/>
      <c r="C744" s="191"/>
      <c r="D744" s="986"/>
      <c r="E744" s="986"/>
      <c r="F744" s="986"/>
    </row>
    <row r="745" spans="1:9" ht="12.75">
      <c r="A745" s="191"/>
      <c r="B745" s="191"/>
      <c r="C745" s="191"/>
      <c r="D745" s="986"/>
      <c r="E745" s="986"/>
      <c r="F745" s="986"/>
    </row>
    <row r="746" spans="1:9" ht="12.75">
      <c r="A746" s="191"/>
      <c r="B746" s="191"/>
      <c r="C746" s="191"/>
      <c r="D746" s="24"/>
      <c r="E746" s="24"/>
      <c r="F746" s="24"/>
    </row>
    <row r="747" spans="1:9" ht="14.25">
      <c r="A747" s="271"/>
      <c r="B747" s="624" t="s">
        <v>132</v>
      </c>
      <c r="C747" s="191"/>
      <c r="D747" s="986" t="s">
        <v>2279</v>
      </c>
      <c r="E747" s="986"/>
      <c r="F747" s="986"/>
      <c r="H747" s="267"/>
      <c r="I747" s="267"/>
    </row>
    <row r="748" spans="1:9" ht="12.75">
      <c r="A748" s="191"/>
      <c r="B748" s="191"/>
      <c r="C748" s="191"/>
      <c r="D748" s="986"/>
      <c r="E748" s="986"/>
      <c r="F748" s="986"/>
      <c r="H748" s="267"/>
      <c r="I748" s="267"/>
    </row>
    <row r="749" spans="1:9" ht="12.75">
      <c r="A749" s="191"/>
      <c r="B749" s="191"/>
      <c r="C749" s="191"/>
      <c r="D749" s="986"/>
      <c r="E749" s="986"/>
      <c r="F749" s="986"/>
      <c r="H749" s="267"/>
      <c r="I749" s="267"/>
    </row>
    <row r="750" spans="1:9" ht="12.75">
      <c r="A750" s="191"/>
      <c r="B750" s="191"/>
      <c r="C750" s="191"/>
      <c r="D750" s="986"/>
      <c r="E750" s="986"/>
      <c r="F750" s="986"/>
      <c r="H750" s="267"/>
      <c r="I750" s="267"/>
    </row>
    <row r="751" spans="1:9" ht="12.75">
      <c r="A751" s="191"/>
      <c r="B751" s="191"/>
      <c r="C751" s="191"/>
      <c r="D751" s="986"/>
      <c r="E751" s="986"/>
      <c r="F751" s="986"/>
      <c r="H751" s="267"/>
      <c r="I751" s="267"/>
    </row>
    <row r="752" spans="1:9" ht="12.75">
      <c r="A752" s="191"/>
      <c r="B752" s="191"/>
      <c r="C752" s="191"/>
      <c r="D752" s="986"/>
      <c r="E752" s="986"/>
      <c r="F752" s="986"/>
      <c r="H752" s="267"/>
      <c r="I752" s="267"/>
    </row>
    <row r="753" spans="1:9" ht="12.75">
      <c r="A753" s="191"/>
      <c r="B753" s="191"/>
      <c r="C753" s="191"/>
      <c r="D753" s="986"/>
      <c r="E753" s="986"/>
      <c r="F753" s="986"/>
      <c r="H753" s="267"/>
      <c r="I753" s="267"/>
    </row>
    <row r="754" spans="1:9" ht="12.75">
      <c r="A754" s="191"/>
      <c r="B754" s="191"/>
      <c r="C754" s="191"/>
      <c r="D754" s="1048" t="s">
        <v>1598</v>
      </c>
      <c r="E754" s="1048"/>
      <c r="F754" s="1048"/>
      <c r="H754" s="267"/>
      <c r="I754" s="267"/>
    </row>
    <row r="755" spans="1:9" ht="12.75">
      <c r="A755" s="191"/>
      <c r="B755" s="191"/>
      <c r="C755" s="191"/>
      <c r="D755" s="575"/>
      <c r="H755" s="267"/>
      <c r="I755" s="267"/>
    </row>
    <row r="756" spans="1:9" ht="12.75">
      <c r="A756" s="1031" t="s">
        <v>1493</v>
      </c>
      <c r="B756" s="1031"/>
      <c r="C756" s="1031"/>
      <c r="D756" s="1031"/>
      <c r="E756" s="1031"/>
      <c r="F756" s="1031"/>
      <c r="G756" s="1031"/>
      <c r="H756" s="267"/>
      <c r="I756" s="267"/>
    </row>
    <row r="757" spans="1:9" ht="12.75">
      <c r="A757" s="191"/>
      <c r="B757" s="191"/>
      <c r="C757" s="191"/>
      <c r="D757" s="212"/>
      <c r="H757" s="267"/>
      <c r="I757" s="267"/>
    </row>
    <row r="758" spans="1:9" ht="12.75">
      <c r="C758" s="191"/>
      <c r="D758" s="1013" t="s">
        <v>1514</v>
      </c>
      <c r="E758" s="1013"/>
      <c r="F758" s="1013"/>
      <c r="H758" s="267"/>
      <c r="I758" s="267"/>
    </row>
    <row r="759" spans="1:9" ht="12.75">
      <c r="A759" s="190"/>
      <c r="B759" s="190"/>
      <c r="C759" s="190"/>
      <c r="D759" s="1010" t="s">
        <v>1517</v>
      </c>
      <c r="E759" s="1010"/>
      <c r="F759" s="1010"/>
      <c r="H759" s="267"/>
      <c r="I759" s="267"/>
    </row>
    <row r="760" spans="1:9" ht="12.75">
      <c r="A760" s="191"/>
      <c r="B760" s="191"/>
      <c r="C760" s="191"/>
      <c r="H760" s="267"/>
      <c r="I760" s="267"/>
    </row>
    <row r="761" spans="1:9" ht="14.25" customHeight="1">
      <c r="A761" s="271"/>
      <c r="B761" s="974" t="s">
        <v>1439</v>
      </c>
      <c r="D761" s="986" t="s">
        <v>1515</v>
      </c>
      <c r="E761" s="986"/>
      <c r="F761" s="986"/>
      <c r="H761" s="267"/>
      <c r="I761" s="267"/>
    </row>
    <row r="762" spans="1:9" ht="11.25" customHeight="1">
      <c r="D762" s="986"/>
      <c r="E762" s="986"/>
      <c r="F762" s="986"/>
      <c r="H762" s="267"/>
      <c r="I762" s="267"/>
    </row>
    <row r="763" spans="1:9" ht="12.75">
      <c r="D763" s="986"/>
      <c r="E763" s="986"/>
      <c r="F763" s="986"/>
      <c r="H763" s="267"/>
      <c r="I763" s="267"/>
    </row>
    <row r="764" spans="1:9" ht="12.75">
      <c r="D764" s="986"/>
      <c r="E764" s="986"/>
      <c r="F764" s="986"/>
      <c r="H764" s="267"/>
      <c r="I764" s="267"/>
    </row>
    <row r="765" spans="1:9" ht="12.75">
      <c r="D765" s="986"/>
      <c r="E765" s="986"/>
      <c r="F765" s="986"/>
      <c r="H765" s="267"/>
      <c r="I765" s="267"/>
    </row>
    <row r="766" spans="1:9" ht="17.25" customHeight="1">
      <c r="D766" s="986"/>
      <c r="E766" s="986"/>
      <c r="F766" s="986"/>
      <c r="H766" s="267"/>
      <c r="I766" s="267"/>
    </row>
    <row r="767" spans="1:9" ht="12.75">
      <c r="D767" s="44"/>
      <c r="E767" s="44"/>
      <c r="F767" s="44"/>
      <c r="H767" s="267"/>
      <c r="I767" s="267"/>
    </row>
    <row r="768" spans="1:9" ht="12.75" customHeight="1">
      <c r="B768" s="974" t="s">
        <v>1439</v>
      </c>
      <c r="D768" s="1021" t="s">
        <v>1954</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132</v>
      </c>
      <c r="C773" s="445"/>
      <c r="D773" s="1019" t="s">
        <v>1955</v>
      </c>
      <c r="E773" s="1032"/>
      <c r="F773" s="1032"/>
      <c r="G773" s="376"/>
      <c r="H773" s="267"/>
      <c r="I773" s="267"/>
    </row>
    <row r="774" spans="1:9" ht="12.75">
      <c r="A774" s="445"/>
      <c r="B774" s="445"/>
      <c r="C774" s="445"/>
      <c r="D774" s="1032"/>
      <c r="E774" s="1032"/>
      <c r="F774" s="1032"/>
      <c r="G774" s="376"/>
      <c r="H774" s="267"/>
      <c r="I774" s="267"/>
    </row>
    <row r="775" spans="1:9" ht="12.75">
      <c r="A775" s="445"/>
      <c r="B775" s="445"/>
      <c r="C775" s="445"/>
      <c r="D775" s="1032"/>
      <c r="E775" s="1032"/>
      <c r="F775" s="1032"/>
      <c r="G775" s="376"/>
      <c r="H775" s="267"/>
      <c r="I775" s="267"/>
    </row>
    <row r="776" spans="1:9" ht="12.75">
      <c r="D776" s="44"/>
      <c r="E776" s="44"/>
      <c r="F776" s="44"/>
      <c r="H776" s="267"/>
      <c r="I776" s="267"/>
    </row>
    <row r="777" spans="1:9" ht="12.75">
      <c r="B777" s="624" t="s">
        <v>132</v>
      </c>
      <c r="D777" s="986" t="s">
        <v>1516</v>
      </c>
      <c r="E777" s="986"/>
      <c r="F777" s="986"/>
      <c r="H777" s="267"/>
      <c r="I777" s="267"/>
    </row>
    <row r="778" spans="1:9" ht="12.75">
      <c r="D778" s="986"/>
      <c r="E778" s="986"/>
      <c r="F778" s="986"/>
      <c r="H778" s="267"/>
      <c r="I778" s="267"/>
    </row>
    <row r="779" spans="1:9" ht="12.75">
      <c r="D779" s="24"/>
      <c r="E779" s="24"/>
      <c r="F779" s="24"/>
      <c r="H779" s="267"/>
      <c r="I779" s="267"/>
    </row>
    <row r="780" spans="1:9" ht="13.7" customHeight="1">
      <c r="B780" s="624" t="s">
        <v>132</v>
      </c>
      <c r="D780" s="980" t="s">
        <v>1831</v>
      </c>
      <c r="E780" s="986"/>
      <c r="F780" s="986"/>
      <c r="H780" s="267"/>
      <c r="I780" s="267"/>
    </row>
    <row r="781" spans="1:9" ht="12.75">
      <c r="D781" s="986"/>
      <c r="E781" s="986"/>
      <c r="F781" s="986"/>
      <c r="H781" s="267"/>
      <c r="I781" s="267"/>
    </row>
    <row r="782" spans="1:9" ht="12.75">
      <c r="D782" s="986"/>
      <c r="E782" s="986"/>
      <c r="F782" s="986"/>
      <c r="H782" s="267"/>
      <c r="I782" s="267"/>
    </row>
    <row r="783" spans="1:9" ht="12.75">
      <c r="D783" s="24"/>
      <c r="E783" s="24"/>
      <c r="F783" s="24"/>
      <c r="H783" s="267"/>
      <c r="I783" s="267"/>
    </row>
    <row r="784" spans="1:9" ht="12" customHeight="1">
      <c r="A784" s="1031" t="s">
        <v>1663</v>
      </c>
      <c r="B784" s="1031"/>
      <c r="C784" s="1031"/>
      <c r="D784" s="1031"/>
      <c r="E784" s="1031"/>
      <c r="F784" s="1031"/>
      <c r="G784" s="1031"/>
      <c r="H784" s="267"/>
      <c r="I784" s="267"/>
    </row>
    <row r="785" spans="1:9" ht="12.75">
      <c r="A785" s="63"/>
      <c r="B785" s="63"/>
      <c r="H785" s="267"/>
      <c r="I785" s="267"/>
    </row>
    <row r="786" spans="1:9" ht="13.7" customHeight="1">
      <c r="A786" s="63"/>
      <c r="B786" s="63"/>
      <c r="D786" s="1059" t="s">
        <v>1664</v>
      </c>
      <c r="E786" s="1059"/>
      <c r="F786" s="1059"/>
      <c r="H786" s="267"/>
      <c r="I786" s="267"/>
    </row>
    <row r="787" spans="1:9" ht="12.75">
      <c r="A787" s="63"/>
      <c r="B787" s="63"/>
      <c r="D787" s="1016" t="s">
        <v>1665</v>
      </c>
      <c r="E787" s="1016"/>
      <c r="F787" s="1016"/>
      <c r="H787" s="267"/>
      <c r="I787" s="267"/>
    </row>
    <row r="788" spans="1:9" ht="12.75">
      <c r="A788" s="63"/>
      <c r="B788" s="63"/>
      <c r="D788" s="431"/>
      <c r="E788" s="431"/>
      <c r="F788" s="431"/>
      <c r="H788" s="267"/>
      <c r="I788" s="267"/>
    </row>
    <row r="789" spans="1:9" ht="12.75">
      <c r="A789" s="63"/>
      <c r="B789" s="974" t="s">
        <v>1439</v>
      </c>
      <c r="D789" s="1032" t="s">
        <v>1666</v>
      </c>
      <c r="E789" s="1032"/>
      <c r="F789" s="1032"/>
      <c r="H789" s="267"/>
      <c r="I789" s="267"/>
    </row>
    <row r="790" spans="1:9" ht="12.75">
      <c r="A790" s="63"/>
      <c r="B790" s="63"/>
      <c r="D790" s="1032"/>
      <c r="E790" s="1032"/>
      <c r="F790" s="1032"/>
      <c r="H790" s="267"/>
      <c r="I790" s="267"/>
    </row>
    <row r="791" spans="1:9" ht="12.75">
      <c r="A791" s="191"/>
      <c r="B791" s="191"/>
      <c r="C791" s="191"/>
      <c r="D791" s="1032"/>
      <c r="E791" s="1032"/>
      <c r="F791" s="1032"/>
      <c r="G791" s="44"/>
      <c r="H791" s="267"/>
      <c r="I791" s="267"/>
    </row>
    <row r="792" spans="1:9" ht="12.75">
      <c r="D792" s="192"/>
      <c r="H792" s="267"/>
      <c r="I792" s="267"/>
    </row>
    <row r="793" spans="1:9" ht="12.75">
      <c r="A793" s="190"/>
      <c r="B793" s="974" t="s">
        <v>1439</v>
      </c>
      <c r="C793" s="190"/>
      <c r="D793" s="1019" t="s">
        <v>2347</v>
      </c>
      <c r="E793" s="1032"/>
      <c r="F793" s="1032"/>
      <c r="H793" s="267"/>
      <c r="I793" s="267"/>
    </row>
    <row r="794" spans="1:9" ht="12.75">
      <c r="A794" s="190"/>
      <c r="B794" s="190"/>
      <c r="C794" s="190"/>
      <c r="D794" s="1032"/>
      <c r="E794" s="1032"/>
      <c r="F794" s="1032"/>
      <c r="H794" s="267"/>
      <c r="I794" s="267"/>
    </row>
    <row r="795" spans="1:9" ht="27.75" customHeight="1">
      <c r="A795" s="190"/>
      <c r="B795" s="190"/>
      <c r="C795" s="190"/>
      <c r="D795" s="1032"/>
      <c r="E795" s="1032"/>
      <c r="F795" s="1032"/>
      <c r="H795" s="267"/>
      <c r="I795" s="267"/>
    </row>
    <row r="796" spans="1:9" ht="12.75">
      <c r="A796" s="191"/>
      <c r="B796" s="191"/>
      <c r="C796" s="191"/>
      <c r="E796" s="188"/>
      <c r="F796" s="188"/>
      <c r="G796" s="188"/>
      <c r="H796" s="267"/>
      <c r="I796" s="267"/>
    </row>
    <row r="797" spans="1:9" ht="14.45" customHeight="1">
      <c r="A797" s="271"/>
      <c r="B797" s="624" t="s">
        <v>132</v>
      </c>
      <c r="C797" s="207"/>
      <c r="D797" s="1019" t="s">
        <v>1772</v>
      </c>
      <c r="E797" s="1019"/>
      <c r="F797" s="1019"/>
      <c r="G797" s="188"/>
      <c r="H797" s="267"/>
      <c r="I797" s="267"/>
    </row>
    <row r="798" spans="1:9" ht="14.25">
      <c r="A798" s="271"/>
      <c r="B798" s="271"/>
      <c r="C798" s="207"/>
      <c r="D798" s="1019"/>
      <c r="E798" s="1019"/>
      <c r="F798" s="1019"/>
      <c r="G798" s="188"/>
      <c r="H798" s="267"/>
      <c r="I798" s="267"/>
    </row>
    <row r="799" spans="1:9" ht="14.25">
      <c r="A799" s="271"/>
      <c r="B799" s="271"/>
      <c r="C799" s="207"/>
      <c r="D799" s="1019"/>
      <c r="E799" s="1019"/>
      <c r="F799" s="1019"/>
      <c r="G799" s="188"/>
      <c r="H799" s="267"/>
      <c r="I799" s="267"/>
    </row>
    <row r="800" spans="1:9" ht="14.25">
      <c r="A800" s="271"/>
      <c r="B800" s="271"/>
      <c r="C800" s="207"/>
      <c r="D800" s="44"/>
      <c r="G800" s="188"/>
      <c r="H800" s="267"/>
      <c r="I800" s="267"/>
    </row>
    <row r="801" spans="1:9" ht="14.25" customHeight="1">
      <c r="A801" s="271"/>
      <c r="B801" s="624" t="s">
        <v>132</v>
      </c>
      <c r="C801" s="207"/>
      <c r="D801" s="1032" t="s">
        <v>1667</v>
      </c>
      <c r="E801" s="1032"/>
      <c r="F801" s="1032"/>
      <c r="G801" s="188"/>
      <c r="H801" s="267"/>
      <c r="I801" s="267"/>
    </row>
    <row r="802" spans="1:9" ht="14.25">
      <c r="A802" s="271"/>
      <c r="B802" s="271"/>
      <c r="C802" s="207"/>
      <c r="D802" s="1032"/>
      <c r="E802" s="1032"/>
      <c r="F802" s="1032"/>
      <c r="G802" s="188"/>
      <c r="H802" s="267"/>
      <c r="I802" s="267"/>
    </row>
    <row r="803" spans="1:9" ht="14.25">
      <c r="A803" s="271"/>
      <c r="B803" s="271"/>
      <c r="C803" s="207"/>
      <c r="D803" s="1032"/>
      <c r="E803" s="1032"/>
      <c r="F803" s="1032"/>
      <c r="G803" s="188"/>
      <c r="H803" s="267"/>
      <c r="I803" s="267"/>
    </row>
    <row r="804" spans="1:9" ht="14.25">
      <c r="A804" s="271"/>
      <c r="B804" s="271"/>
      <c r="C804" s="207"/>
      <c r="D804" s="1032"/>
      <c r="E804" s="1032"/>
      <c r="F804" s="1032"/>
      <c r="G804" s="188"/>
      <c r="H804" s="267"/>
      <c r="I804" s="267"/>
    </row>
    <row r="805" spans="1:9" ht="14.25">
      <c r="A805" s="271"/>
      <c r="B805" s="271"/>
      <c r="C805" s="207"/>
      <c r="D805" s="1032"/>
      <c r="E805" s="1032"/>
      <c r="F805" s="1032"/>
      <c r="G805" s="188"/>
      <c r="H805" s="267"/>
      <c r="I805" s="267"/>
    </row>
    <row r="806" spans="1:9" ht="14.25">
      <c r="A806" s="271"/>
      <c r="B806" s="271"/>
      <c r="C806" s="207"/>
      <c r="D806" s="1019" t="s">
        <v>2109</v>
      </c>
      <c r="E806" s="1019"/>
      <c r="F806" s="1019"/>
      <c r="G806" s="188"/>
      <c r="H806" s="267"/>
      <c r="I806" s="267"/>
    </row>
    <row r="807" spans="1:9" ht="14.25">
      <c r="A807" s="271"/>
      <c r="B807" s="271"/>
      <c r="C807" s="207"/>
      <c r="D807" s="1019"/>
      <c r="E807" s="1019"/>
      <c r="F807" s="1019"/>
      <c r="G807" s="188"/>
      <c r="H807" s="267"/>
      <c r="I807" s="267"/>
    </row>
    <row r="808" spans="1:9" ht="14.25">
      <c r="A808" s="271"/>
      <c r="B808" s="271"/>
      <c r="C808" s="207"/>
      <c r="D808" s="1019"/>
      <c r="E808" s="1019"/>
      <c r="F808" s="1019"/>
      <c r="G808" s="188"/>
      <c r="H808" s="267"/>
      <c r="I808" s="267"/>
    </row>
    <row r="809" spans="1:9" ht="14.25">
      <c r="A809" s="271"/>
      <c r="C809" s="207"/>
      <c r="D809" s="813"/>
      <c r="E809" s="813"/>
      <c r="F809" s="813"/>
      <c r="G809" s="188"/>
      <c r="H809" s="267"/>
      <c r="I809" s="267"/>
    </row>
    <row r="810" spans="1:9" ht="14.25">
      <c r="A810" s="271"/>
      <c r="B810" s="624" t="s">
        <v>132</v>
      </c>
      <c r="C810" s="207"/>
      <c r="D810" s="1032" t="s">
        <v>1669</v>
      </c>
      <c r="E810" s="1032"/>
      <c r="F810" s="1032"/>
      <c r="G810" s="188"/>
      <c r="H810" s="267"/>
      <c r="I810" s="267"/>
    </row>
    <row r="811" spans="1:9" ht="14.25">
      <c r="A811" s="271"/>
      <c r="B811" s="271"/>
      <c r="C811" s="207"/>
      <c r="D811" s="1032"/>
      <c r="E811" s="1032"/>
      <c r="F811" s="1032"/>
      <c r="G811" s="188"/>
      <c r="H811" s="267"/>
      <c r="I811" s="267"/>
    </row>
    <row r="812" spans="1:9" ht="14.25">
      <c r="A812" s="271"/>
      <c r="B812" s="271"/>
      <c r="C812" s="207"/>
      <c r="D812" s="1032"/>
      <c r="E812" s="1032"/>
      <c r="F812" s="1032"/>
      <c r="G812" s="188"/>
      <c r="H812" s="267"/>
      <c r="I812" s="267"/>
    </row>
    <row r="813" spans="1:9" ht="14.25">
      <c r="A813" s="271"/>
      <c r="B813" s="271"/>
      <c r="C813" s="207"/>
      <c r="D813" s="1032"/>
      <c r="E813" s="1032"/>
      <c r="F813" s="1032"/>
      <c r="G813" s="188"/>
      <c r="H813" s="267"/>
      <c r="I813" s="267"/>
    </row>
    <row r="814" spans="1:9" ht="14.25">
      <c r="A814" s="271"/>
      <c r="B814" s="271"/>
      <c r="C814" s="207"/>
      <c r="D814" s="1032"/>
      <c r="E814" s="1032"/>
      <c r="F814" s="1032"/>
      <c r="G814" s="188"/>
      <c r="H814" s="267"/>
      <c r="I814" s="267"/>
    </row>
    <row r="815" spans="1:9" ht="14.25">
      <c r="A815" s="271"/>
      <c r="B815" s="271"/>
      <c r="C815" s="207"/>
      <c r="D815" s="1032"/>
      <c r="E815" s="1032"/>
      <c r="F815" s="1032"/>
      <c r="G815" s="188"/>
      <c r="H815" s="267"/>
      <c r="I815" s="267"/>
    </row>
    <row r="816" spans="1:9" ht="14.25">
      <c r="A816" s="271"/>
      <c r="B816" s="271"/>
      <c r="C816" s="207"/>
      <c r="D816" s="669"/>
      <c r="E816" s="669"/>
      <c r="F816" s="669"/>
      <c r="G816" s="188"/>
      <c r="H816" s="267"/>
      <c r="I816" s="267"/>
    </row>
    <row r="817" spans="1:9" ht="14.25">
      <c r="A817" s="271"/>
      <c r="B817" s="624" t="s">
        <v>132</v>
      </c>
      <c r="C817" s="207"/>
      <c r="D817" s="1019" t="s">
        <v>1956</v>
      </c>
      <c r="E817" s="1032"/>
      <c r="F817" s="1032"/>
      <c r="G817" s="188"/>
      <c r="H817" s="267"/>
      <c r="I817" s="267"/>
    </row>
    <row r="818" spans="1:9" ht="14.25">
      <c r="A818" s="271"/>
      <c r="B818" s="271"/>
      <c r="C818" s="207"/>
      <c r="D818" s="1032"/>
      <c r="E818" s="1032"/>
      <c r="F818" s="1032"/>
      <c r="G818" s="188"/>
      <c r="H818" s="267"/>
      <c r="I818" s="267"/>
    </row>
    <row r="819" spans="1:9" ht="14.25">
      <c r="A819" s="271"/>
      <c r="B819" s="271"/>
      <c r="C819" s="207"/>
      <c r="D819" s="1032"/>
      <c r="E819" s="1032"/>
      <c r="F819" s="1032"/>
      <c r="G819" s="188"/>
      <c r="H819" s="267"/>
      <c r="I819" s="267"/>
    </row>
    <row r="820" spans="1:9" ht="14.25">
      <c r="A820" s="271"/>
      <c r="B820" s="271"/>
      <c r="C820" s="207"/>
      <c r="D820" s="1032"/>
      <c r="E820" s="1032"/>
      <c r="F820" s="1032"/>
      <c r="G820" s="188"/>
      <c r="H820" s="267"/>
      <c r="I820" s="267"/>
    </row>
    <row r="821" spans="1:9" ht="14.25">
      <c r="A821" s="271"/>
      <c r="B821" s="271"/>
      <c r="C821" s="207"/>
      <c r="D821" s="1032"/>
      <c r="E821" s="1032"/>
      <c r="F821" s="1032"/>
      <c r="G821" s="188"/>
      <c r="H821" s="267"/>
      <c r="I821" s="267"/>
    </row>
    <row r="822" spans="1:9" ht="14.25">
      <c r="A822" s="271"/>
      <c r="B822" s="271"/>
      <c r="C822" s="207"/>
      <c r="D822" s="669"/>
      <c r="E822" s="669"/>
      <c r="F822" s="669"/>
      <c r="G822" s="188"/>
      <c r="H822" s="267"/>
      <c r="I822" s="267"/>
    </row>
    <row r="823" spans="1:9" ht="14.25">
      <c r="A823" s="271"/>
      <c r="B823" s="974" t="s">
        <v>1439</v>
      </c>
      <c r="C823" s="207"/>
      <c r="D823" s="1032" t="s">
        <v>1668</v>
      </c>
      <c r="E823" s="1032"/>
      <c r="F823" s="1032"/>
      <c r="G823" s="188"/>
      <c r="H823" s="267"/>
      <c r="I823" s="267"/>
    </row>
    <row r="824" spans="1:9" ht="14.25">
      <c r="A824" s="271"/>
      <c r="B824" s="271"/>
      <c r="C824" s="207"/>
      <c r="D824" s="1032"/>
      <c r="E824" s="1032"/>
      <c r="F824" s="1032"/>
      <c r="G824" s="188"/>
      <c r="H824" s="267"/>
      <c r="I824" s="267"/>
    </row>
    <row r="825" spans="1:9" ht="14.25">
      <c r="A825" s="271"/>
      <c r="B825" s="271"/>
      <c r="C825" s="207"/>
      <c r="D825" s="1032"/>
      <c r="E825" s="1032"/>
      <c r="F825" s="1032"/>
      <c r="G825" s="188"/>
      <c r="H825" s="267"/>
      <c r="I825" s="267"/>
    </row>
    <row r="826" spans="1:9" ht="14.25">
      <c r="A826" s="271"/>
      <c r="B826" s="271"/>
      <c r="C826" s="207"/>
      <c r="D826" s="1032"/>
      <c r="E826" s="1032"/>
      <c r="F826" s="1032"/>
      <c r="G826" s="188"/>
      <c r="H826" s="267"/>
      <c r="I826" s="267"/>
    </row>
    <row r="827" spans="1:9" ht="14.25">
      <c r="A827" s="271"/>
      <c r="B827" s="271"/>
      <c r="C827" s="207"/>
      <c r="D827" s="188"/>
      <c r="G827" s="188"/>
      <c r="H827" s="267"/>
      <c r="I827" s="267"/>
    </row>
    <row r="828" spans="1:9" ht="14.25">
      <c r="A828" s="271"/>
      <c r="B828" s="624" t="s">
        <v>132</v>
      </c>
      <c r="C828" s="207"/>
      <c r="D828" s="1040" t="s">
        <v>1671</v>
      </c>
      <c r="E828" s="1040"/>
      <c r="F828" s="1040"/>
      <c r="G828" s="188"/>
      <c r="H828" s="267"/>
      <c r="I828" s="267"/>
    </row>
    <row r="829" spans="1:9" ht="14.25">
      <c r="A829" s="271"/>
      <c r="B829" s="271"/>
      <c r="C829" s="207"/>
      <c r="D829" s="1040"/>
      <c r="E829" s="1040"/>
      <c r="F829" s="1040"/>
      <c r="G829" s="188"/>
      <c r="H829" s="267"/>
      <c r="I829" s="267"/>
    </row>
    <row r="830" spans="1:9" ht="12.75">
      <c r="A830" s="18"/>
      <c r="B830" s="18"/>
      <c r="C830" s="207"/>
      <c r="D830" s="1040"/>
      <c r="E830" s="1040"/>
      <c r="F830" s="1040"/>
      <c r="G830" s="188"/>
      <c r="H830" s="267"/>
      <c r="I830" s="267"/>
    </row>
    <row r="831" spans="1:9" ht="14.25">
      <c r="A831" s="271"/>
      <c r="B831" s="18"/>
      <c r="C831" s="207"/>
      <c r="D831" s="1040"/>
      <c r="E831" s="1040"/>
      <c r="F831" s="1040"/>
      <c r="G831" s="188"/>
      <c r="H831" s="267"/>
      <c r="I831" s="267"/>
    </row>
    <row r="832" spans="1:9" ht="14.25">
      <c r="A832" s="271"/>
      <c r="B832" s="18"/>
      <c r="C832" s="207"/>
      <c r="D832" s="1040"/>
      <c r="E832" s="1040"/>
      <c r="F832" s="1040"/>
      <c r="G832" s="188"/>
      <c r="H832" s="267"/>
      <c r="I832" s="267"/>
    </row>
    <row r="833" spans="1:9" ht="14.25">
      <c r="A833" s="271"/>
      <c r="B833" s="18"/>
      <c r="C833" s="207"/>
      <c r="D833" s="1040"/>
      <c r="E833" s="1040"/>
      <c r="F833" s="1040"/>
      <c r="G833" s="188"/>
      <c r="H833" s="267"/>
      <c r="I833" s="267"/>
    </row>
    <row r="834" spans="1:9" ht="14.25">
      <c r="A834" s="271"/>
      <c r="B834" s="18"/>
      <c r="C834" s="207"/>
      <c r="D834" s="668"/>
      <c r="E834" s="668"/>
      <c r="F834" s="668"/>
      <c r="G834" s="188"/>
      <c r="H834" s="267"/>
      <c r="I834" s="267"/>
    </row>
    <row r="835" spans="1:9" ht="14.25">
      <c r="A835" s="271"/>
      <c r="B835" s="624" t="s">
        <v>132</v>
      </c>
      <c r="C835" s="207"/>
      <c r="D835" s="1032" t="s">
        <v>1670</v>
      </c>
      <c r="E835" s="1032"/>
      <c r="F835" s="1032"/>
      <c r="G835" s="188"/>
      <c r="H835" s="267"/>
      <c r="I835" s="267"/>
    </row>
    <row r="836" spans="1:9" ht="14.25">
      <c r="A836" s="271"/>
      <c r="B836" s="271"/>
      <c r="C836" s="207"/>
      <c r="D836" s="1032"/>
      <c r="E836" s="1032"/>
      <c r="F836" s="1032"/>
      <c r="G836" s="188"/>
      <c r="H836" s="267"/>
      <c r="I836" s="267"/>
    </row>
    <row r="837" spans="1:9" ht="14.25">
      <c r="A837" s="271"/>
      <c r="B837" s="271"/>
      <c r="C837" s="207"/>
      <c r="D837" s="188"/>
      <c r="G837" s="188"/>
      <c r="H837" s="267"/>
      <c r="I837" s="267"/>
    </row>
    <row r="838" spans="1:9" ht="14.25">
      <c r="A838" s="271"/>
      <c r="B838" s="624" t="s">
        <v>132</v>
      </c>
      <c r="C838" s="207"/>
      <c r="D838" s="1040" t="s">
        <v>1672</v>
      </c>
      <c r="E838" s="1040"/>
      <c r="F838" s="1040"/>
      <c r="G838" s="188"/>
      <c r="H838" s="267"/>
      <c r="I838" s="267"/>
    </row>
    <row r="839" spans="1:9" ht="14.25">
      <c r="A839" s="271"/>
      <c r="B839" s="271"/>
      <c r="C839" s="207"/>
      <c r="D839" s="1040"/>
      <c r="E839" s="1040"/>
      <c r="F839" s="1040"/>
      <c r="G839" s="188"/>
      <c r="H839" s="267"/>
      <c r="I839" s="267"/>
    </row>
    <row r="840" spans="1:9" ht="12.75">
      <c r="A840" s="18"/>
      <c r="B840" s="18"/>
      <c r="C840" s="207"/>
      <c r="D840" s="188"/>
      <c r="G840" s="188"/>
      <c r="H840" s="267"/>
      <c r="I840" s="267"/>
    </row>
    <row r="841" spans="1:9" ht="12.75">
      <c r="A841" s="1011" t="s">
        <v>1973</v>
      </c>
      <c r="B841" s="1011"/>
      <c r="C841" s="1011"/>
      <c r="D841" s="1011"/>
      <c r="E841" s="1011"/>
      <c r="F841" s="1011"/>
      <c r="G841" s="1011"/>
      <c r="H841" s="267"/>
      <c r="I841" s="267"/>
    </row>
    <row r="842" spans="1:9" ht="12.75">
      <c r="A842" s="190"/>
      <c r="B842" s="190"/>
      <c r="C842" s="207"/>
      <c r="D842" s="188"/>
      <c r="E842" s="188"/>
      <c r="F842" s="188"/>
      <c r="G842" s="188"/>
      <c r="H842" s="267"/>
      <c r="I842" s="267"/>
    </row>
    <row r="843" spans="1:9" ht="14.25">
      <c r="A843" s="271"/>
      <c r="B843" s="271"/>
      <c r="D843" s="1013" t="s">
        <v>1586</v>
      </c>
      <c r="E843" s="1013"/>
      <c r="F843" s="1013"/>
      <c r="H843" s="267"/>
      <c r="I843" s="267"/>
    </row>
    <row r="844" spans="1:9" ht="14.25">
      <c r="A844" s="271"/>
      <c r="B844" s="271"/>
      <c r="D844" s="980" t="s">
        <v>1970</v>
      </c>
      <c r="E844" s="980"/>
      <c r="F844" s="980"/>
      <c r="H844" s="267"/>
      <c r="I844" s="267"/>
    </row>
    <row r="845" spans="1:9" ht="14.25">
      <c r="A845" s="271"/>
      <c r="B845" s="271"/>
      <c r="D845" s="24"/>
      <c r="E845" s="210"/>
      <c r="F845" s="210"/>
      <c r="H845" s="267"/>
      <c r="I845" s="267"/>
    </row>
    <row r="846" spans="1:9" ht="12.75">
      <c r="B846" s="974" t="s">
        <v>1439</v>
      </c>
      <c r="C846" s="207"/>
      <c r="D846" s="986" t="s">
        <v>1520</v>
      </c>
      <c r="E846" s="986"/>
      <c r="F846" s="986"/>
      <c r="H846" s="267"/>
      <c r="I846" s="267"/>
    </row>
    <row r="847" spans="1:9" ht="12.75">
      <c r="A847" s="18"/>
      <c r="B847" s="18"/>
      <c r="C847" s="207"/>
      <c r="D847" s="3" t="s">
        <v>1497</v>
      </c>
      <c r="E847" s="987" t="s">
        <v>2174</v>
      </c>
      <c r="F847" s="987"/>
      <c r="H847" s="267"/>
      <c r="I847" s="267"/>
    </row>
    <row r="848" spans="1:9" ht="12.75">
      <c r="A848" s="18"/>
      <c r="B848" s="18"/>
      <c r="C848" s="207"/>
      <c r="D848" s="213"/>
      <c r="H848" s="267"/>
      <c r="I848" s="267"/>
    </row>
    <row r="849" spans="1:9" ht="12.75">
      <c r="A849" s="18"/>
      <c r="B849" s="624" t="s">
        <v>132</v>
      </c>
      <c r="C849" s="207"/>
      <c r="D849" s="1049" t="s">
        <v>1752</v>
      </c>
      <c r="E849" s="1049"/>
      <c r="F849" s="1049"/>
      <c r="H849" s="267"/>
      <c r="I849" s="267"/>
    </row>
    <row r="850" spans="1:9" ht="12.75">
      <c r="A850" s="18"/>
      <c r="B850" s="18"/>
      <c r="C850" s="207"/>
      <c r="D850" s="1049"/>
      <c r="E850" s="1049"/>
      <c r="F850" s="1049"/>
      <c r="H850" s="267"/>
      <c r="I850" s="267"/>
    </row>
    <row r="851" spans="1:9" ht="12.75">
      <c r="A851" s="18"/>
      <c r="B851" s="18"/>
      <c r="C851" s="207"/>
      <c r="D851" s="1049"/>
      <c r="E851" s="1049"/>
      <c r="F851" s="1049"/>
      <c r="H851" s="267"/>
      <c r="I851" s="267"/>
    </row>
    <row r="852" spans="1:9" ht="12.75">
      <c r="A852" s="18"/>
      <c r="B852" s="18"/>
      <c r="C852" s="207"/>
      <c r="D852" s="1049"/>
      <c r="E852" s="1049"/>
      <c r="F852" s="1049"/>
      <c r="H852" s="267"/>
      <c r="I852" s="267"/>
    </row>
    <row r="853" spans="1:9" ht="12.75">
      <c r="A853" s="18"/>
      <c r="B853" s="18"/>
      <c r="C853" s="207"/>
      <c r="D853" s="1049"/>
      <c r="E853" s="1049"/>
      <c r="F853" s="1049"/>
      <c r="H853" s="267"/>
      <c r="I853" s="267"/>
    </row>
    <row r="854" spans="1:9" ht="12.75">
      <c r="A854" s="18"/>
      <c r="B854" s="18"/>
      <c r="C854" s="207"/>
      <c r="D854" s="1049"/>
      <c r="E854" s="1049"/>
      <c r="F854" s="1049"/>
      <c r="H854" s="267"/>
      <c r="I854" s="267"/>
    </row>
    <row r="855" spans="1:9" ht="12.75">
      <c r="A855" s="18"/>
      <c r="B855" s="18"/>
      <c r="C855" s="207"/>
      <c r="D855" s="1049"/>
      <c r="E855" s="1049"/>
      <c r="F855" s="1049"/>
      <c r="H855" s="267"/>
      <c r="I855" s="267"/>
    </row>
    <row r="856" spans="1:9" ht="12.75">
      <c r="A856" s="18"/>
      <c r="B856" s="18"/>
      <c r="C856" s="207"/>
      <c r="D856" s="1049"/>
      <c r="E856" s="1049"/>
      <c r="F856" s="1049"/>
      <c r="H856" s="267"/>
      <c r="I856" s="267"/>
    </row>
    <row r="857" spans="1:9" ht="12.75">
      <c r="A857" s="18"/>
      <c r="B857" s="18"/>
      <c r="C857" s="207"/>
      <c r="D857" s="1049"/>
      <c r="E857" s="1049"/>
      <c r="F857" s="1049"/>
      <c r="H857" s="267"/>
      <c r="I857" s="267"/>
    </row>
    <row r="858" spans="1:9" ht="12.75">
      <c r="A858" s="18"/>
      <c r="B858" s="18"/>
      <c r="C858" s="207"/>
      <c r="D858" s="213"/>
      <c r="H858" s="267"/>
      <c r="I858" s="267"/>
    </row>
    <row r="859" spans="1:9" ht="14.25">
      <c r="A859" s="271"/>
      <c r="B859" s="624" t="s">
        <v>1439</v>
      </c>
      <c r="C859" s="207"/>
      <c r="D859" s="986" t="s">
        <v>1521</v>
      </c>
      <c r="E859" s="986"/>
      <c r="F859" s="986"/>
      <c r="H859" s="267"/>
      <c r="I859" s="267"/>
    </row>
    <row r="860" spans="1:9" ht="14.25">
      <c r="A860" s="271"/>
      <c r="B860" s="271"/>
      <c r="C860" s="207"/>
      <c r="D860" s="986"/>
      <c r="E860" s="986"/>
      <c r="F860" s="986"/>
      <c r="H860" s="267"/>
      <c r="I860" s="267"/>
    </row>
    <row r="861" spans="1:9" ht="14.25">
      <c r="A861" s="271"/>
      <c r="B861" s="271"/>
      <c r="C861" s="207"/>
      <c r="D861" s="986"/>
      <c r="E861" s="986"/>
      <c r="F861" s="986"/>
      <c r="H861" s="267"/>
      <c r="I861" s="267"/>
    </row>
    <row r="862" spans="1:9" ht="14.25">
      <c r="A862" s="271"/>
      <c r="B862" s="271"/>
      <c r="C862" s="207"/>
      <c r="D862" s="44"/>
      <c r="H862" s="267"/>
      <c r="I862" s="267"/>
    </row>
    <row r="863" spans="1:9" ht="12.75">
      <c r="A863" s="430"/>
      <c r="B863" s="974" t="s">
        <v>132</v>
      </c>
      <c r="C863" s="207"/>
      <c r="D863" s="1013" t="s">
        <v>1522</v>
      </c>
      <c r="E863" s="1013"/>
      <c r="F863" s="1013"/>
      <c r="H863" s="267"/>
      <c r="I863" s="267"/>
    </row>
    <row r="864" spans="1:9" ht="12.75">
      <c r="B864" s="430"/>
      <c r="C864" s="207"/>
      <c r="D864" s="1013"/>
      <c r="E864" s="1013"/>
      <c r="F864" s="1013"/>
      <c r="H864" s="267"/>
      <c r="I864" s="267"/>
    </row>
    <row r="865" spans="1:9" ht="14.25" customHeight="1">
      <c r="A865" s="271"/>
      <c r="C865" s="207"/>
      <c r="D865" s="986" t="s">
        <v>2280</v>
      </c>
      <c r="E865" s="986"/>
      <c r="F865" s="986"/>
      <c r="H865" s="267"/>
      <c r="I865" s="267"/>
    </row>
    <row r="866" spans="1:9" ht="14.25">
      <c r="A866" s="271"/>
      <c r="B866" s="271"/>
      <c r="C866" s="207"/>
      <c r="D866" s="986"/>
      <c r="E866" s="986"/>
      <c r="F866" s="986"/>
      <c r="H866" s="267"/>
      <c r="I866" s="267"/>
    </row>
    <row r="867" spans="1:9" ht="14.25">
      <c r="A867" s="271"/>
      <c r="B867" s="271"/>
      <c r="C867" s="207"/>
      <c r="D867" s="986"/>
      <c r="E867" s="986"/>
      <c r="F867" s="986"/>
      <c r="H867" s="267"/>
      <c r="I867" s="267"/>
    </row>
    <row r="868" spans="1:9" ht="14.25">
      <c r="A868" s="271"/>
      <c r="B868" s="271"/>
      <c r="C868" s="207"/>
      <c r="D868" s="986"/>
      <c r="E868" s="986"/>
      <c r="F868" s="986"/>
      <c r="H868" s="267"/>
      <c r="I868" s="267"/>
    </row>
    <row r="869" spans="1:9" ht="14.25">
      <c r="A869" s="271"/>
      <c r="B869" s="271"/>
      <c r="C869" s="207"/>
      <c r="D869" s="986"/>
      <c r="E869" s="986"/>
      <c r="F869" s="986"/>
      <c r="H869" s="267"/>
      <c r="I869" s="267"/>
    </row>
    <row r="870" spans="1:9" ht="14.25" customHeight="1">
      <c r="A870" s="271"/>
      <c r="B870" s="271"/>
      <c r="C870" s="207"/>
      <c r="D870" s="986"/>
      <c r="E870" s="986"/>
      <c r="F870" s="986"/>
      <c r="H870" s="267"/>
      <c r="I870" s="267"/>
    </row>
    <row r="871" spans="1:9" ht="14.25">
      <c r="A871" s="271"/>
      <c r="B871" s="271"/>
      <c r="C871" s="207"/>
      <c r="D871" s="44"/>
      <c r="H871" s="267"/>
      <c r="I871" s="267"/>
    </row>
    <row r="872" spans="1:9" ht="14.25">
      <c r="A872" s="271"/>
      <c r="B872" s="624" t="s">
        <v>132</v>
      </c>
      <c r="C872" s="207"/>
      <c r="D872" s="986" t="s">
        <v>1223</v>
      </c>
      <c r="E872" s="986"/>
      <c r="F872" s="986"/>
      <c r="H872" s="267"/>
      <c r="I872" s="267"/>
    </row>
    <row r="873" spans="1:9" ht="14.25">
      <c r="A873" s="271"/>
      <c r="B873" s="271"/>
      <c r="C873" s="207"/>
      <c r="D873" s="986" t="s">
        <v>1224</v>
      </c>
      <c r="E873" s="986"/>
      <c r="F873" s="986"/>
      <c r="H873" s="267"/>
      <c r="I873" s="267"/>
    </row>
    <row r="874" spans="1:9" ht="14.25">
      <c r="A874" s="271"/>
      <c r="B874" s="271"/>
      <c r="C874" s="207"/>
      <c r="D874" s="3" t="s">
        <v>1496</v>
      </c>
      <c r="E874" s="987" t="s">
        <v>2176</v>
      </c>
      <c r="F874" s="987"/>
      <c r="H874" s="267"/>
      <c r="I874" s="267"/>
    </row>
    <row r="875" spans="1:9" ht="14.25">
      <c r="A875" s="271"/>
      <c r="B875" s="271"/>
      <c r="C875" s="207"/>
      <c r="D875" s="44"/>
      <c r="H875" s="267"/>
      <c r="I875" s="267"/>
    </row>
    <row r="876" spans="1:9" ht="14.25">
      <c r="A876" s="271"/>
      <c r="B876" s="624" t="s">
        <v>132</v>
      </c>
      <c r="C876" s="207"/>
      <c r="D876" s="986" t="s">
        <v>1523</v>
      </c>
      <c r="E876" s="986"/>
      <c r="F876" s="986"/>
      <c r="H876" s="267"/>
      <c r="I876" s="267"/>
    </row>
    <row r="877" spans="1:9" ht="14.25">
      <c r="A877" s="271"/>
      <c r="B877" s="271"/>
      <c r="C877" s="207"/>
      <c r="D877" s="986"/>
      <c r="E877" s="986"/>
      <c r="F877" s="986"/>
      <c r="H877" s="267"/>
      <c r="I877" s="267"/>
    </row>
    <row r="878" spans="1:9" ht="14.25">
      <c r="A878" s="271"/>
      <c r="B878" s="271"/>
      <c r="C878" s="207"/>
      <c r="D878" s="986"/>
      <c r="E878" s="986"/>
      <c r="F878" s="986"/>
      <c r="H878" s="267"/>
      <c r="I878" s="267"/>
    </row>
    <row r="879" spans="1:9" ht="14.25">
      <c r="A879" s="271"/>
      <c r="B879" s="271"/>
      <c r="C879" s="207"/>
      <c r="D879" s="986"/>
      <c r="E879" s="986"/>
      <c r="F879" s="986"/>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12" t="s">
        <v>1585</v>
      </c>
      <c r="E883" s="1012"/>
      <c r="F883" s="1012"/>
      <c r="G883" s="188"/>
      <c r="H883" s="267"/>
      <c r="I883" s="267"/>
    </row>
    <row r="884" spans="1:9" ht="12.75">
      <c r="C884" s="191"/>
      <c r="D884" s="1057" t="s">
        <v>1971</v>
      </c>
      <c r="E884" s="1058"/>
      <c r="F884" s="1058"/>
      <c r="G884" s="188"/>
      <c r="H884" s="267"/>
      <c r="I884" s="267"/>
    </row>
    <row r="885" spans="1:9" ht="12.75">
      <c r="C885" s="191"/>
      <c r="D885" s="655"/>
      <c r="E885" s="655"/>
      <c r="F885" s="655"/>
      <c r="G885" s="188"/>
      <c r="H885" s="267"/>
      <c r="I885" s="267"/>
    </row>
    <row r="886" spans="1:9" ht="14.25">
      <c r="A886" s="271"/>
      <c r="B886" s="974" t="s">
        <v>1439</v>
      </c>
      <c r="D886" s="1006" t="s">
        <v>1544</v>
      </c>
      <c r="E886" s="1006"/>
      <c r="F886" s="1006"/>
      <c r="G886" s="188"/>
      <c r="H886" s="267"/>
      <c r="I886" s="267"/>
    </row>
    <row r="887" spans="1:9" ht="12.75">
      <c r="D887" s="3" t="s">
        <v>1496</v>
      </c>
      <c r="E887" s="1056" t="s">
        <v>2176</v>
      </c>
      <c r="F887" s="1056"/>
      <c r="G887" s="188"/>
    </row>
    <row r="888" spans="1:9" ht="12.75">
      <c r="D888" s="44"/>
      <c r="E888" s="188"/>
      <c r="F888" s="188"/>
      <c r="G888" s="188"/>
      <c r="H888" s="267"/>
      <c r="I888" s="267"/>
    </row>
    <row r="889" spans="1:9" ht="14.25">
      <c r="A889" s="271"/>
      <c r="B889" s="974" t="s">
        <v>1439</v>
      </c>
      <c r="D889" s="980" t="s">
        <v>1974</v>
      </c>
      <c r="E889" s="1033"/>
      <c r="F889" s="1033"/>
    </row>
    <row r="890" spans="1:9" ht="12.6" customHeight="1">
      <c r="D890" s="1033"/>
      <c r="E890" s="1033"/>
      <c r="F890" s="1033"/>
    </row>
    <row r="891" spans="1:9" ht="14.25">
      <c r="A891" s="271"/>
      <c r="B891" s="271"/>
      <c r="D891" s="44"/>
      <c r="E891" s="188"/>
      <c r="F891" s="188"/>
      <c r="G891" s="188"/>
      <c r="H891" s="267"/>
      <c r="I891" s="267"/>
    </row>
    <row r="892" spans="1:9" ht="12.75">
      <c r="B892" s="624" t="s">
        <v>132</v>
      </c>
      <c r="D892" s="1054" t="s">
        <v>1754</v>
      </c>
      <c r="E892" s="1054"/>
      <c r="F892" s="1054"/>
      <c r="G892" s="188"/>
      <c r="H892" s="267"/>
      <c r="I892" s="267"/>
    </row>
    <row r="893" spans="1:9" ht="29.45" customHeight="1">
      <c r="B893" s="580"/>
      <c r="D893" s="1054"/>
      <c r="E893" s="1054"/>
      <c r="F893" s="1054"/>
      <c r="G893" s="188"/>
      <c r="H893" s="267"/>
      <c r="I893" s="267"/>
    </row>
    <row r="894" spans="1:9" ht="14.25">
      <c r="A894" s="271"/>
      <c r="B894"/>
      <c r="D894" s="986" t="s">
        <v>2280</v>
      </c>
      <c r="E894" s="986"/>
      <c r="F894" s="986"/>
      <c r="G894" s="188"/>
      <c r="H894" s="267"/>
      <c r="I894" s="267"/>
    </row>
    <row r="895" spans="1:9" ht="14.25">
      <c r="A895" s="271"/>
      <c r="B895" s="271"/>
      <c r="D895" s="986"/>
      <c r="E895" s="986"/>
      <c r="F895" s="986"/>
      <c r="G895" s="188"/>
      <c r="H895" s="267"/>
      <c r="I895" s="267"/>
    </row>
    <row r="896" spans="1:9" ht="14.25">
      <c r="A896" s="271"/>
      <c r="B896" s="271"/>
      <c r="D896" s="986"/>
      <c r="E896" s="986"/>
      <c r="F896" s="986"/>
      <c r="G896" s="188"/>
      <c r="H896" s="267"/>
      <c r="I896" s="267"/>
    </row>
    <row r="897" spans="1:9" ht="14.25">
      <c r="A897" s="271"/>
      <c r="B897" s="271"/>
      <c r="D897" s="986"/>
      <c r="E897" s="986"/>
      <c r="F897" s="986"/>
      <c r="G897" s="188"/>
      <c r="H897" s="267"/>
      <c r="I897" s="267"/>
    </row>
    <row r="898" spans="1:9" ht="14.25">
      <c r="A898" s="271"/>
      <c r="B898" s="271"/>
      <c r="D898" s="986"/>
      <c r="E898" s="986"/>
      <c r="F898" s="986"/>
      <c r="G898" s="188"/>
      <c r="H898" s="267"/>
      <c r="I898" s="267"/>
    </row>
    <row r="899" spans="1:9" ht="14.25">
      <c r="A899" s="271"/>
      <c r="B899" s="271"/>
      <c r="D899" s="986"/>
      <c r="E899" s="986"/>
      <c r="F899" s="986"/>
      <c r="G899" s="188"/>
      <c r="H899" s="267"/>
      <c r="I899" s="267"/>
    </row>
    <row r="900" spans="1:9" ht="14.25">
      <c r="A900" s="271"/>
      <c r="B900" s="271"/>
      <c r="D900" s="44"/>
      <c r="E900" s="188"/>
      <c r="F900" s="188"/>
      <c r="G900" s="188"/>
      <c r="H900" s="267"/>
      <c r="I900" s="267"/>
    </row>
    <row r="901" spans="1:9" ht="14.25">
      <c r="A901" s="271"/>
      <c r="B901" s="624" t="s">
        <v>132</v>
      </c>
      <c r="D901" s="1010" t="s">
        <v>1223</v>
      </c>
      <c r="E901" s="1010"/>
      <c r="F901" s="1010"/>
      <c r="G901" s="188"/>
      <c r="H901" s="267"/>
      <c r="I901" s="267"/>
    </row>
    <row r="902" spans="1:9" ht="14.25">
      <c r="A902" s="271"/>
      <c r="B902" s="271"/>
      <c r="D902" s="1010" t="s">
        <v>1224</v>
      </c>
      <c r="E902" s="1010"/>
      <c r="F902" s="1010"/>
      <c r="G902" s="188"/>
      <c r="H902" s="267"/>
      <c r="I902" s="267"/>
    </row>
    <row r="903" spans="1:9" ht="14.25">
      <c r="A903" s="271"/>
      <c r="B903" s="271"/>
      <c r="D903" s="3" t="s">
        <v>1545</v>
      </c>
      <c r="E903" s="1055" t="s">
        <v>2176</v>
      </c>
      <c r="F903" s="1055"/>
      <c r="G903" s="188"/>
      <c r="H903" s="267"/>
      <c r="I903" s="267"/>
    </row>
    <row r="904" spans="1:9" ht="14.25">
      <c r="A904" s="271"/>
      <c r="B904" s="271"/>
      <c r="D904" s="44"/>
      <c r="E904" s="188"/>
      <c r="F904" s="188"/>
      <c r="G904" s="188"/>
      <c r="H904" s="267"/>
      <c r="I904" s="267"/>
    </row>
    <row r="905" spans="1:9" ht="14.25">
      <c r="A905" s="271"/>
      <c r="B905" s="624" t="s">
        <v>132</v>
      </c>
      <c r="D905" s="986" t="s">
        <v>1523</v>
      </c>
      <c r="E905" s="986"/>
      <c r="F905" s="986"/>
      <c r="G905" s="188"/>
      <c r="H905" s="267"/>
      <c r="I905" s="267"/>
    </row>
    <row r="906" spans="1:9" ht="14.25">
      <c r="A906" s="271"/>
      <c r="B906" s="271"/>
      <c r="D906" s="986"/>
      <c r="E906" s="986"/>
      <c r="F906" s="986"/>
      <c r="G906" s="188"/>
      <c r="H906" s="267"/>
      <c r="I906" s="267"/>
    </row>
    <row r="907" spans="1:9" ht="14.25">
      <c r="A907" s="271"/>
      <c r="B907" s="271"/>
      <c r="D907" s="986"/>
      <c r="E907" s="986"/>
      <c r="F907" s="986"/>
      <c r="G907" s="188"/>
      <c r="H907" s="267"/>
      <c r="I907" s="267"/>
    </row>
    <row r="908" spans="1:9" ht="14.25">
      <c r="A908" s="271"/>
      <c r="B908" s="271"/>
      <c r="D908" s="986"/>
      <c r="E908" s="986"/>
      <c r="F908" s="986"/>
      <c r="G908" s="188"/>
      <c r="H908" s="267"/>
      <c r="I908" s="267"/>
    </row>
    <row r="909" spans="1:9" ht="12.75">
      <c r="A909" s="44"/>
      <c r="B909" s="44"/>
      <c r="C909" s="207"/>
      <c r="D909" s="188"/>
      <c r="E909" s="188"/>
      <c r="F909" s="188"/>
      <c r="G909" s="188"/>
      <c r="H909" s="267"/>
      <c r="I909" s="267"/>
    </row>
    <row r="910" spans="1:9" ht="12.75">
      <c r="A910" s="1011" t="s">
        <v>1466</v>
      </c>
      <c r="B910" s="1011"/>
      <c r="C910" s="1011"/>
      <c r="D910" s="1011"/>
      <c r="E910" s="1011"/>
      <c r="F910" s="1011"/>
      <c r="G910" s="1011"/>
      <c r="H910" s="267"/>
      <c r="I910" s="267"/>
    </row>
    <row r="911" spans="1:9" ht="12.75">
      <c r="A911" s="44"/>
      <c r="B911" s="44"/>
      <c r="C911" s="207"/>
      <c r="D911" s="188"/>
      <c r="E911" s="188"/>
      <c r="F911" s="188"/>
      <c r="G911" s="188"/>
      <c r="H911" s="267"/>
      <c r="I911" s="267"/>
    </row>
    <row r="912" spans="1:9" ht="12.75">
      <c r="C912" s="207"/>
      <c r="D912" s="1037" t="s">
        <v>1707</v>
      </c>
      <c r="E912" s="1037"/>
      <c r="F912" s="1037"/>
      <c r="G912" s="188"/>
      <c r="H912" s="267"/>
      <c r="I912" s="267"/>
    </row>
    <row r="913" spans="1:9" ht="12.75">
      <c r="A913" s="190"/>
      <c r="B913" s="190"/>
      <c r="C913" s="190"/>
      <c r="D913" s="1006" t="s">
        <v>1543</v>
      </c>
      <c r="E913" s="1006"/>
      <c r="F913" s="1006"/>
      <c r="G913" s="188"/>
      <c r="H913" s="267"/>
      <c r="I913" s="267"/>
    </row>
    <row r="914" spans="1:9" ht="12.75">
      <c r="A914" s="190"/>
      <c r="B914" s="190"/>
      <c r="C914" s="190"/>
      <c r="F914" s="188"/>
      <c r="G914" s="188"/>
      <c r="H914" s="267"/>
      <c r="I914" s="267"/>
    </row>
    <row r="915" spans="1:9" ht="13.7" customHeight="1">
      <c r="A915" s="190"/>
      <c r="B915" s="624" t="s">
        <v>132</v>
      </c>
      <c r="C915" s="190"/>
      <c r="D915" s="1013" t="s">
        <v>1717</v>
      </c>
      <c r="E915" s="1013"/>
      <c r="F915" s="1013"/>
      <c r="G915" s="188"/>
      <c r="H915" s="267"/>
      <c r="I915" s="267"/>
    </row>
    <row r="916" spans="1:9" ht="12.75">
      <c r="A916" s="190"/>
      <c r="B916" s="190"/>
      <c r="C916" s="190"/>
      <c r="D916" s="1013"/>
      <c r="E916" s="1013"/>
      <c r="F916" s="1013"/>
      <c r="G916" s="188"/>
      <c r="H916" s="267"/>
      <c r="I916" s="267"/>
    </row>
    <row r="917" spans="1:9" ht="12.75">
      <c r="A917" s="190"/>
      <c r="B917" s="190"/>
      <c r="C917" s="190"/>
      <c r="D917" s="1013"/>
      <c r="E917" s="1013"/>
      <c r="F917" s="1013"/>
      <c r="G917" s="188"/>
      <c r="H917" s="267"/>
      <c r="I917" s="267"/>
    </row>
    <row r="918" spans="1:9" ht="12.75">
      <c r="A918" s="190"/>
      <c r="B918" s="190"/>
      <c r="C918" s="190"/>
      <c r="D918" s="1013"/>
      <c r="E918" s="1013"/>
      <c r="F918" s="1013"/>
      <c r="G918" s="188"/>
      <c r="H918" s="267"/>
      <c r="I918" s="267"/>
    </row>
    <row r="919" spans="1:9" ht="12.75">
      <c r="A919" s="190"/>
      <c r="B919" s="190"/>
      <c r="C919" s="190"/>
      <c r="D919" s="1013"/>
      <c r="E919" s="1013"/>
      <c r="F919" s="1013"/>
      <c r="G919" s="188"/>
      <c r="H919" s="267"/>
      <c r="I919" s="267"/>
    </row>
    <row r="920" spans="1:9" ht="12.75">
      <c r="A920" s="191"/>
      <c r="B920" s="191"/>
      <c r="C920" s="191"/>
      <c r="F920" s="188"/>
      <c r="G920" s="188"/>
      <c r="H920" s="267"/>
      <c r="I920" s="267"/>
    </row>
    <row r="921" spans="1:9" ht="14.25" customHeight="1">
      <c r="A921" s="271"/>
      <c r="B921" s="974" t="s">
        <v>1439</v>
      </c>
      <c r="C921" s="191"/>
      <c r="D921" s="987" t="s">
        <v>1804</v>
      </c>
      <c r="E921" s="987"/>
      <c r="F921" s="987"/>
      <c r="G921" s="188"/>
      <c r="H921" s="267"/>
      <c r="I921" s="267"/>
    </row>
    <row r="922" spans="1:9" ht="14.25" customHeight="1">
      <c r="A922" s="271"/>
      <c r="B922" s="271"/>
      <c r="C922" s="191"/>
      <c r="D922" s="987"/>
      <c r="E922" s="987"/>
      <c r="F922" s="987"/>
      <c r="G922" s="188"/>
      <c r="H922" s="267"/>
      <c r="I922" s="267"/>
    </row>
    <row r="923" spans="1:9" ht="14.25" customHeight="1">
      <c r="A923" s="271"/>
      <c r="B923" s="271"/>
      <c r="C923" s="191"/>
      <c r="D923" s="987"/>
      <c r="E923" s="987"/>
      <c r="F923" s="987"/>
      <c r="G923" s="188"/>
      <c r="H923" s="267"/>
      <c r="I923" s="267"/>
    </row>
    <row r="924" spans="1:9" ht="14.25" customHeight="1">
      <c r="A924" s="271"/>
      <c r="B924" s="271"/>
      <c r="C924" s="191"/>
      <c r="D924" s="987"/>
      <c r="E924" s="987"/>
      <c r="F924" s="987"/>
      <c r="G924" s="188"/>
      <c r="H924" s="267"/>
      <c r="I924" s="267"/>
    </row>
    <row r="925" spans="1:9" ht="14.25" customHeight="1">
      <c r="A925" s="191"/>
      <c r="B925" s="191"/>
      <c r="C925" s="191"/>
      <c r="D925" s="987"/>
      <c r="E925" s="987"/>
      <c r="F925" s="987"/>
      <c r="G925" s="188"/>
      <c r="H925" s="267"/>
      <c r="I925" s="267"/>
    </row>
    <row r="926" spans="1:9" ht="14.25" customHeight="1">
      <c r="A926" s="191"/>
      <c r="B926" s="191"/>
      <c r="C926" s="191"/>
      <c r="D926" s="987"/>
      <c r="E926" s="987"/>
      <c r="F926" s="987"/>
      <c r="G926" s="188"/>
      <c r="H926" s="267"/>
      <c r="I926" s="267"/>
    </row>
    <row r="927" spans="1:9" ht="14.25" customHeight="1">
      <c r="A927" s="191"/>
      <c r="B927" s="191"/>
      <c r="C927" s="191"/>
      <c r="D927" s="987"/>
      <c r="E927" s="987"/>
      <c r="F927" s="987"/>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7" t="s">
        <v>1805</v>
      </c>
      <c r="E929" s="987"/>
      <c r="F929" s="987"/>
      <c r="G929" s="362"/>
      <c r="H929" s="363"/>
      <c r="I929" s="363"/>
    </row>
    <row r="930" spans="1:9" s="324" customFormat="1" ht="14.25" customHeight="1">
      <c r="A930" s="359"/>
      <c r="B930" s="359"/>
      <c r="C930" s="360"/>
      <c r="D930" s="987"/>
      <c r="E930" s="987"/>
      <c r="F930" s="987"/>
      <c r="G930" s="362"/>
      <c r="H930" s="363"/>
      <c r="I930" s="363"/>
    </row>
    <row r="931" spans="1:9" s="324" customFormat="1" ht="14.25" customHeight="1">
      <c r="A931" s="359"/>
      <c r="B931" s="359"/>
      <c r="C931" s="360"/>
      <c r="D931" s="987"/>
      <c r="E931" s="987"/>
      <c r="F931" s="987"/>
      <c r="G931" s="362"/>
      <c r="H931" s="363"/>
      <c r="I931" s="363"/>
    </row>
    <row r="932" spans="1:9" s="324" customFormat="1" ht="14.25" customHeight="1">
      <c r="A932" s="359"/>
      <c r="B932" s="359"/>
      <c r="C932" s="360"/>
      <c r="D932" s="987"/>
      <c r="E932" s="987"/>
      <c r="F932" s="987"/>
      <c r="G932" s="362"/>
      <c r="H932" s="363"/>
      <c r="I932" s="363"/>
    </row>
    <row r="933" spans="1:9" s="324" customFormat="1" ht="14.25" customHeight="1">
      <c r="A933" s="359"/>
      <c r="B933" s="359"/>
      <c r="C933" s="360"/>
      <c r="D933" s="987"/>
      <c r="E933" s="987"/>
      <c r="F933" s="987"/>
      <c r="G933" s="362"/>
      <c r="H933" s="363"/>
      <c r="I933" s="363"/>
    </row>
    <row r="934" spans="1:9" s="324" customFormat="1" ht="14.25">
      <c r="A934" s="359"/>
      <c r="B934" s="359"/>
      <c r="C934" s="360"/>
      <c r="D934" s="987"/>
      <c r="E934" s="987"/>
      <c r="F934" s="987"/>
      <c r="G934" s="362"/>
      <c r="H934" s="363"/>
      <c r="I934" s="363"/>
    </row>
    <row r="935" spans="1:9" s="324" customFormat="1" ht="14.25" customHeight="1">
      <c r="A935" s="359"/>
      <c r="B935" s="359"/>
      <c r="C935" s="360"/>
      <c r="D935" s="987"/>
      <c r="E935" s="987"/>
      <c r="F935" s="987"/>
      <c r="G935" s="362"/>
      <c r="H935" s="363"/>
      <c r="I935" s="363"/>
    </row>
    <row r="936" spans="1:9" s="324" customFormat="1" ht="14.25" customHeight="1">
      <c r="A936" s="359"/>
      <c r="B936" s="359"/>
      <c r="C936" s="360"/>
      <c r="D936" s="987"/>
      <c r="E936" s="987"/>
      <c r="F936" s="987"/>
      <c r="G936" s="362"/>
      <c r="H936" s="363"/>
      <c r="I936" s="363"/>
    </row>
    <row r="937" spans="1:9" s="324" customFormat="1" ht="14.25" customHeight="1">
      <c r="A937" s="359"/>
      <c r="B937" s="359"/>
      <c r="C937" s="360"/>
      <c r="D937" s="987"/>
      <c r="E937" s="987"/>
      <c r="F937" s="987"/>
      <c r="G937" s="362"/>
      <c r="H937" s="363"/>
      <c r="I937" s="363"/>
    </row>
    <row r="938" spans="1:9" ht="14.25" customHeight="1">
      <c r="A938" s="191"/>
      <c r="B938" s="191"/>
      <c r="C938" s="191"/>
      <c r="D938" s="3"/>
      <c r="F938" s="188"/>
      <c r="G938" s="188"/>
      <c r="H938" s="267"/>
      <c r="I938" s="267"/>
    </row>
    <row r="939" spans="1:9" ht="14.25" customHeight="1">
      <c r="A939" s="271"/>
      <c r="B939" s="974" t="s">
        <v>1439</v>
      </c>
      <c r="C939" s="191"/>
      <c r="D939" s="1035" t="s">
        <v>1718</v>
      </c>
      <c r="E939" s="1035"/>
      <c r="F939" s="1035"/>
      <c r="G939" s="188"/>
      <c r="H939" s="267"/>
      <c r="I939" s="267"/>
    </row>
    <row r="940" spans="1:9" ht="14.25" customHeight="1">
      <c r="A940" s="271"/>
      <c r="B940" s="271"/>
      <c r="C940" s="191"/>
      <c r="D940" s="1035"/>
      <c r="E940" s="1035"/>
      <c r="F940" s="1035"/>
      <c r="G940" s="188"/>
      <c r="H940" s="267"/>
      <c r="I940" s="267"/>
    </row>
    <row r="941" spans="1:9" ht="14.25" customHeight="1">
      <c r="A941" s="271"/>
      <c r="B941" s="271"/>
      <c r="C941" s="191"/>
      <c r="D941" s="1035"/>
      <c r="E941" s="1035"/>
      <c r="F941" s="1035"/>
      <c r="G941" s="188"/>
      <c r="H941" s="267"/>
      <c r="I941" s="267"/>
    </row>
    <row r="942" spans="1:9" ht="14.25" customHeight="1">
      <c r="A942" s="271"/>
      <c r="B942" s="271"/>
      <c r="C942" s="191"/>
      <c r="D942" s="1035"/>
      <c r="E942" s="1035"/>
      <c r="F942" s="1035"/>
      <c r="G942" s="188"/>
      <c r="H942" s="267"/>
      <c r="I942" s="267"/>
    </row>
    <row r="943" spans="1:9" ht="14.25" customHeight="1">
      <c r="A943" s="271"/>
      <c r="B943" s="271"/>
      <c r="C943" s="191"/>
      <c r="D943" s="1035"/>
      <c r="E943" s="1035"/>
      <c r="F943" s="1035"/>
      <c r="G943" s="188"/>
      <c r="H943" s="267"/>
      <c r="I943" s="267"/>
    </row>
    <row r="944" spans="1:9" ht="14.25" customHeight="1">
      <c r="A944" s="271"/>
      <c r="B944" s="271"/>
      <c r="C944" s="191"/>
      <c r="D944" s="1035"/>
      <c r="E944" s="1035"/>
      <c r="F944" s="1035"/>
      <c r="G944" s="188"/>
      <c r="H944" s="267"/>
      <c r="I944" s="267"/>
    </row>
    <row r="945" spans="1:9" ht="14.25" customHeight="1">
      <c r="A945" s="271"/>
      <c r="B945" s="271"/>
      <c r="C945" s="191"/>
      <c r="D945" s="1035"/>
      <c r="E945" s="1035"/>
      <c r="F945" s="1035"/>
      <c r="G945" s="188"/>
      <c r="H945" s="267"/>
      <c r="I945" s="267"/>
    </row>
    <row r="946" spans="1:9" ht="14.25" customHeight="1">
      <c r="A946" s="271"/>
      <c r="B946" s="271"/>
      <c r="C946" s="191"/>
      <c r="D946" s="377"/>
      <c r="F946" s="188"/>
      <c r="G946" s="188"/>
      <c r="H946" s="267"/>
      <c r="I946" s="267"/>
    </row>
    <row r="947" spans="1:9" s="460" customFormat="1" ht="14.25">
      <c r="A947" s="271"/>
      <c r="B947" s="974" t="s">
        <v>1439</v>
      </c>
      <c r="C947" s="191"/>
      <c r="D947" s="987" t="s">
        <v>1719</v>
      </c>
      <c r="E947" s="987"/>
      <c r="F947" s="987"/>
      <c r="G947" s="188"/>
    </row>
    <row r="948" spans="1:9" s="460" customFormat="1" ht="14.25">
      <c r="A948" s="271"/>
      <c r="B948" s="271"/>
      <c r="C948" s="191"/>
      <c r="D948" s="987"/>
      <c r="E948" s="987"/>
      <c r="F948" s="987"/>
      <c r="G948" s="188"/>
    </row>
    <row r="949" spans="1:9" s="460" customFormat="1" ht="14.25">
      <c r="A949" s="271"/>
      <c r="B949" s="271"/>
      <c r="C949" s="191"/>
      <c r="D949" s="987"/>
      <c r="E949" s="987"/>
      <c r="F949" s="987"/>
      <c r="G949" s="188"/>
    </row>
    <row r="950" spans="1:9" s="460" customFormat="1" ht="14.25">
      <c r="A950" s="271"/>
      <c r="B950" s="271"/>
      <c r="C950" s="191"/>
      <c r="D950" s="987"/>
      <c r="E950" s="987"/>
      <c r="F950" s="987"/>
      <c r="G950" s="188"/>
    </row>
    <row r="951" spans="1:9" s="460" customFormat="1" ht="14.25">
      <c r="A951" s="271"/>
      <c r="B951" s="271"/>
      <c r="C951" s="191"/>
      <c r="D951" s="3"/>
      <c r="E951" s="5"/>
      <c r="F951" s="188"/>
      <c r="G951" s="188"/>
    </row>
    <row r="952" spans="1:9" ht="14.25" customHeight="1">
      <c r="A952" s="18"/>
      <c r="B952" s="18"/>
      <c r="C952" s="207"/>
      <c r="D952" s="986" t="s">
        <v>1720</v>
      </c>
      <c r="E952" s="986"/>
      <c r="F952" s="986"/>
      <c r="G952" s="188"/>
      <c r="H952" s="267"/>
      <c r="I952" s="267"/>
    </row>
    <row r="953" spans="1:9" ht="14.25" customHeight="1">
      <c r="A953" s="207"/>
      <c r="B953" s="207"/>
      <c r="C953" s="207"/>
      <c r="D953" s="986"/>
      <c r="E953" s="986"/>
      <c r="F953" s="986"/>
      <c r="G953" s="188"/>
      <c r="H953" s="267"/>
      <c r="I953" s="267"/>
    </row>
    <row r="954" spans="1:9" ht="14.25" customHeight="1">
      <c r="A954" s="207"/>
      <c r="B954" s="207"/>
      <c r="C954" s="207"/>
      <c r="D954" s="3"/>
      <c r="E954" s="188"/>
      <c r="F954" s="188"/>
      <c r="G954" s="188"/>
      <c r="H954" s="267"/>
      <c r="I954" s="267"/>
    </row>
    <row r="955" spans="1:9" ht="14.25">
      <c r="A955" s="271"/>
      <c r="B955" s="974" t="s">
        <v>1439</v>
      </c>
      <c r="D955" s="986" t="s">
        <v>1721</v>
      </c>
      <c r="E955" s="986"/>
      <c r="F955" s="986"/>
    </row>
    <row r="956" spans="1:9" ht="12.75">
      <c r="D956" s="986"/>
      <c r="E956" s="986"/>
      <c r="F956" s="986"/>
    </row>
    <row r="957" spans="1:9" ht="14.25" customHeight="1">
      <c r="A957" s="207"/>
      <c r="B957" s="207"/>
      <c r="C957" s="207"/>
      <c r="D957" s="3"/>
      <c r="E957" s="188"/>
      <c r="F957" s="188"/>
      <c r="G957" s="188"/>
      <c r="H957" s="267"/>
      <c r="I957" s="267"/>
    </row>
    <row r="958" spans="1:9" ht="14.25" customHeight="1">
      <c r="A958" s="191"/>
      <c r="B958" s="191"/>
      <c r="C958" s="191"/>
      <c r="D958" s="1037" t="s">
        <v>1710</v>
      </c>
      <c r="E958" s="1037"/>
      <c r="F958" s="1037"/>
      <c r="G958" s="188"/>
      <c r="H958" s="267"/>
      <c r="I958" s="267"/>
    </row>
    <row r="959" spans="1:9" ht="14.25" customHeight="1">
      <c r="A959" s="191"/>
      <c r="B959" s="191"/>
      <c r="C959" s="191"/>
      <c r="D959" s="192"/>
      <c r="F959" s="188"/>
      <c r="G959" s="188"/>
      <c r="H959" s="267"/>
      <c r="I959" s="267"/>
    </row>
    <row r="960" spans="1:9" ht="14.45" customHeight="1">
      <c r="A960" s="271"/>
      <c r="B960" s="974" t="s">
        <v>1439</v>
      </c>
      <c r="C960" s="207"/>
      <c r="D960" s="1014" t="s">
        <v>1709</v>
      </c>
      <c r="E960" s="1014"/>
      <c r="F960" s="1014"/>
      <c r="G960" s="188"/>
      <c r="H960" s="267"/>
      <c r="I960" s="267"/>
    </row>
    <row r="961" spans="1:9" ht="12.75">
      <c r="A961" s="207"/>
      <c r="B961" s="207"/>
      <c r="C961" s="207"/>
      <c r="D961" s="1014"/>
      <c r="E961" s="1014"/>
      <c r="F961" s="1014"/>
      <c r="G961" s="188"/>
      <c r="H961" s="267"/>
      <c r="I961" s="267"/>
    </row>
    <row r="962" spans="1:9" ht="12.75">
      <c r="A962" s="207"/>
      <c r="B962" s="207"/>
      <c r="C962" s="207"/>
      <c r="D962" s="1014"/>
      <c r="E962" s="1014"/>
      <c r="F962" s="1014"/>
      <c r="G962" s="188"/>
      <c r="H962" s="267"/>
      <c r="I962" s="267"/>
    </row>
    <row r="963" spans="1:9" ht="12.75">
      <c r="A963" s="207"/>
      <c r="B963" s="207"/>
      <c r="C963" s="207"/>
      <c r="D963" s="1014"/>
      <c r="E963" s="1014"/>
      <c r="F963" s="1014"/>
      <c r="G963" s="188"/>
      <c r="H963" s="267"/>
      <c r="I963" s="267"/>
    </row>
    <row r="964" spans="1:9" ht="12.75">
      <c r="A964" s="207"/>
      <c r="B964" s="207"/>
      <c r="C964" s="207"/>
      <c r="D964" s="1014"/>
      <c r="E964" s="1014"/>
      <c r="F964" s="1014"/>
      <c r="G964" s="188"/>
      <c r="H964" s="267"/>
      <c r="I964" s="267"/>
    </row>
    <row r="965" spans="1:9" ht="12.75">
      <c r="A965" s="207"/>
      <c r="B965" s="207"/>
      <c r="C965" s="207"/>
      <c r="D965" s="1014"/>
      <c r="E965" s="1014"/>
      <c r="F965" s="1014"/>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4" t="s">
        <v>1708</v>
      </c>
      <c r="E967" s="1014"/>
      <c r="F967" s="1014"/>
      <c r="G967" s="188"/>
      <c r="H967" s="267"/>
      <c r="I967" s="267"/>
    </row>
    <row r="968" spans="1:9" ht="12.75">
      <c r="A968" s="207"/>
      <c r="B968" s="207"/>
      <c r="C968" s="207"/>
      <c r="D968" s="1014"/>
      <c r="E968" s="1014"/>
      <c r="F968" s="1014"/>
      <c r="G968" s="188"/>
      <c r="H968" s="267"/>
      <c r="I968" s="267"/>
    </row>
    <row r="969" spans="1:9" ht="12.75">
      <c r="A969" s="207"/>
      <c r="B969" s="207"/>
      <c r="C969" s="207"/>
      <c r="D969" s="1014"/>
      <c r="E969" s="1014"/>
      <c r="F969" s="1014"/>
      <c r="G969" s="188"/>
      <c r="H969" s="267"/>
      <c r="I969" s="267"/>
    </row>
    <row r="970" spans="1:9" ht="12.75">
      <c r="A970" s="207"/>
      <c r="B970" s="207"/>
      <c r="C970" s="207"/>
      <c r="D970" s="1014"/>
      <c r="E970" s="1014"/>
      <c r="F970" s="1014"/>
      <c r="G970" s="188"/>
      <c r="H970" s="267"/>
      <c r="I970" s="267"/>
    </row>
    <row r="971" spans="1:9" ht="12.75">
      <c r="A971" s="207"/>
      <c r="B971" s="207"/>
      <c r="C971" s="207"/>
      <c r="D971" s="1014"/>
      <c r="E971" s="1014"/>
      <c r="F971" s="1014"/>
      <c r="G971" s="188"/>
      <c r="H971" s="267"/>
      <c r="I971" s="267"/>
    </row>
    <row r="972" spans="1:9" ht="12.75">
      <c r="A972" s="207"/>
      <c r="B972" s="207"/>
      <c r="C972" s="207"/>
      <c r="D972" s="375"/>
      <c r="E972" s="188"/>
      <c r="F972" s="188"/>
      <c r="G972" s="188"/>
      <c r="H972" s="267"/>
      <c r="I972" s="267"/>
    </row>
    <row r="973" spans="1:9" ht="14.25">
      <c r="A973" s="271"/>
      <c r="B973" s="624" t="s">
        <v>132</v>
      </c>
      <c r="C973" s="207"/>
      <c r="D973" s="1014" t="s">
        <v>1711</v>
      </c>
      <c r="E973" s="1014"/>
      <c r="F973" s="1014"/>
      <c r="G973" s="188"/>
      <c r="H973" s="267"/>
      <c r="I973" s="267"/>
    </row>
    <row r="974" spans="1:9" ht="12.75">
      <c r="A974" s="207"/>
      <c r="B974" s="207"/>
      <c r="C974" s="207"/>
      <c r="D974" s="1014"/>
      <c r="E974" s="1014"/>
      <c r="F974" s="1014"/>
      <c r="G974" s="188"/>
      <c r="H974" s="267"/>
      <c r="I974" s="267"/>
    </row>
    <row r="975" spans="1:9" ht="12.75">
      <c r="A975" s="207"/>
      <c r="B975" s="207"/>
      <c r="C975" s="207"/>
      <c r="D975" s="1014"/>
      <c r="E975" s="1014"/>
      <c r="F975" s="1014"/>
      <c r="G975" s="188"/>
      <c r="H975" s="267"/>
      <c r="I975" s="267"/>
    </row>
    <row r="976" spans="1:9" ht="12.75">
      <c r="A976" s="207"/>
      <c r="B976" s="207"/>
      <c r="C976" s="207"/>
      <c r="D976" s="1014"/>
      <c r="E976" s="1014"/>
      <c r="F976" s="1014"/>
      <c r="G976" s="188"/>
      <c r="H976" s="267"/>
      <c r="I976" s="267"/>
    </row>
    <row r="977" spans="1:9" ht="12.75">
      <c r="A977" s="207"/>
      <c r="B977" s="207"/>
      <c r="C977" s="207"/>
      <c r="D977" s="1014"/>
      <c r="E977" s="1014"/>
      <c r="F977" s="1014"/>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4" t="s">
        <v>1712</v>
      </c>
      <c r="E979" s="1014"/>
      <c r="F979" s="1014"/>
      <c r="G979" s="188"/>
      <c r="H979" s="267"/>
      <c r="I979" s="267"/>
    </row>
    <row r="980" spans="1:9" ht="12.75">
      <c r="A980" s="207"/>
      <c r="B980" s="207"/>
      <c r="C980" s="207"/>
      <c r="D980" s="1014"/>
      <c r="E980" s="1014"/>
      <c r="F980" s="1014"/>
      <c r="G980" s="188"/>
      <c r="H980" s="267"/>
      <c r="I980" s="267"/>
    </row>
    <row r="981" spans="1:9" ht="12.75">
      <c r="A981" s="207"/>
      <c r="B981" s="207"/>
      <c r="C981" s="207"/>
      <c r="D981" s="1014"/>
      <c r="E981" s="1014"/>
      <c r="F981" s="1014"/>
      <c r="G981" s="188"/>
      <c r="H981" s="267"/>
      <c r="I981" s="267"/>
    </row>
    <row r="982" spans="1:9" ht="12.75">
      <c r="A982" s="207"/>
      <c r="B982" s="207"/>
      <c r="C982" s="207"/>
      <c r="D982" s="628"/>
      <c r="E982" s="628"/>
      <c r="F982" s="628"/>
      <c r="G982" s="188"/>
      <c r="H982" s="267"/>
      <c r="I982" s="267"/>
    </row>
    <row r="983" spans="1:9" ht="14.25">
      <c r="A983" s="271"/>
      <c r="B983" s="624" t="s">
        <v>132</v>
      </c>
      <c r="C983" s="207"/>
      <c r="D983" s="1014" t="s">
        <v>1713</v>
      </c>
      <c r="E983" s="1014"/>
      <c r="F983" s="1014"/>
      <c r="G983" s="188"/>
      <c r="H983" s="267"/>
      <c r="I983" s="267"/>
    </row>
    <row r="984" spans="1:9" ht="12.75">
      <c r="A984" s="207"/>
      <c r="B984" s="207"/>
      <c r="C984" s="207"/>
      <c r="D984" s="1014"/>
      <c r="E984" s="1014"/>
      <c r="F984" s="1014"/>
      <c r="G984" s="188"/>
      <c r="H984" s="267"/>
      <c r="I984" s="267"/>
    </row>
    <row r="985" spans="1:9" ht="12.75">
      <c r="A985" s="207"/>
      <c r="B985" s="207"/>
      <c r="C985" s="207"/>
      <c r="D985" s="375"/>
      <c r="E985" s="188"/>
      <c r="F985" s="188"/>
      <c r="G985" s="188"/>
      <c r="H985" s="267"/>
      <c r="I985" s="267"/>
    </row>
    <row r="986" spans="1:9" ht="12.75">
      <c r="A986" s="207"/>
      <c r="B986" s="624" t="s">
        <v>132</v>
      </c>
      <c r="C986" s="207"/>
      <c r="D986" s="986" t="s">
        <v>1714</v>
      </c>
      <c r="E986" s="986"/>
      <c r="F986" s="986"/>
      <c r="G986" s="188"/>
      <c r="H986" s="267"/>
      <c r="I986" s="267"/>
    </row>
    <row r="987" spans="1:9" ht="12.75">
      <c r="A987" s="207"/>
      <c r="B987" s="207"/>
      <c r="C987" s="207"/>
      <c r="D987" s="986"/>
      <c r="E987" s="986"/>
      <c r="F987" s="986"/>
      <c r="G987" s="188"/>
      <c r="H987" s="267"/>
      <c r="I987" s="267"/>
    </row>
    <row r="988" spans="1:9" ht="12.75">
      <c r="A988" s="207"/>
      <c r="B988" s="207"/>
      <c r="C988" s="207"/>
      <c r="D988" s="188"/>
      <c r="E988" s="188"/>
      <c r="F988" s="188"/>
      <c r="G988" s="188"/>
      <c r="H988" s="267"/>
      <c r="I988" s="267"/>
    </row>
    <row r="989" spans="1:9" ht="12.75">
      <c r="A989" s="207"/>
      <c r="B989" s="624" t="s">
        <v>132</v>
      </c>
      <c r="C989" s="207"/>
      <c r="D989" s="1042" t="s">
        <v>1848</v>
      </c>
      <c r="E989" s="1040"/>
      <c r="F989" s="1040"/>
      <c r="G989" s="188"/>
      <c r="H989" s="267"/>
      <c r="I989" s="267"/>
    </row>
    <row r="990" spans="1:9" ht="12.75">
      <c r="A990" s="207"/>
      <c r="B990" s="207"/>
      <c r="C990" s="207"/>
      <c r="D990" s="1042"/>
      <c r="E990" s="1040"/>
      <c r="F990" s="1040"/>
      <c r="G990" s="188"/>
      <c r="H990" s="267"/>
      <c r="I990" s="267"/>
    </row>
    <row r="991" spans="1:9" ht="12.75">
      <c r="A991" s="207"/>
      <c r="B991" s="207"/>
      <c r="C991" s="207"/>
      <c r="D991" s="1042"/>
      <c r="E991" s="1040"/>
      <c r="F991" s="1040"/>
      <c r="G991" s="188"/>
      <c r="H991" s="267"/>
      <c r="I991" s="267"/>
    </row>
    <row r="992" spans="1:9" ht="12.75">
      <c r="A992" s="207"/>
      <c r="B992" s="207"/>
      <c r="C992" s="207"/>
      <c r="D992" s="1040"/>
      <c r="E992" s="1040"/>
      <c r="F992" s="1040"/>
      <c r="G992" s="188"/>
      <c r="H992" s="267"/>
      <c r="I992" s="267"/>
    </row>
    <row r="993" spans="1:9" ht="12.75">
      <c r="A993" s="207"/>
      <c r="B993" s="207"/>
      <c r="C993" s="207"/>
      <c r="D993" s="44"/>
      <c r="E993" s="188"/>
      <c r="F993" s="188"/>
      <c r="G993" s="188"/>
      <c r="H993" s="267"/>
      <c r="I993" s="267"/>
    </row>
    <row r="994" spans="1:9" ht="12.75">
      <c r="A994" s="207"/>
      <c r="B994" s="624" t="s">
        <v>132</v>
      </c>
      <c r="C994" s="207"/>
      <c r="D994" s="1006" t="s">
        <v>2281</v>
      </c>
      <c r="E994" s="1006"/>
      <c r="F994" s="1006"/>
      <c r="G994" s="188"/>
      <c r="H994" s="267"/>
      <c r="I994" s="267"/>
    </row>
    <row r="995" spans="1:9" ht="12.75">
      <c r="A995" s="207"/>
      <c r="B995" s="207"/>
      <c r="C995" s="207"/>
      <c r="D995" s="44"/>
      <c r="E995" s="188"/>
      <c r="F995" s="188"/>
      <c r="G995" s="188"/>
      <c r="H995" s="267"/>
      <c r="I995" s="267"/>
    </row>
    <row r="996" spans="1:9" ht="12.75">
      <c r="A996" s="207"/>
      <c r="B996" s="624" t="s">
        <v>132</v>
      </c>
      <c r="C996" s="207"/>
      <c r="D996" s="1006" t="s">
        <v>2282</v>
      </c>
      <c r="E996" s="1006"/>
      <c r="F996" s="1006"/>
      <c r="G996" s="188"/>
      <c r="H996" s="267"/>
      <c r="I996" s="267"/>
    </row>
    <row r="997" spans="1:9" ht="12.75" customHeight="1">
      <c r="A997" s="207"/>
      <c r="B997" s="207"/>
      <c r="C997" s="207"/>
      <c r="D997" s="188"/>
      <c r="E997" s="188"/>
      <c r="F997" s="188"/>
      <c r="G997" s="188"/>
      <c r="H997" s="267"/>
      <c r="I997" s="267"/>
    </row>
    <row r="998" spans="1:9" ht="12.75">
      <c r="A998" s="207"/>
      <c r="C998" s="207"/>
      <c r="D998" s="1012" t="s">
        <v>1546</v>
      </c>
      <c r="E998" s="1012"/>
      <c r="F998" s="1012"/>
      <c r="G998" s="188"/>
      <c r="H998" s="267"/>
      <c r="I998" s="267"/>
    </row>
    <row r="999" spans="1:9" ht="12.75">
      <c r="A999" s="207"/>
      <c r="C999" s="207"/>
      <c r="D999" s="192"/>
      <c r="E999" s="188"/>
      <c r="F999" s="188"/>
      <c r="G999" s="188"/>
      <c r="H999" s="267"/>
      <c r="I999" s="267"/>
    </row>
    <row r="1000" spans="1:9" ht="14.25">
      <c r="A1000" s="271"/>
      <c r="B1000" s="974" t="s">
        <v>1439</v>
      </c>
      <c r="C1000" s="207"/>
      <c r="D1000" s="986" t="s">
        <v>1715</v>
      </c>
      <c r="E1000" s="986"/>
      <c r="F1000" s="986"/>
      <c r="G1000" s="188"/>
      <c r="H1000" s="267"/>
      <c r="I1000" s="267"/>
    </row>
    <row r="1001" spans="1:9" ht="12.75">
      <c r="A1001" s="207"/>
      <c r="B1001" s="207"/>
      <c r="C1001" s="207"/>
      <c r="D1001" s="986"/>
      <c r="E1001" s="986"/>
      <c r="F1001" s="986"/>
      <c r="G1001" s="188"/>
      <c r="H1001" s="267"/>
      <c r="I1001" s="267"/>
    </row>
    <row r="1002" spans="1:9" ht="12.75">
      <c r="A1002" s="207"/>
      <c r="B1002" s="207"/>
      <c r="C1002" s="207"/>
      <c r="D1002" s="986"/>
      <c r="E1002" s="986"/>
      <c r="F1002" s="986"/>
      <c r="G1002" s="188"/>
      <c r="H1002" s="267"/>
      <c r="I1002" s="267"/>
    </row>
    <row r="1003" spans="1:9" ht="12.75">
      <c r="A1003" s="207"/>
      <c r="B1003" s="207"/>
      <c r="C1003" s="207"/>
      <c r="D1003" s="986"/>
      <c r="E1003" s="986"/>
      <c r="F1003" s="986"/>
      <c r="G1003" s="188"/>
      <c r="H1003" s="267"/>
      <c r="I1003" s="267"/>
    </row>
    <row r="1004" spans="1:9" ht="12.75">
      <c r="A1004" s="207"/>
      <c r="B1004" s="207"/>
      <c r="C1004" s="207"/>
      <c r="D1004" s="986"/>
      <c r="E1004" s="986"/>
      <c r="F1004" s="986"/>
      <c r="G1004" s="188"/>
      <c r="H1004" s="267"/>
      <c r="I1004" s="267"/>
    </row>
    <row r="1005" spans="1:9" ht="12.75">
      <c r="A1005" s="207"/>
      <c r="B1005" s="207"/>
      <c r="C1005" s="207"/>
      <c r="G1005" s="188"/>
      <c r="H1005" s="267"/>
      <c r="I1005" s="267"/>
    </row>
    <row r="1006" spans="1:9" ht="14.25">
      <c r="A1006" s="271"/>
      <c r="B1006" s="624" t="s">
        <v>132</v>
      </c>
      <c r="C1006" s="207"/>
      <c r="D1006" s="986" t="s">
        <v>1716</v>
      </c>
      <c r="E1006" s="986"/>
      <c r="F1006" s="986"/>
      <c r="G1006" s="188"/>
      <c r="H1006" s="267"/>
      <c r="I1006" s="267"/>
    </row>
    <row r="1007" spans="1:9" ht="12.75">
      <c r="A1007" s="207"/>
      <c r="B1007" s="207"/>
      <c r="C1007" s="207"/>
      <c r="D1007" s="986"/>
      <c r="E1007" s="986"/>
      <c r="F1007" s="986"/>
      <c r="G1007" s="188"/>
      <c r="H1007" s="267"/>
      <c r="I1007" s="267"/>
    </row>
    <row r="1008" spans="1:9" ht="12.75">
      <c r="A1008" s="207"/>
      <c r="B1008" s="207"/>
      <c r="C1008" s="207"/>
      <c r="D1008" s="986"/>
      <c r="E1008" s="986"/>
      <c r="F1008" s="986"/>
      <c r="G1008" s="188"/>
      <c r="H1008" s="267"/>
      <c r="I1008" s="267"/>
    </row>
    <row r="1009" spans="1:9" ht="12.75">
      <c r="A1009" s="207"/>
      <c r="B1009" s="207"/>
      <c r="C1009" s="207"/>
      <c r="D1009" s="986"/>
      <c r="E1009" s="986"/>
      <c r="F1009" s="986"/>
      <c r="G1009" s="188"/>
      <c r="H1009" s="267"/>
      <c r="I1009" s="267"/>
    </row>
    <row r="1010" spans="1:9" ht="12.75">
      <c r="A1010" s="207"/>
      <c r="B1010" s="207"/>
      <c r="C1010" s="207"/>
      <c r="D1010" s="986"/>
      <c r="E1010" s="986"/>
      <c r="F1010" s="986"/>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12" t="s">
        <v>1547</v>
      </c>
      <c r="E1012" s="1012"/>
      <c r="F1012" s="1012"/>
      <c r="G1012" s="188"/>
      <c r="H1012" s="267"/>
      <c r="I1012" s="267"/>
    </row>
    <row r="1013" spans="1:9" ht="12.75">
      <c r="A1013" s="207"/>
      <c r="B1013" s="207"/>
      <c r="C1013" s="207"/>
      <c r="D1013" s="192"/>
      <c r="E1013" s="188"/>
      <c r="F1013" s="188"/>
      <c r="G1013" s="188"/>
      <c r="H1013" s="267"/>
      <c r="I1013" s="267"/>
    </row>
    <row r="1014" spans="1:9" ht="14.25">
      <c r="A1014" s="271"/>
      <c r="B1014" s="974" t="s">
        <v>1439</v>
      </c>
      <c r="C1014" s="207"/>
      <c r="D1014" s="986" t="s">
        <v>1722</v>
      </c>
      <c r="E1014" s="986"/>
      <c r="F1014" s="986"/>
      <c r="G1014" s="188"/>
      <c r="H1014" s="267"/>
      <c r="I1014" s="267"/>
    </row>
    <row r="1015" spans="1:9" ht="12.75">
      <c r="A1015" s="207"/>
      <c r="B1015" s="207"/>
      <c r="C1015" s="207"/>
      <c r="D1015" s="986"/>
      <c r="E1015" s="986"/>
      <c r="F1015" s="986"/>
      <c r="G1015" s="188"/>
      <c r="H1015" s="267"/>
      <c r="I1015" s="267"/>
    </row>
    <row r="1016" spans="1:9" ht="12.75">
      <c r="A1016" s="207"/>
      <c r="B1016" s="207"/>
      <c r="C1016" s="207"/>
      <c r="D1016" s="986"/>
      <c r="E1016" s="986"/>
      <c r="F1016" s="986"/>
      <c r="G1016" s="188"/>
      <c r="H1016" s="267"/>
      <c r="I1016" s="267"/>
    </row>
    <row r="1017" spans="1:9" ht="12.75">
      <c r="A1017" s="207"/>
      <c r="B1017" s="207"/>
      <c r="C1017" s="207"/>
      <c r="G1017" s="188"/>
      <c r="H1017" s="267"/>
      <c r="I1017" s="267"/>
    </row>
    <row r="1018" spans="1:9" ht="14.25">
      <c r="A1018" s="271"/>
      <c r="B1018" s="624" t="s">
        <v>132</v>
      </c>
      <c r="C1018" s="207"/>
      <c r="D1018" s="986" t="s">
        <v>1723</v>
      </c>
      <c r="E1018" s="986"/>
      <c r="F1018" s="986"/>
      <c r="G1018" s="188"/>
      <c r="H1018" s="267"/>
      <c r="I1018" s="267"/>
    </row>
    <row r="1019" spans="1:9" ht="12.75">
      <c r="A1019" s="207"/>
      <c r="B1019" s="207"/>
      <c r="C1019" s="207"/>
      <c r="D1019" s="986"/>
      <c r="E1019" s="986"/>
      <c r="F1019" s="986"/>
      <c r="G1019" s="188"/>
      <c r="H1019" s="267"/>
      <c r="I1019" s="267"/>
    </row>
    <row r="1020" spans="1:9" ht="12.75">
      <c r="A1020" s="207"/>
      <c r="B1020" s="207"/>
      <c r="C1020" s="207"/>
      <c r="D1020" s="986"/>
      <c r="E1020" s="986"/>
      <c r="F1020" s="986"/>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12" t="s">
        <v>1548</v>
      </c>
      <c r="E1022" s="1012"/>
      <c r="F1022" s="1012"/>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6" t="s">
        <v>1725</v>
      </c>
      <c r="E1024" s="986"/>
      <c r="F1024" s="986"/>
      <c r="G1024" s="24"/>
      <c r="H1024" s="209"/>
      <c r="I1024" s="209"/>
    </row>
    <row r="1025" spans="1:9" ht="12.75">
      <c r="A1025" s="207"/>
      <c r="B1025" s="207"/>
      <c r="C1025" s="207"/>
      <c r="D1025" s="986"/>
      <c r="E1025" s="986"/>
      <c r="F1025" s="986"/>
      <c r="G1025" s="24"/>
      <c r="H1025" s="209"/>
      <c r="I1025" s="209"/>
    </row>
    <row r="1026" spans="1:9" ht="12.75">
      <c r="A1026" s="207"/>
      <c r="B1026" s="207"/>
      <c r="C1026" s="207"/>
      <c r="D1026" s="986"/>
      <c r="E1026" s="986"/>
      <c r="F1026" s="986"/>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6" t="s">
        <v>1724</v>
      </c>
      <c r="E1028" s="986"/>
      <c r="F1028" s="986"/>
      <c r="G1028" s="209"/>
      <c r="H1028" s="267"/>
      <c r="I1028" s="267"/>
    </row>
    <row r="1029" spans="1:9" ht="12.75">
      <c r="A1029" s="207"/>
      <c r="B1029" s="207"/>
      <c r="C1029" s="207"/>
      <c r="D1029" s="986"/>
      <c r="E1029" s="986"/>
      <c r="F1029" s="986"/>
      <c r="G1029" s="209"/>
      <c r="H1029" s="267"/>
      <c r="I1029" s="267"/>
    </row>
    <row r="1030" spans="1:9" ht="12.75">
      <c r="A1030" s="207"/>
      <c r="B1030" s="207"/>
      <c r="C1030" s="207"/>
      <c r="D1030" s="986"/>
      <c r="E1030" s="986"/>
      <c r="F1030" s="986"/>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4" t="s">
        <v>1726</v>
      </c>
      <c r="E1032" s="984"/>
      <c r="F1032" s="984"/>
      <c r="G1032" s="208"/>
      <c r="H1032" s="267"/>
      <c r="I1032" s="267"/>
    </row>
    <row r="1033" spans="1:9" ht="12.75">
      <c r="A1033" s="207"/>
      <c r="B1033" s="207"/>
      <c r="C1033" s="207"/>
      <c r="D1033" s="984"/>
      <c r="E1033" s="984"/>
      <c r="F1033" s="984"/>
      <c r="G1033" s="208"/>
      <c r="H1033" s="267"/>
      <c r="I1033" s="267"/>
    </row>
    <row r="1034" spans="1:9" ht="12.75">
      <c r="A1034" s="207"/>
      <c r="B1034" s="207"/>
      <c r="C1034" s="207"/>
      <c r="D1034" s="984"/>
      <c r="E1034" s="984"/>
      <c r="F1034" s="984"/>
      <c r="G1034" s="208"/>
      <c r="H1034" s="267"/>
      <c r="I1034" s="267"/>
    </row>
    <row r="1035" spans="1:9" ht="12" customHeight="1">
      <c r="A1035" s="207"/>
      <c r="B1035" s="207"/>
      <c r="C1035" s="207"/>
      <c r="D1035" s="188"/>
      <c r="E1035" s="188"/>
      <c r="F1035" s="188"/>
      <c r="G1035" s="188"/>
      <c r="H1035" s="267"/>
      <c r="I1035" s="267"/>
    </row>
    <row r="1036" spans="1:9" ht="12.75" customHeight="1">
      <c r="A1036" s="207"/>
      <c r="B1036" s="974" t="s">
        <v>1439</v>
      </c>
      <c r="C1036" s="207"/>
      <c r="D1036" s="986" t="s">
        <v>1727</v>
      </c>
      <c r="E1036" s="986"/>
      <c r="F1036" s="986"/>
      <c r="G1036" s="208"/>
      <c r="H1036" s="208"/>
      <c r="I1036" s="208"/>
    </row>
    <row r="1037" spans="1:9" ht="12.75">
      <c r="A1037" s="207"/>
      <c r="B1037" s="207"/>
      <c r="C1037" s="207"/>
      <c r="D1037" s="986"/>
      <c r="E1037" s="986"/>
      <c r="F1037" s="986"/>
      <c r="G1037" s="208"/>
      <c r="H1037" s="208"/>
      <c r="I1037" s="208"/>
    </row>
    <row r="1038" spans="1:9" ht="12.75">
      <c r="A1038" s="207"/>
      <c r="B1038" s="207"/>
      <c r="C1038" s="207"/>
      <c r="D1038" s="986"/>
      <c r="E1038" s="986"/>
      <c r="F1038" s="986"/>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6" t="s">
        <v>1728</v>
      </c>
      <c r="E1040" s="986"/>
      <c r="F1040" s="986"/>
      <c r="G1040" s="208"/>
      <c r="H1040" s="208"/>
      <c r="I1040" s="208"/>
    </row>
    <row r="1041" spans="1:9" ht="12.75">
      <c r="A1041" s="207"/>
      <c r="B1041" s="207"/>
      <c r="C1041" s="207"/>
      <c r="D1041" s="986"/>
      <c r="E1041" s="986"/>
      <c r="F1041" s="986"/>
      <c r="G1041" s="208"/>
      <c r="H1041" s="208"/>
      <c r="I1041" s="208"/>
    </row>
    <row r="1042" spans="1:9" ht="12.75">
      <c r="A1042" s="207"/>
      <c r="B1042" s="207"/>
      <c r="C1042" s="207"/>
      <c r="D1042" s="986"/>
      <c r="E1042" s="986"/>
      <c r="F1042" s="986"/>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6" t="s">
        <v>1549</v>
      </c>
      <c r="E1044" s="986"/>
      <c r="F1044" s="986"/>
      <c r="G1044" s="24"/>
      <c r="H1044" s="267"/>
      <c r="I1044" s="267"/>
    </row>
    <row r="1045" spans="1:9" ht="12.75">
      <c r="A1045" s="207"/>
      <c r="B1045" s="207"/>
      <c r="C1045" s="207"/>
      <c r="D1045" s="986"/>
      <c r="E1045" s="986"/>
      <c r="F1045" s="986"/>
      <c r="G1045" s="24"/>
      <c r="H1045" s="267"/>
      <c r="I1045" s="267"/>
    </row>
    <row r="1046" spans="1:9" ht="12.75">
      <c r="A1046" s="207"/>
      <c r="B1046" s="207"/>
      <c r="C1046" s="207"/>
      <c r="D1046" s="986"/>
      <c r="E1046" s="986"/>
      <c r="F1046" s="986"/>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6" t="s">
        <v>1550</v>
      </c>
      <c r="E1048" s="986"/>
      <c r="F1048" s="986"/>
      <c r="G1048" s="24"/>
      <c r="H1048" s="267"/>
      <c r="I1048" s="267"/>
    </row>
    <row r="1049" spans="1:9" ht="12.75">
      <c r="A1049" s="207"/>
      <c r="B1049" s="207"/>
      <c r="C1049" s="207"/>
      <c r="D1049" s="986"/>
      <c r="E1049" s="986"/>
      <c r="F1049" s="986"/>
      <c r="G1049" s="24"/>
      <c r="H1049" s="267"/>
      <c r="I1049" s="267"/>
    </row>
    <row r="1050" spans="1:9" ht="12.75">
      <c r="A1050" s="207"/>
      <c r="B1050" s="207"/>
      <c r="C1050" s="207"/>
      <c r="D1050" s="986"/>
      <c r="E1050" s="986"/>
      <c r="F1050" s="986"/>
      <c r="G1050" s="24"/>
      <c r="H1050" s="267"/>
      <c r="I1050" s="267"/>
    </row>
    <row r="1051" spans="1:9" ht="12.75">
      <c r="A1051" s="207"/>
      <c r="B1051" s="207"/>
      <c r="C1051" s="207"/>
      <c r="D1051" s="302"/>
      <c r="E1051" s="302"/>
      <c r="F1051" s="302"/>
      <c r="G1051" s="302"/>
      <c r="H1051" s="267"/>
      <c r="I1051" s="267"/>
    </row>
    <row r="1052" spans="1:9" ht="12.75" customHeight="1">
      <c r="A1052" s="207"/>
      <c r="B1052" s="974" t="s">
        <v>1439</v>
      </c>
      <c r="C1052" s="207"/>
      <c r="D1052" s="1030" t="s">
        <v>1172</v>
      </c>
      <c r="E1052" s="1030"/>
      <c r="F1052" s="1030"/>
      <c r="G1052" s="623"/>
      <c r="H1052" s="267"/>
      <c r="I1052" s="267"/>
    </row>
    <row r="1053" spans="1:9" ht="12.75">
      <c r="A1053" s="207"/>
      <c r="B1053" s="207"/>
      <c r="C1053" s="207"/>
      <c r="D1053" s="1030"/>
      <c r="E1053" s="1030"/>
      <c r="F1053" s="1030"/>
      <c r="G1053" s="623"/>
      <c r="H1053" s="267"/>
      <c r="I1053" s="267"/>
    </row>
    <row r="1054" spans="1:9" ht="12.75">
      <c r="A1054" s="207"/>
      <c r="B1054" s="207"/>
      <c r="C1054" s="207"/>
      <c r="D1054" s="1030"/>
      <c r="E1054" s="1030"/>
      <c r="F1054" s="1030"/>
      <c r="G1054" s="623"/>
      <c r="H1054" s="267"/>
      <c r="I1054" s="267"/>
    </row>
    <row r="1055" spans="1:9" ht="12.75">
      <c r="A1055" s="207"/>
      <c r="B1055" s="207"/>
      <c r="C1055" s="207"/>
      <c r="D1055" s="1030"/>
      <c r="E1055" s="1030"/>
      <c r="F1055" s="1030"/>
      <c r="G1055" s="623"/>
      <c r="H1055" s="267"/>
      <c r="I1055" s="267"/>
    </row>
    <row r="1056" spans="1:9" ht="12.75">
      <c r="A1056" s="207"/>
      <c r="B1056" s="207"/>
      <c r="C1056" s="207"/>
      <c r="D1056" s="1030"/>
      <c r="E1056" s="1030"/>
      <c r="F1056" s="1030"/>
      <c r="G1056" s="623"/>
      <c r="H1056" s="267"/>
      <c r="I1056" s="267"/>
    </row>
    <row r="1057" spans="1:9" ht="12.75">
      <c r="A1057" s="207"/>
      <c r="B1057" s="207"/>
      <c r="C1057" s="207"/>
      <c r="D1057" s="1030"/>
      <c r="E1057" s="1030"/>
      <c r="F1057" s="1030"/>
      <c r="G1057" s="623"/>
      <c r="H1057" s="267"/>
      <c r="I1057" s="267"/>
    </row>
    <row r="1058" spans="1:9" ht="12.75">
      <c r="A1058" s="207"/>
      <c r="B1058" s="207"/>
      <c r="C1058" s="207"/>
      <c r="D1058" s="1030"/>
      <c r="E1058" s="1030"/>
      <c r="F1058" s="1030"/>
      <c r="G1058" s="623"/>
      <c r="H1058" s="267"/>
      <c r="I1058" s="267"/>
    </row>
    <row r="1059" spans="1:9" ht="12.75">
      <c r="A1059" s="207"/>
      <c r="B1059" s="207"/>
      <c r="C1059" s="207"/>
      <c r="D1059" s="1030"/>
      <c r="E1059" s="1030"/>
      <c r="F1059" s="1030"/>
      <c r="G1059" s="623"/>
      <c r="H1059" s="267"/>
      <c r="I1059" s="267"/>
    </row>
    <row r="1060" spans="1:9" ht="12.75">
      <c r="A1060" s="207"/>
      <c r="B1060" s="207"/>
      <c r="C1060" s="207"/>
      <c r="D1060" s="1030"/>
      <c r="E1060" s="1030"/>
      <c r="F1060" s="1030"/>
      <c r="G1060" s="623"/>
      <c r="H1060" s="267"/>
      <c r="I1060" s="267"/>
    </row>
    <row r="1061" spans="1:9" ht="12.75">
      <c r="A1061" s="207"/>
      <c r="B1061" s="207"/>
      <c r="C1061" s="207"/>
      <c r="D1061" s="1030"/>
      <c r="E1061" s="1030"/>
      <c r="F1061" s="1030"/>
      <c r="G1061" s="623"/>
      <c r="H1061" s="267"/>
      <c r="I1061" s="267"/>
    </row>
    <row r="1062" spans="1:9" ht="27.6" customHeight="1">
      <c r="A1062" s="207"/>
      <c r="B1062" s="207"/>
      <c r="C1062" s="207"/>
      <c r="D1062" s="1030"/>
      <c r="E1062" s="1030"/>
      <c r="F1062" s="1030"/>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12" t="s">
        <v>1551</v>
      </c>
      <c r="E1064" s="1012"/>
      <c r="F1064" s="1012"/>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80" t="s">
        <v>2334</v>
      </c>
      <c r="E1066" s="986"/>
      <c r="F1066" s="986"/>
      <c r="G1066" s="188"/>
      <c r="H1066" s="267"/>
      <c r="I1066" s="267"/>
    </row>
    <row r="1067" spans="1:9" ht="12.75">
      <c r="A1067" s="207"/>
      <c r="B1067" s="207"/>
      <c r="C1067" s="207"/>
      <c r="D1067" s="986"/>
      <c r="E1067" s="986"/>
      <c r="F1067" s="986"/>
      <c r="G1067" s="188"/>
      <c r="H1067" s="267"/>
      <c r="I1067" s="267"/>
    </row>
    <row r="1068" spans="1:9" ht="12.75">
      <c r="A1068" s="207"/>
      <c r="B1068" s="207"/>
      <c r="C1068" s="207"/>
      <c r="D1068" s="986"/>
      <c r="E1068" s="986"/>
      <c r="F1068" s="986"/>
      <c r="G1068" s="188"/>
      <c r="H1068" s="267"/>
      <c r="I1068" s="267"/>
    </row>
    <row r="1069" spans="1:9" ht="12.75">
      <c r="A1069" s="207"/>
      <c r="B1069" s="207"/>
      <c r="C1069" s="207"/>
      <c r="D1069" s="986"/>
      <c r="E1069" s="986"/>
      <c r="F1069" s="986"/>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80" t="s">
        <v>2335</v>
      </c>
      <c r="E1071" s="986"/>
      <c r="F1071" s="986"/>
      <c r="G1071" s="188"/>
      <c r="H1071" s="267"/>
      <c r="I1071" s="267"/>
    </row>
    <row r="1072" spans="1:9" ht="12.75">
      <c r="A1072" s="207"/>
      <c r="B1072" s="207"/>
      <c r="C1072" s="207"/>
      <c r="D1072" s="986"/>
      <c r="E1072" s="986"/>
      <c r="F1072" s="986"/>
      <c r="G1072" s="188"/>
      <c r="H1072" s="267"/>
      <c r="I1072" s="267"/>
    </row>
    <row r="1073" spans="1:9" ht="12.75">
      <c r="A1073" s="207"/>
      <c r="B1073" s="207"/>
      <c r="C1073" s="207"/>
      <c r="D1073" s="986"/>
      <c r="E1073" s="986"/>
      <c r="F1073" s="986"/>
      <c r="G1073" s="188"/>
      <c r="H1073" s="267"/>
      <c r="I1073" s="267"/>
    </row>
    <row r="1074" spans="1:9" ht="12.75">
      <c r="A1074" s="207"/>
      <c r="B1074" s="207"/>
      <c r="C1074" s="207"/>
      <c r="D1074" s="986"/>
      <c r="E1074" s="986"/>
      <c r="F1074" s="986"/>
      <c r="G1074" s="188"/>
      <c r="H1074" s="267"/>
      <c r="I1074" s="267"/>
    </row>
    <row r="1075" spans="1:9" ht="12.75">
      <c r="A1075" s="207"/>
      <c r="B1075" s="207"/>
      <c r="C1075" s="207"/>
      <c r="D1075" s="188"/>
      <c r="E1075" s="188"/>
      <c r="F1075" s="188"/>
      <c r="G1075" s="188"/>
    </row>
    <row r="1076" spans="1:9" ht="12.75">
      <c r="A1076" s="207"/>
      <c r="B1076" s="624" t="s">
        <v>132</v>
      </c>
      <c r="C1076" s="207"/>
      <c r="D1076" s="1040" t="s">
        <v>1729</v>
      </c>
      <c r="E1076" s="1040"/>
      <c r="F1076" s="1040"/>
      <c r="G1076" s="188"/>
    </row>
    <row r="1077" spans="1:9" ht="12.75">
      <c r="A1077" s="207"/>
      <c r="B1077" s="207"/>
      <c r="C1077" s="207"/>
      <c r="D1077" s="1040"/>
      <c r="E1077" s="1040"/>
      <c r="F1077" s="1040"/>
      <c r="G1077" s="188"/>
    </row>
    <row r="1078" spans="1:9" ht="12.75">
      <c r="A1078" s="207"/>
      <c r="B1078" s="207"/>
      <c r="C1078" s="207"/>
      <c r="D1078" s="1040"/>
      <c r="E1078" s="1040"/>
      <c r="F1078" s="1040"/>
      <c r="G1078" s="188"/>
    </row>
    <row r="1079" spans="1:9" ht="12.75">
      <c r="A1079" s="207"/>
      <c r="B1079" s="207"/>
      <c r="C1079" s="207"/>
      <c r="D1079" s="188"/>
      <c r="E1079" s="188"/>
      <c r="F1079" s="188"/>
      <c r="G1079" s="188"/>
    </row>
    <row r="1080" spans="1:9" ht="14.25">
      <c r="A1080" s="271"/>
      <c r="B1080" s="624" t="s">
        <v>132</v>
      </c>
      <c r="C1080" s="440"/>
      <c r="D1080" s="1041" t="s">
        <v>2283</v>
      </c>
      <c r="E1080" s="1041"/>
      <c r="F1080" s="1041"/>
      <c r="G1080" s="461"/>
    </row>
    <row r="1081" spans="1:9" ht="12.75">
      <c r="A1081" s="440"/>
      <c r="B1081" s="440"/>
      <c r="C1081" s="440"/>
      <c r="D1081" s="1041"/>
      <c r="E1081" s="1041"/>
      <c r="F1081" s="1041"/>
      <c r="G1081" s="461"/>
    </row>
    <row r="1082" spans="1:9" ht="12.75">
      <c r="A1082" s="440"/>
      <c r="B1082" s="440"/>
      <c r="C1082" s="440"/>
      <c r="D1082" s="1041"/>
      <c r="E1082" s="1041"/>
      <c r="F1082" s="1041"/>
      <c r="G1082" s="461"/>
    </row>
    <row r="1083" spans="1:9" ht="12.75">
      <c r="A1083" s="207"/>
      <c r="B1083" s="207"/>
      <c r="C1083" s="207"/>
      <c r="D1083" s="188"/>
      <c r="E1083" s="188"/>
      <c r="F1083" s="188"/>
      <c r="G1083" s="188"/>
    </row>
    <row r="1084" spans="1:9" ht="12.75">
      <c r="C1084" s="207"/>
      <c r="D1084" s="1012" t="s">
        <v>1552</v>
      </c>
      <c r="E1084" s="1012"/>
      <c r="F1084" s="1012"/>
      <c r="G1084" s="188"/>
    </row>
    <row r="1085" spans="1:9" ht="12.75">
      <c r="C1085" s="207"/>
      <c r="D1085" s="192"/>
      <c r="E1085" s="188"/>
      <c r="F1085" s="188"/>
      <c r="G1085" s="188"/>
    </row>
    <row r="1086" spans="1:9" ht="12.75">
      <c r="A1086" s="207"/>
      <c r="B1086" s="624" t="s">
        <v>132</v>
      </c>
      <c r="C1086" s="207"/>
      <c r="D1086" s="986" t="s">
        <v>1730</v>
      </c>
      <c r="E1086" s="986"/>
      <c r="F1086" s="986"/>
      <c r="G1086" s="188"/>
    </row>
    <row r="1087" spans="1:9" ht="12.75">
      <c r="A1087" s="207"/>
      <c r="B1087" s="207"/>
      <c r="C1087" s="207"/>
      <c r="D1087" s="986"/>
      <c r="E1087" s="986"/>
      <c r="F1087" s="986"/>
      <c r="G1087" s="188"/>
    </row>
    <row r="1088" spans="1:9" ht="12.75">
      <c r="A1088" s="207"/>
      <c r="B1088" s="207"/>
      <c r="C1088" s="207"/>
      <c r="D1088" s="986"/>
      <c r="E1088" s="986"/>
      <c r="F1088" s="986"/>
      <c r="G1088" s="188"/>
    </row>
    <row r="1089" spans="1:7" ht="12.75">
      <c r="A1089" s="207"/>
      <c r="B1089" s="207"/>
      <c r="C1089" s="207"/>
      <c r="D1089" s="188"/>
      <c r="E1089" s="188"/>
      <c r="F1089" s="188"/>
      <c r="G1089" s="188"/>
    </row>
    <row r="1090" spans="1:7" ht="14.25">
      <c r="A1090" s="271"/>
      <c r="B1090" s="624" t="s">
        <v>132</v>
      </c>
      <c r="C1090" s="207"/>
      <c r="D1090" s="986" t="s">
        <v>1731</v>
      </c>
      <c r="E1090" s="986"/>
      <c r="F1090" s="986"/>
      <c r="G1090" s="188"/>
    </row>
    <row r="1091" spans="1:7" ht="12.75">
      <c r="A1091" s="207"/>
      <c r="B1091" s="207"/>
      <c r="C1091" s="207"/>
      <c r="D1091" s="986"/>
      <c r="E1091" s="986"/>
      <c r="F1091" s="986"/>
      <c r="G1091" s="188"/>
    </row>
    <row r="1092" spans="1:7" ht="12.75">
      <c r="A1092" s="207"/>
      <c r="B1092" s="207"/>
      <c r="C1092" s="207"/>
      <c r="D1092" s="986"/>
      <c r="E1092" s="986"/>
      <c r="F1092" s="986"/>
      <c r="G1092" s="188"/>
    </row>
    <row r="1093" spans="1:7" ht="12.75">
      <c r="A1093" s="207"/>
      <c r="B1093" s="207"/>
      <c r="C1093" s="207"/>
      <c r="D1093" s="188"/>
      <c r="E1093" s="188"/>
      <c r="F1093" s="188"/>
      <c r="G1093" s="188"/>
    </row>
    <row r="1094" spans="1:7" ht="12.75">
      <c r="A1094" s="207"/>
      <c r="B1094" s="207"/>
      <c r="C1094" s="207"/>
      <c r="D1094" s="1012" t="s">
        <v>1164</v>
      </c>
      <c r="E1094" s="1012"/>
      <c r="F1094" s="1012"/>
      <c r="G1094" s="188"/>
    </row>
    <row r="1095" spans="1:7" ht="12.75">
      <c r="A1095" s="207"/>
      <c r="B1095" s="207"/>
      <c r="C1095" s="207"/>
      <c r="D1095" s="1006" t="s">
        <v>1553</v>
      </c>
      <c r="E1095" s="1006"/>
      <c r="F1095" s="1006"/>
      <c r="G1095" s="188"/>
    </row>
    <row r="1096" spans="1:7" ht="12.75">
      <c r="A1096" s="207"/>
      <c r="B1096" s="207"/>
      <c r="C1096" s="207"/>
      <c r="D1096" s="430"/>
      <c r="E1096" s="188"/>
      <c r="F1096" s="188"/>
      <c r="G1096" s="188"/>
    </row>
    <row r="1097" spans="1:7" ht="14.25">
      <c r="A1097" s="271"/>
      <c r="B1097" s="974" t="s">
        <v>1439</v>
      </c>
      <c r="C1097" s="207"/>
      <c r="D1097" s="986" t="s">
        <v>1732</v>
      </c>
      <c r="E1097" s="986"/>
      <c r="F1097" s="986"/>
      <c r="G1097" s="188"/>
    </row>
    <row r="1098" spans="1:7" ht="12.75">
      <c r="A1098" s="207"/>
      <c r="B1098" s="207"/>
      <c r="C1098" s="207"/>
      <c r="D1098" s="986"/>
      <c r="E1098" s="986"/>
      <c r="F1098" s="986"/>
      <c r="G1098" s="188"/>
    </row>
    <row r="1099" spans="1:7" ht="12.75">
      <c r="A1099" s="207"/>
      <c r="B1099" s="207"/>
      <c r="C1099" s="207"/>
      <c r="D1099" s="188"/>
      <c r="E1099" s="188"/>
      <c r="F1099" s="188"/>
      <c r="G1099" s="188"/>
    </row>
    <row r="1100" spans="1:7" ht="14.25">
      <c r="A1100" s="271"/>
      <c r="B1100" s="624" t="s">
        <v>132</v>
      </c>
      <c r="C1100" s="207"/>
      <c r="D1100" s="986" t="s">
        <v>1733</v>
      </c>
      <c r="E1100" s="986"/>
      <c r="F1100" s="986"/>
      <c r="G1100" s="188"/>
    </row>
    <row r="1101" spans="1:7" ht="12.75">
      <c r="A1101" s="207"/>
      <c r="B1101" s="207"/>
      <c r="C1101" s="207"/>
      <c r="D1101" s="986"/>
      <c r="E1101" s="986"/>
      <c r="F1101" s="986"/>
      <c r="G1101" s="188"/>
    </row>
    <row r="1102" spans="1:7" ht="12.75">
      <c r="A1102" s="207"/>
      <c r="B1102" s="207"/>
      <c r="C1102" s="207"/>
      <c r="E1102" s="188"/>
      <c r="F1102" s="188"/>
      <c r="G1102" s="188"/>
    </row>
    <row r="1103" spans="1:7" ht="12.75">
      <c r="A1103" s="207"/>
      <c r="B1103" s="207"/>
      <c r="C1103" s="207"/>
      <c r="D1103" s="1012" t="s">
        <v>1554</v>
      </c>
      <c r="E1103" s="1012"/>
      <c r="F1103" s="1012"/>
      <c r="G1103" s="188"/>
    </row>
    <row r="1104" spans="1:7" ht="12.75">
      <c r="A1104" s="207"/>
      <c r="B1104" s="207"/>
      <c r="C1104" s="207"/>
      <c r="D1104" s="192"/>
      <c r="E1104" s="188"/>
      <c r="F1104" s="188"/>
      <c r="G1104" s="188"/>
    </row>
    <row r="1105" spans="1:7" ht="14.25">
      <c r="A1105" s="271"/>
      <c r="B1105" s="624" t="s">
        <v>132</v>
      </c>
      <c r="C1105" s="207"/>
      <c r="D1105" s="986" t="s">
        <v>1734</v>
      </c>
      <c r="E1105" s="986"/>
      <c r="F1105" s="986"/>
      <c r="G1105" s="188"/>
    </row>
    <row r="1106" spans="1:7" ht="12.75">
      <c r="A1106" s="207"/>
      <c r="B1106" s="207"/>
      <c r="C1106" s="207"/>
      <c r="D1106" s="986"/>
      <c r="E1106" s="986"/>
      <c r="F1106" s="986"/>
      <c r="G1106" s="188"/>
    </row>
    <row r="1107" spans="1:7" ht="12.75">
      <c r="A1107" s="207"/>
      <c r="B1107" s="207"/>
      <c r="C1107" s="207"/>
      <c r="D1107" s="986"/>
      <c r="E1107" s="986"/>
      <c r="F1107" s="986"/>
      <c r="G1107" s="188"/>
    </row>
    <row r="1108" spans="1:7" ht="12.75">
      <c r="A1108" s="207"/>
      <c r="B1108" s="207"/>
      <c r="C1108" s="207"/>
      <c r="D1108" s="986"/>
      <c r="E1108" s="986"/>
      <c r="F1108" s="986"/>
      <c r="G1108" s="188"/>
    </row>
    <row r="1109" spans="1:7" ht="12.75">
      <c r="A1109" s="207"/>
      <c r="B1109" s="207"/>
      <c r="C1109" s="207"/>
      <c r="D1109" s="986"/>
      <c r="E1109" s="986"/>
      <c r="F1109" s="986"/>
      <c r="G1109" s="188"/>
    </row>
    <row r="1110" spans="1:7" ht="12.75">
      <c r="A1110" s="207"/>
      <c r="B1110" s="207"/>
      <c r="C1110" s="207"/>
      <c r="D1110" s="986"/>
      <c r="E1110" s="986"/>
      <c r="F1110" s="986"/>
      <c r="G1110" s="188"/>
    </row>
    <row r="1111" spans="1:7" ht="12.75">
      <c r="A1111" s="207"/>
      <c r="B1111" s="207"/>
      <c r="C1111" s="207"/>
      <c r="D1111" s="986"/>
      <c r="E1111" s="986"/>
      <c r="F1111" s="986"/>
      <c r="G1111" s="188"/>
    </row>
    <row r="1112" spans="1:7" ht="12.75">
      <c r="A1112" s="207"/>
      <c r="B1112" s="207"/>
      <c r="C1112" s="207"/>
      <c r="D1112" s="188"/>
      <c r="E1112" s="188"/>
      <c r="F1112" s="188"/>
      <c r="G1112" s="188"/>
    </row>
    <row r="1113" spans="1:7" ht="14.25">
      <c r="A1113" s="271"/>
      <c r="B1113" s="624" t="s">
        <v>132</v>
      </c>
      <c r="C1113" s="207"/>
      <c r="D1113" s="986" t="s">
        <v>1735</v>
      </c>
      <c r="E1113" s="986"/>
      <c r="F1113" s="986"/>
      <c r="G1113" s="188"/>
    </row>
    <row r="1114" spans="1:7" ht="12.75">
      <c r="A1114" s="207"/>
      <c r="B1114" s="207"/>
      <c r="C1114" s="207"/>
      <c r="D1114" s="986"/>
      <c r="E1114" s="986"/>
      <c r="F1114" s="986"/>
      <c r="G1114" s="188"/>
    </row>
    <row r="1115" spans="1:7" ht="12.75">
      <c r="A1115" s="207"/>
      <c r="B1115" s="207"/>
      <c r="C1115" s="207"/>
      <c r="D1115" s="986"/>
      <c r="E1115" s="986"/>
      <c r="F1115" s="986"/>
      <c r="G1115" s="188"/>
    </row>
    <row r="1116" spans="1:7" ht="12.75">
      <c r="A1116" s="207"/>
      <c r="B1116" s="207"/>
      <c r="C1116" s="207"/>
      <c r="D1116" s="986"/>
      <c r="E1116" s="986"/>
      <c r="F1116" s="986"/>
      <c r="G1116" s="188"/>
    </row>
    <row r="1117" spans="1:7" ht="12.75">
      <c r="A1117" s="207"/>
      <c r="B1117" s="207"/>
      <c r="C1117" s="207"/>
      <c r="D1117" s="986"/>
      <c r="E1117" s="986"/>
      <c r="F1117" s="986"/>
      <c r="G1117" s="188"/>
    </row>
    <row r="1118" spans="1:7" ht="12.75">
      <c r="A1118" s="207"/>
      <c r="B1118" s="207"/>
      <c r="C1118" s="207"/>
      <c r="D1118" s="986"/>
      <c r="E1118" s="986"/>
      <c r="F1118" s="986"/>
      <c r="G1118" s="188"/>
    </row>
    <row r="1119" spans="1:7" ht="12.75">
      <c r="A1119" s="207"/>
      <c r="B1119" s="207"/>
      <c r="C1119" s="207"/>
      <c r="D1119" s="986"/>
      <c r="E1119" s="986"/>
      <c r="F1119" s="986"/>
      <c r="G1119" s="188"/>
    </row>
    <row r="1120" spans="1:7" ht="12.75">
      <c r="A1120" s="207"/>
      <c r="B1120" s="207"/>
      <c r="C1120" s="207"/>
      <c r="D1120" s="24"/>
      <c r="E1120" s="24"/>
      <c r="F1120" s="24"/>
      <c r="G1120" s="188"/>
    </row>
    <row r="1121" spans="1:7" ht="12.4" customHeight="1">
      <c r="A1121" s="207"/>
      <c r="B1121" s="624" t="s">
        <v>132</v>
      </c>
      <c r="C1121" s="207"/>
      <c r="D1121" s="1042" t="s">
        <v>1849</v>
      </c>
      <c r="E1121" s="1040"/>
      <c r="F1121" s="1040"/>
      <c r="G1121" s="188"/>
    </row>
    <row r="1122" spans="1:7" ht="12.4" customHeight="1">
      <c r="A1122" s="207"/>
      <c r="B1122" s="207"/>
      <c r="C1122" s="207"/>
      <c r="D1122" s="1040"/>
      <c r="E1122" s="1040"/>
      <c r="F1122" s="1040"/>
      <c r="G1122" s="188"/>
    </row>
    <row r="1123" spans="1:7" ht="12.75">
      <c r="A1123" s="207"/>
      <c r="B1123" s="207"/>
      <c r="C1123" s="207"/>
      <c r="D1123" s="1040"/>
      <c r="E1123" s="1040"/>
      <c r="F1123" s="1040"/>
      <c r="G1123" s="188"/>
    </row>
    <row r="1124" spans="1:7" ht="12.75">
      <c r="A1124" s="207"/>
      <c r="B1124" s="207"/>
      <c r="C1124" s="207"/>
      <c r="D1124" s="668"/>
      <c r="E1124" s="668"/>
      <c r="F1124" s="668"/>
      <c r="G1124" s="188"/>
    </row>
    <row r="1125" spans="1:7" ht="12.75">
      <c r="D1125" s="1012" t="s">
        <v>1555</v>
      </c>
      <c r="E1125" s="1012"/>
      <c r="F1125" s="1012"/>
    </row>
    <row r="1126" spans="1:7" ht="12.75">
      <c r="D1126" s="192"/>
    </row>
    <row r="1127" spans="1:7" ht="14.25">
      <c r="A1127" s="271"/>
      <c r="B1127" s="624" t="s">
        <v>132</v>
      </c>
      <c r="D1127" s="986" t="s">
        <v>1736</v>
      </c>
      <c r="E1127" s="986"/>
      <c r="F1127" s="986"/>
    </row>
    <row r="1128" spans="1:7" ht="12.75">
      <c r="D1128" s="986"/>
      <c r="E1128" s="986"/>
      <c r="F1128" s="986"/>
    </row>
    <row r="1129" spans="1:7" ht="12.75"/>
    <row r="1130" spans="1:7" ht="14.25">
      <c r="A1130" s="271"/>
      <c r="B1130" s="974" t="s">
        <v>1439</v>
      </c>
      <c r="D1130" s="986" t="s">
        <v>1737</v>
      </c>
      <c r="E1130" s="986"/>
      <c r="F1130" s="986"/>
    </row>
    <row r="1131" spans="1:7" ht="12.75">
      <c r="D1131" s="986"/>
      <c r="E1131" s="986"/>
      <c r="F1131" s="986"/>
    </row>
    <row r="1132" spans="1:7" ht="12.75"/>
    <row r="1133" spans="1:7" ht="12.75">
      <c r="D1133" s="1012" t="s">
        <v>1556</v>
      </c>
      <c r="E1133" s="1012"/>
      <c r="F1133" s="1012"/>
    </row>
    <row r="1134" spans="1:7" ht="12.75">
      <c r="D1134" s="192"/>
    </row>
    <row r="1135" spans="1:7" ht="14.25">
      <c r="A1135" s="271"/>
      <c r="B1135" s="624" t="s">
        <v>132</v>
      </c>
      <c r="D1135" s="1006" t="s">
        <v>1738</v>
      </c>
      <c r="E1135" s="1006"/>
      <c r="F1135" s="1006"/>
    </row>
    <row r="1136" spans="1:7" ht="12.75"/>
    <row r="1137" spans="1:7" ht="14.25">
      <c r="A1137" s="271"/>
      <c r="B1137" s="624" t="s">
        <v>132</v>
      </c>
      <c r="D1137" s="986" t="s">
        <v>1739</v>
      </c>
      <c r="E1137" s="986"/>
      <c r="F1137" s="986"/>
    </row>
    <row r="1138" spans="1:7" ht="14.25">
      <c r="A1138" s="271"/>
      <c r="B1138" s="271"/>
      <c r="D1138" s="986"/>
      <c r="E1138" s="986"/>
      <c r="F1138" s="986"/>
    </row>
    <row r="1139" spans="1:7" ht="14.25">
      <c r="A1139" s="271"/>
      <c r="B1139" s="271"/>
      <c r="D1139" s="24"/>
      <c r="E1139" s="24"/>
      <c r="F1139" s="24"/>
      <c r="G1139"/>
    </row>
    <row r="1140" spans="1:7" ht="12.75">
      <c r="D1140" s="1012" t="s">
        <v>1749</v>
      </c>
      <c r="E1140" s="1012"/>
      <c r="F1140" s="1012"/>
      <c r="G1140"/>
    </row>
    <row r="1141" spans="1:7" ht="12.75">
      <c r="D1141" s="192"/>
      <c r="G1141"/>
    </row>
    <row r="1142" spans="1:7" ht="14.45" customHeight="1">
      <c r="A1142" s="271"/>
      <c r="B1142" s="624" t="s">
        <v>132</v>
      </c>
      <c r="D1142" s="980" t="s">
        <v>2336</v>
      </c>
      <c r="E1142" s="986"/>
      <c r="F1142" s="986"/>
      <c r="G1142"/>
    </row>
    <row r="1143" spans="1:7" ht="14.25">
      <c r="A1143" s="271"/>
      <c r="B1143" s="271"/>
      <c r="D1143" s="986"/>
      <c r="E1143" s="986"/>
      <c r="F1143" s="986"/>
      <c r="G1143"/>
    </row>
    <row r="1144" spans="1:7" ht="14.25">
      <c r="A1144" s="271"/>
      <c r="B1144" s="271"/>
      <c r="D1144" s="986"/>
      <c r="E1144" s="986"/>
      <c r="F1144" s="986"/>
      <c r="G1144"/>
    </row>
    <row r="1145" spans="1:7" ht="14.25">
      <c r="A1145" s="271"/>
      <c r="B1145" s="271"/>
      <c r="D1145" s="986"/>
      <c r="E1145" s="986"/>
      <c r="F1145" s="986"/>
      <c r="G1145"/>
    </row>
    <row r="1146" spans="1:7" ht="14.25">
      <c r="A1146" s="271"/>
      <c r="B1146" s="271"/>
      <c r="D1146" s="986"/>
      <c r="E1146" s="986"/>
      <c r="F1146" s="986"/>
      <c r="G1146"/>
    </row>
    <row r="1147" spans="1:7" ht="14.25">
      <c r="A1147" s="271"/>
      <c r="B1147" s="271"/>
      <c r="D1147" s="986"/>
      <c r="E1147" s="986"/>
      <c r="F1147" s="986"/>
      <c r="G1147"/>
    </row>
    <row r="1148" spans="1:7" ht="14.25">
      <c r="A1148" s="271"/>
      <c r="B1148" s="271"/>
      <c r="D1148" s="986"/>
      <c r="E1148" s="986"/>
      <c r="F1148" s="986"/>
      <c r="G1148"/>
    </row>
    <row r="1149" spans="1:7" ht="14.25">
      <c r="A1149" s="271"/>
      <c r="B1149" s="271"/>
      <c r="D1149" s="986"/>
      <c r="E1149" s="986"/>
      <c r="F1149" s="986"/>
      <c r="G1149"/>
    </row>
    <row r="1150" spans="1:7" ht="14.25">
      <c r="A1150" s="271"/>
      <c r="B1150" s="271"/>
      <c r="D1150" s="986"/>
      <c r="E1150" s="986"/>
      <c r="F1150" s="986"/>
      <c r="G1150"/>
    </row>
    <row r="1151" spans="1:7" ht="14.25">
      <c r="A1151" s="271"/>
      <c r="B1151" s="271"/>
      <c r="D1151" s="986"/>
      <c r="E1151" s="986"/>
      <c r="F1151" s="986"/>
      <c r="G1151"/>
    </row>
    <row r="1152" spans="1:7" ht="14.25">
      <c r="A1152" s="271"/>
      <c r="B1152" s="271"/>
      <c r="D1152" s="986"/>
      <c r="E1152" s="986"/>
      <c r="F1152" s="986"/>
      <c r="G1152"/>
    </row>
    <row r="1153" spans="1:7" ht="14.25">
      <c r="A1153" s="271"/>
      <c r="B1153" s="271"/>
      <c r="D1153" s="986"/>
      <c r="E1153" s="986"/>
      <c r="F1153" s="986"/>
      <c r="G1153"/>
    </row>
    <row r="1154" spans="1:7" ht="14.25">
      <c r="A1154" s="271"/>
      <c r="B1154" s="271"/>
      <c r="D1154" s="986"/>
      <c r="E1154" s="986"/>
      <c r="F1154" s="986"/>
      <c r="G1154"/>
    </row>
    <row r="1155" spans="1:7" ht="38.25" customHeight="1">
      <c r="A1155" s="271"/>
      <c r="B1155" s="271"/>
      <c r="D1155" s="986"/>
      <c r="E1155" s="986"/>
      <c r="F1155" s="986"/>
    </row>
    <row r="1156" spans="1:7" ht="12.75"/>
    <row r="1157" spans="1:7" ht="12.75">
      <c r="A1157" s="1011" t="s">
        <v>1467</v>
      </c>
      <c r="B1157" s="1011"/>
      <c r="C1157" s="1011"/>
      <c r="D1157" s="1011"/>
      <c r="E1157" s="1011"/>
      <c r="F1157" s="1011"/>
      <c r="G1157" s="1011"/>
    </row>
    <row r="1158" spans="1:7" ht="12.75">
      <c r="A1158" s="44"/>
      <c r="B1158" s="44"/>
    </row>
    <row r="1159" spans="1:7" ht="12.75">
      <c r="C1159" s="207"/>
      <c r="D1159" s="1012" t="s">
        <v>1740</v>
      </c>
      <c r="E1159" s="1012"/>
      <c r="F1159" s="1012"/>
    </row>
    <row r="1160" spans="1:7" ht="12.75">
      <c r="A1160" s="190"/>
      <c r="B1160" s="190"/>
      <c r="C1160" s="190"/>
      <c r="D1160" s="1005" t="s">
        <v>1560</v>
      </c>
      <c r="E1160" s="1006"/>
      <c r="F1160" s="1006"/>
    </row>
    <row r="1161" spans="1:7" ht="12.75">
      <c r="A1161" s="190"/>
      <c r="B1161" s="190"/>
      <c r="C1161" s="190"/>
      <c r="F1161" s="188"/>
      <c r="G1161"/>
    </row>
    <row r="1162" spans="1:7" ht="13.7" customHeight="1">
      <c r="B1162" s="974" t="s">
        <v>1439</v>
      </c>
      <c r="D1162" s="1003" t="s">
        <v>2193</v>
      </c>
      <c r="E1162" s="1003"/>
      <c r="F1162" s="1003"/>
      <c r="G1162"/>
    </row>
    <row r="1163" spans="1:7" ht="12.75">
      <c r="D1163" s="1003"/>
      <c r="E1163" s="1003"/>
      <c r="F1163" s="1003"/>
      <c r="G1163"/>
    </row>
    <row r="1164" spans="1:7" ht="12.75">
      <c r="D1164" s="15"/>
      <c r="E1164" s="947" t="s">
        <v>2194</v>
      </c>
      <c r="F1164" s="15"/>
      <c r="G1164"/>
    </row>
    <row r="1165" spans="1:7" ht="12.75">
      <c r="D1165" s="15"/>
      <c r="E1165" s="15"/>
      <c r="F1165" s="15"/>
      <c r="G1165"/>
    </row>
    <row r="1166" spans="1:7" ht="12.75">
      <c r="D1166" s="1000" t="s">
        <v>2192</v>
      </c>
      <c r="E1166" s="1000"/>
      <c r="F1166" s="1000"/>
      <c r="G1166"/>
    </row>
    <row r="1167" spans="1:7" ht="12.75">
      <c r="A1167" s="191"/>
      <c r="B1167" s="191"/>
      <c r="C1167" s="191"/>
      <c r="D1167" s="1000"/>
      <c r="E1167" s="1000"/>
      <c r="F1167" s="1000"/>
      <c r="G1167"/>
    </row>
    <row r="1168" spans="1:7" ht="14.45" customHeight="1">
      <c r="A1168" s="191"/>
      <c r="B1168" s="191"/>
      <c r="C1168" s="191"/>
      <c r="D1168" s="1000"/>
      <c r="E1168" s="1000"/>
      <c r="F1168" s="1000"/>
      <c r="G1168"/>
    </row>
    <row r="1169" spans="1:7" ht="12.75">
      <c r="A1169" s="191"/>
      <c r="B1169" s="191"/>
      <c r="C1169" s="191"/>
      <c r="D1169" s="106"/>
      <c r="E1169" s="106"/>
      <c r="F1169" s="106"/>
      <c r="G1169"/>
    </row>
    <row r="1170" spans="1:7" ht="12.75">
      <c r="A1170" s="191"/>
      <c r="B1170" s="974" t="s">
        <v>1439</v>
      </c>
      <c r="C1170" s="191"/>
      <c r="D1170" s="986" t="s">
        <v>1750</v>
      </c>
      <c r="E1170" s="986"/>
      <c r="F1170" s="986"/>
      <c r="G1170"/>
    </row>
    <row r="1171" spans="1:7" ht="12.75">
      <c r="A1171" s="191"/>
      <c r="B1171" s="191"/>
      <c r="C1171" s="191"/>
      <c r="D1171" s="986"/>
      <c r="E1171" s="986"/>
      <c r="F1171" s="986"/>
      <c r="G1171"/>
    </row>
    <row r="1172" spans="1:7" ht="12.75">
      <c r="A1172" s="191"/>
      <c r="B1172" s="191"/>
      <c r="C1172" s="191"/>
      <c r="D1172" s="986"/>
      <c r="E1172" s="986"/>
      <c r="F1172" s="986"/>
      <c r="G1172"/>
    </row>
    <row r="1173" spans="1:7" ht="12.75">
      <c r="A1173" s="191"/>
      <c r="B1173" s="191"/>
      <c r="C1173" s="191"/>
      <c r="D1173" s="986"/>
      <c r="E1173" s="986"/>
      <c r="F1173" s="986"/>
      <c r="G1173"/>
    </row>
    <row r="1174" spans="1:7" ht="12.75">
      <c r="A1174" s="191"/>
      <c r="B1174" s="191"/>
      <c r="C1174" s="191"/>
      <c r="D1174" s="24"/>
      <c r="E1174" s="24"/>
      <c r="F1174" s="24"/>
      <c r="G1174"/>
    </row>
    <row r="1175" spans="1:7" ht="12.75">
      <c r="A1175" s="191"/>
      <c r="B1175" s="624" t="s">
        <v>132</v>
      </c>
      <c r="C1175" s="191"/>
      <c r="D1175" s="980" t="s">
        <v>1832</v>
      </c>
      <c r="E1175" s="986"/>
      <c r="F1175" s="986"/>
      <c r="G1175"/>
    </row>
    <row r="1176" spans="1:7" ht="12.75">
      <c r="A1176" s="191"/>
      <c r="B1176" s="191"/>
      <c r="C1176" s="191"/>
      <c r="D1176" s="986"/>
      <c r="E1176" s="986"/>
      <c r="F1176" s="986"/>
      <c r="G1176"/>
    </row>
    <row r="1177" spans="1:7" ht="12.75">
      <c r="A1177" s="191"/>
      <c r="B1177" s="191"/>
      <c r="C1177" s="191"/>
      <c r="D1177" s="24"/>
      <c r="E1177" s="24"/>
      <c r="F1177" s="24"/>
      <c r="G1177"/>
    </row>
    <row r="1178" spans="1:7" ht="14.25">
      <c r="A1178" s="271"/>
      <c r="B1178" s="974" t="s">
        <v>1439</v>
      </c>
      <c r="D1178" s="1006" t="s">
        <v>1741</v>
      </c>
      <c r="E1178" s="1006"/>
      <c r="F1178" s="1006"/>
      <c r="G1178"/>
    </row>
    <row r="1179" spans="1:7" ht="12.75">
      <c r="G1179"/>
    </row>
    <row r="1180" spans="1:7" ht="14.25">
      <c r="A1180" s="271"/>
      <c r="B1180" s="624" t="s">
        <v>132</v>
      </c>
      <c r="D1180" s="1006" t="s">
        <v>1742</v>
      </c>
      <c r="E1180" s="1006"/>
      <c r="F1180" s="1006"/>
      <c r="G1180"/>
    </row>
    <row r="1181" spans="1:7" ht="12.75">
      <c r="D1181" s="44"/>
      <c r="G1181"/>
    </row>
    <row r="1182" spans="1:7" ht="14.25">
      <c r="A1182" s="271"/>
      <c r="B1182" s="974" t="s">
        <v>1439</v>
      </c>
      <c r="D1182" s="1006" t="s">
        <v>1743</v>
      </c>
      <c r="E1182" s="1006"/>
      <c r="F1182" s="1006"/>
      <c r="G1182"/>
    </row>
    <row r="1183" spans="1:7" ht="12.75">
      <c r="D1183" s="44"/>
      <c r="G1183"/>
    </row>
    <row r="1184" spans="1:7" ht="14.25">
      <c r="A1184" s="271"/>
      <c r="B1184" s="624" t="s">
        <v>132</v>
      </c>
      <c r="D1184" s="986" t="s">
        <v>1744</v>
      </c>
      <c r="E1184" s="986"/>
      <c r="F1184" s="986"/>
      <c r="G1184"/>
    </row>
    <row r="1185" spans="1:7" ht="14.25">
      <c r="A1185" s="271"/>
      <c r="B1185" s="271"/>
      <c r="D1185" s="986"/>
      <c r="E1185" s="986"/>
      <c r="F1185" s="986"/>
      <c r="G1185"/>
    </row>
    <row r="1186" spans="1:7" ht="14.25">
      <c r="A1186" s="271"/>
      <c r="B1186" s="271"/>
      <c r="D1186" s="44"/>
    </row>
    <row r="1187" spans="1:7" s="460" customFormat="1" ht="14.25">
      <c r="A1187" s="289"/>
      <c r="B1187" s="624" t="s">
        <v>132</v>
      </c>
      <c r="C1187" s="290"/>
      <c r="D1187" s="1032" t="s">
        <v>1745</v>
      </c>
      <c r="E1187" s="1032"/>
      <c r="F1187" s="1032"/>
      <c r="G1187" s="292"/>
    </row>
    <row r="1188" spans="1:7" s="460" customFormat="1" ht="12.75">
      <c r="A1188" s="290"/>
      <c r="B1188" s="290"/>
      <c r="C1188" s="290"/>
      <c r="D1188" s="1032"/>
      <c r="E1188" s="1032"/>
      <c r="F1188" s="1032"/>
      <c r="G1188" s="292"/>
    </row>
    <row r="1189" spans="1:7" s="460" customFormat="1" ht="12.75">
      <c r="A1189" s="290"/>
      <c r="B1189" s="290"/>
      <c r="C1189" s="290"/>
      <c r="D1189" s="291"/>
      <c r="E1189" s="292"/>
      <c r="F1189" s="292"/>
      <c r="G1189" s="292"/>
    </row>
    <row r="1190" spans="1:7" s="460" customFormat="1" ht="14.25">
      <c r="A1190" s="289"/>
      <c r="B1190" s="624" t="s">
        <v>132</v>
      </c>
      <c r="C1190" s="290"/>
      <c r="D1190" s="1039" t="s">
        <v>1746</v>
      </c>
      <c r="E1190" s="1039"/>
      <c r="F1190" s="1039"/>
      <c r="G1190" s="292"/>
    </row>
    <row r="1191" spans="1:7" s="460" customFormat="1" ht="12.75">
      <c r="A1191" s="290"/>
      <c r="B1191" s="290"/>
      <c r="C1191" s="290"/>
      <c r="D1191" s="291"/>
      <c r="E1191" s="292"/>
      <c r="F1191" s="292"/>
      <c r="G1191" s="292"/>
    </row>
    <row r="1192" spans="1:7" ht="14.25">
      <c r="A1192" s="271"/>
      <c r="B1192" s="624" t="s">
        <v>132</v>
      </c>
      <c r="D1192" s="1006" t="s">
        <v>1747</v>
      </c>
      <c r="E1192" s="1006"/>
      <c r="F1192" s="1006"/>
    </row>
    <row r="1193" spans="1:7" ht="14.25">
      <c r="A1193" s="271"/>
      <c r="B1193" s="271"/>
      <c r="D1193" s="44"/>
    </row>
    <row r="1194" spans="1:7" ht="14.25">
      <c r="A1194" s="271"/>
      <c r="B1194" s="624" t="s">
        <v>132</v>
      </c>
      <c r="D1194" s="986" t="s">
        <v>1748</v>
      </c>
      <c r="E1194" s="986"/>
      <c r="F1194" s="986"/>
    </row>
    <row r="1195" spans="1:7" ht="14.25">
      <c r="A1195" s="271"/>
      <c r="B1195" s="271"/>
      <c r="D1195" s="986"/>
      <c r="E1195" s="986"/>
      <c r="F1195" s="986"/>
    </row>
    <row r="1196" spans="1:7" ht="12.75"/>
    <row r="1197" spans="1:7" ht="12.75">
      <c r="A1197" s="1011" t="s">
        <v>2110</v>
      </c>
      <c r="B1197" s="1011"/>
      <c r="C1197" s="1011"/>
      <c r="D1197" s="1011"/>
      <c r="E1197" s="1011"/>
      <c r="F1197" s="1011"/>
      <c r="G1197" s="1011"/>
    </row>
    <row r="1198" spans="1:7" ht="12.75"/>
    <row r="1199" spans="1:7" ht="12.75">
      <c r="A1199" s="1011" t="s">
        <v>1468</v>
      </c>
      <c r="B1199" s="1011"/>
      <c r="C1199" s="1011"/>
      <c r="D1199" s="1011"/>
      <c r="E1199" s="1011"/>
      <c r="F1199" s="1011"/>
      <c r="G1199" s="1011"/>
    </row>
    <row r="1200" spans="1:7" ht="12.75"/>
    <row r="1201" spans="1:7" ht="12.75">
      <c r="D1201" s="1037" t="s">
        <v>1580</v>
      </c>
      <c r="E1201" s="1037"/>
      <c r="F1201" s="1037"/>
    </row>
    <row r="1202" spans="1:7" ht="12.75">
      <c r="D1202" s="1038" t="s">
        <v>2011</v>
      </c>
      <c r="E1202" s="1038"/>
      <c r="F1202" s="1038"/>
    </row>
    <row r="1203" spans="1:7" ht="12.75">
      <c r="A1203" s="190"/>
      <c r="B1203" s="190"/>
      <c r="C1203" s="190"/>
    </row>
    <row r="1204" spans="1:7" ht="14.25">
      <c r="A1204" s="271"/>
      <c r="B1204" s="271"/>
      <c r="C1204" s="191"/>
      <c r="D1204" s="1037" t="s">
        <v>1581</v>
      </c>
      <c r="E1204" s="1037"/>
      <c r="F1204" s="1037"/>
    </row>
    <row r="1205" spans="1:7" ht="12.75">
      <c r="B1205" s="974" t="s">
        <v>1439</v>
      </c>
      <c r="D1205" s="1039" t="s">
        <v>1582</v>
      </c>
      <c r="E1205" s="1039"/>
      <c r="F1205" s="1039"/>
    </row>
    <row r="1206" spans="1:7" ht="12.75">
      <c r="D1206" s="1038" t="s">
        <v>2012</v>
      </c>
      <c r="E1206" s="1038"/>
      <c r="F1206" s="1038"/>
    </row>
    <row r="1207" spans="1:7" ht="12.75">
      <c r="G1207"/>
    </row>
    <row r="1208" spans="1:7" ht="12.75" customHeight="1">
      <c r="B1208" s="974" t="s">
        <v>1439</v>
      </c>
      <c r="D1208" s="1019" t="s">
        <v>1913</v>
      </c>
      <c r="E1208" s="1019"/>
      <c r="F1208" s="1019"/>
      <c r="G1208"/>
    </row>
    <row r="1209" spans="1:7" ht="12.75">
      <c r="D1209" s="1019"/>
      <c r="E1209" s="1019"/>
      <c r="F1209" s="1019"/>
      <c r="G1209"/>
    </row>
    <row r="1210" spans="1:7" ht="12.75">
      <c r="G1210"/>
    </row>
    <row r="1211" spans="1:7" ht="12.75" customHeight="1"/>
    <row r="1212" spans="1:7" ht="12.75">
      <c r="A1212" s="1011" t="s">
        <v>1470</v>
      </c>
      <c r="B1212" s="1011"/>
      <c r="C1212" s="1011"/>
      <c r="D1212" s="1011"/>
      <c r="E1212" s="1011"/>
      <c r="F1212" s="1011"/>
      <c r="G1212" s="1011"/>
    </row>
    <row r="1213" spans="1:7" ht="12.75">
      <c r="A1213" s="44"/>
      <c r="B1213" s="44"/>
    </row>
    <row r="1214" spans="1:7" ht="12.75" customHeight="1">
      <c r="A1214" s="44"/>
      <c r="B1214" s="44"/>
      <c r="D1214" s="1012" t="s">
        <v>1469</v>
      </c>
      <c r="E1214" s="1012"/>
      <c r="F1214" s="1012"/>
    </row>
    <row r="1215" spans="1:7" ht="12.75" customHeight="1">
      <c r="A1215" s="44"/>
      <c r="B1215" s="44"/>
      <c r="D1215" s="1006" t="s">
        <v>1476</v>
      </c>
      <c r="E1215" s="1006"/>
      <c r="F1215" s="1006"/>
    </row>
    <row r="1216" spans="1:7" ht="12.75" customHeight="1">
      <c r="A1216" s="44"/>
      <c r="B1216" s="44"/>
    </row>
    <row r="1217" spans="1:7" ht="14.25">
      <c r="A1217" s="271"/>
      <c r="B1217" s="624" t="s">
        <v>132</v>
      </c>
      <c r="D1217" s="1010" t="s">
        <v>1058</v>
      </c>
      <c r="E1217" s="1010"/>
      <c r="F1217" s="1010"/>
    </row>
    <row r="1218" spans="1:7" ht="12.75">
      <c r="D1218" s="1006" t="s">
        <v>1181</v>
      </c>
      <c r="E1218" s="1006"/>
      <c r="F1218" s="1006"/>
    </row>
    <row r="1219" spans="1:7" ht="12.75">
      <c r="E1219" s="1023" t="s">
        <v>2195</v>
      </c>
      <c r="F1219" s="1023"/>
    </row>
    <row r="1220" spans="1:7" ht="12.75">
      <c r="D1220" s="3"/>
    </row>
    <row r="1221" spans="1:7" ht="12.75">
      <c r="D1221" s="1036" t="s">
        <v>1326</v>
      </c>
      <c r="E1221" s="1036"/>
      <c r="F1221" s="1036"/>
    </row>
    <row r="1222" spans="1:7" ht="12.75">
      <c r="B1222" s="624" t="s">
        <v>132</v>
      </c>
      <c r="D1222" s="980" t="s">
        <v>2196</v>
      </c>
      <c r="E1222" s="986"/>
      <c r="F1222" s="986"/>
      <c r="G1222"/>
    </row>
    <row r="1223" spans="1:7" ht="12.75">
      <c r="D1223" s="986"/>
      <c r="E1223" s="986"/>
      <c r="F1223" s="986"/>
      <c r="G1223"/>
    </row>
    <row r="1224" spans="1:7" ht="12.75">
      <c r="D1224" s="516" t="s">
        <v>1329</v>
      </c>
      <c r="E1224"/>
      <c r="F1224"/>
      <c r="G1224"/>
    </row>
    <row r="1225" spans="1:7" ht="13.7" customHeight="1">
      <c r="D1225" s="980" t="s">
        <v>2197</v>
      </c>
      <c r="E1225" s="986"/>
      <c r="F1225" s="986"/>
      <c r="G1225"/>
    </row>
    <row r="1226" spans="1:7" ht="12.75">
      <c r="D1226" s="986"/>
      <c r="E1226" s="986"/>
      <c r="F1226" s="986"/>
      <c r="G1226"/>
    </row>
    <row r="1227" spans="1:7" ht="12.75">
      <c r="D1227" s="986"/>
      <c r="E1227" s="986"/>
      <c r="F1227" s="986"/>
      <c r="G1227"/>
    </row>
    <row r="1228" spans="1:7" ht="12.75">
      <c r="D1228" s="986"/>
      <c r="E1228" s="986"/>
      <c r="F1228" s="986"/>
      <c r="G1228"/>
    </row>
    <row r="1229" spans="1:7" ht="12.75">
      <c r="D1229" s="1023" t="s">
        <v>1061</v>
      </c>
      <c r="E1229" s="1023"/>
      <c r="F1229" s="1023"/>
      <c r="G1229"/>
    </row>
    <row r="1230" spans="1:7" ht="12.75">
      <c r="B1230" s="624" t="s">
        <v>132</v>
      </c>
      <c r="D1230" s="1010" t="s">
        <v>1327</v>
      </c>
      <c r="E1230" s="1010"/>
      <c r="F1230" s="1010"/>
      <c r="G1230"/>
    </row>
    <row r="1231" spans="1:7" ht="12.75">
      <c r="E1231"/>
      <c r="F1231"/>
      <c r="G1231"/>
    </row>
    <row r="1232" spans="1:7" ht="12.75">
      <c r="D1232" s="1018" t="s">
        <v>1328</v>
      </c>
      <c r="E1232" s="1018"/>
      <c r="F1232" s="1018"/>
      <c r="G1232"/>
    </row>
    <row r="1233" spans="1:7" ht="12.75">
      <c r="D1233" s="3" t="s">
        <v>1059</v>
      </c>
      <c r="E1233"/>
      <c r="F1233"/>
      <c r="G1233"/>
    </row>
    <row r="1234" spans="1:7" ht="14.45" customHeight="1">
      <c r="A1234" s="271"/>
      <c r="B1234" s="624" t="s">
        <v>132</v>
      </c>
      <c r="D1234" s="986" t="s">
        <v>1583</v>
      </c>
      <c r="E1234" s="986"/>
      <c r="F1234" s="986"/>
      <c r="G1234"/>
    </row>
    <row r="1235" spans="1:7" ht="14.25">
      <c r="A1235" s="271"/>
      <c r="B1235" s="271"/>
      <c r="D1235" s="986"/>
      <c r="E1235" s="986"/>
      <c r="F1235" s="986"/>
      <c r="G1235"/>
    </row>
    <row r="1236" spans="1:7" ht="14.25">
      <c r="A1236" s="271"/>
      <c r="B1236" s="271"/>
      <c r="D1236" s="986"/>
      <c r="E1236" s="986"/>
      <c r="F1236" s="986"/>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6" t="s">
        <v>1584</v>
      </c>
      <c r="E1239" s="986"/>
      <c r="F1239" s="986"/>
    </row>
    <row r="1240" spans="1:7" ht="14.25">
      <c r="A1240" s="271"/>
      <c r="B1240" s="271"/>
      <c r="D1240" s="986"/>
      <c r="E1240" s="986"/>
      <c r="F1240" s="986"/>
    </row>
    <row r="1241" spans="1:7" ht="14.25">
      <c r="A1241" s="271"/>
      <c r="B1241" s="271"/>
      <c r="D1241" s="986"/>
      <c r="E1241" s="986"/>
      <c r="F1241" s="986"/>
    </row>
    <row r="1242" spans="1:7" ht="14.25">
      <c r="A1242" s="271"/>
      <c r="B1242" s="271"/>
      <c r="D1242" s="986"/>
      <c r="E1242" s="986"/>
      <c r="F1242" s="986"/>
    </row>
    <row r="1243" spans="1:7" ht="14.25">
      <c r="A1243" s="271"/>
      <c r="B1243" s="271"/>
      <c r="D1243" s="986"/>
      <c r="E1243" s="986"/>
      <c r="F1243" s="986"/>
    </row>
    <row r="1244" spans="1:7" ht="12.75" customHeight="1">
      <c r="A1244" s="44"/>
      <c r="B1244" s="44"/>
    </row>
    <row r="1245" spans="1:7" ht="12.75">
      <c r="A1245" s="1011" t="s">
        <v>1504</v>
      </c>
      <c r="B1245" s="1011"/>
      <c r="C1245" s="1011"/>
      <c r="D1245" s="1011"/>
      <c r="E1245" s="1011"/>
      <c r="F1245" s="1011"/>
      <c r="G1245" s="1011"/>
    </row>
    <row r="1246" spans="1:7" ht="12.75">
      <c r="A1246" s="44"/>
      <c r="B1246" s="44"/>
    </row>
    <row r="1247" spans="1:7" ht="12.75">
      <c r="A1247" s="44"/>
      <c r="B1247" s="44"/>
      <c r="D1247" s="1020" t="s">
        <v>1505</v>
      </c>
      <c r="E1247" s="1020"/>
      <c r="F1247" s="1020"/>
    </row>
    <row r="1248" spans="1:7" ht="12.75">
      <c r="A1248" s="268"/>
      <c r="B1248" s="268"/>
      <c r="C1248" s="268"/>
      <c r="D1248" s="1010" t="s">
        <v>1518</v>
      </c>
      <c r="E1248" s="1010"/>
      <c r="F1248" s="1010"/>
      <c r="G1248" s="269"/>
    </row>
    <row r="1249" spans="1:7" ht="10.5" customHeight="1"/>
    <row r="1250" spans="1:7" ht="14.25">
      <c r="A1250" s="271"/>
      <c r="B1250" s="624" t="s">
        <v>132</v>
      </c>
      <c r="D1250" s="1010" t="s">
        <v>1182</v>
      </c>
      <c r="E1250" s="1010"/>
      <c r="F1250" s="1010"/>
    </row>
    <row r="1251" spans="1:7" ht="12.75">
      <c r="E1251" s="1023" t="s">
        <v>2198</v>
      </c>
      <c r="F1251" s="1023"/>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110" zoomScaleNormal="110" workbookViewId="0">
      <selection activeCell="L909" sqref="L909:S90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2.95" customHeight="1">
      <c r="A10" s="1414" t="s">
        <v>2355</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2.95" customHeight="1">
      <c r="A11" s="1415" t="s">
        <v>2338</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2.95" customHeight="1">
      <c r="A12" s="976" t="s">
        <v>1964</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5"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9" t="s">
        <v>2358</v>
      </c>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row>
    <row r="16" spans="1:45" ht="12.95" customHeight="1"/>
    <row r="17" spans="1:40" ht="12.95" customHeight="1">
      <c r="A17" s="63" t="s">
        <v>831</v>
      </c>
      <c r="C17" s="5"/>
      <c r="D17" s="5"/>
      <c r="E17" s="5"/>
      <c r="F17" s="5"/>
      <c r="G17" s="5"/>
      <c r="H17" s="1292" t="s">
        <v>2359</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2.95" customHeight="1"/>
    <row r="19" spans="1:40" ht="12.95" customHeight="1">
      <c r="A19" s="995" t="s">
        <v>1148</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row>
    <row r="20" spans="1:40" ht="12.95" customHeight="1">
      <c r="A20" s="1417" t="s">
        <v>1404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2">
        <f>ROUND('Basis &amp; Credits'!AB55,0)</f>
        <v>2500000</v>
      </c>
      <c r="N25" s="1392"/>
      <c r="O25" s="1392"/>
      <c r="P25" s="1392"/>
      <c r="Q25" s="1392"/>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2">
        <f>'Basis &amp; Credits'!AB76</f>
        <v>4847061</v>
      </c>
      <c r="N27" s="1392"/>
      <c r="O27" s="1392"/>
      <c r="P27" s="1392"/>
      <c r="Q27" s="1392"/>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20" t="s">
        <v>116</v>
      </c>
      <c r="P33" s="1120"/>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2"/>
      <c r="H128" s="1122"/>
      <c r="I128" s="41" t="s">
        <v>441</v>
      </c>
      <c r="J128" s="41"/>
      <c r="L128" s="1305"/>
      <c r="M128" s="1305"/>
      <c r="N128" s="1305"/>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5"/>
      <c r="D130" s="1305"/>
      <c r="E130" s="1305"/>
      <c r="F130" s="1305"/>
      <c r="G130" s="1305"/>
      <c r="H130" s="1305"/>
      <c r="I130" s="1305"/>
      <c r="J130" s="1305"/>
      <c r="K130" s="1305"/>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2"/>
      <c r="Z131" s="1121"/>
      <c r="AA131" s="1121"/>
      <c r="AB131" s="1121"/>
      <c r="AC131" s="1121"/>
      <c r="AD131" s="1121"/>
      <c r="AE131" s="1121"/>
      <c r="AF131" s="1121"/>
      <c r="AG131" s="1121"/>
      <c r="AH131" s="1121"/>
      <c r="AI131" s="1121"/>
      <c r="AJ131" s="1121"/>
      <c r="AK131" s="112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2"/>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292" t="s">
        <v>2360</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84</v>
      </c>
    </row>
    <row r="157" spans="1:72" ht="12.95" customHeight="1">
      <c r="D157" s="340" t="s">
        <v>574</v>
      </c>
      <c r="O157" s="1146" t="s">
        <v>2361</v>
      </c>
      <c r="P157" s="1291"/>
      <c r="Q157" s="1291"/>
      <c r="R157" s="1291"/>
      <c r="S157" s="1291"/>
      <c r="T157" s="1291"/>
      <c r="U157" s="1291"/>
      <c r="V157" s="1291"/>
      <c r="W157" s="1291"/>
      <c r="X157" s="1291"/>
      <c r="Y157" s="1291"/>
      <c r="Z157" s="1291"/>
      <c r="AA157" s="1291"/>
      <c r="AB157" s="1291"/>
      <c r="AC157" s="1291"/>
      <c r="AD157" s="1291"/>
      <c r="AE157" s="1291"/>
      <c r="AF157" s="1291"/>
      <c r="AG157" s="1291"/>
      <c r="AH157" s="1291"/>
      <c r="AI157" t="s">
        <v>745</v>
      </c>
      <c r="BN157" s="30" t="s">
        <v>451</v>
      </c>
      <c r="BT157" t="s">
        <v>31</v>
      </c>
    </row>
    <row r="158" spans="1:72" ht="12.95" customHeight="1">
      <c r="D158" s="12" t="s">
        <v>575</v>
      </c>
      <c r="F158" s="12"/>
      <c r="G158" s="12"/>
      <c r="H158" s="12"/>
      <c r="I158" s="12"/>
      <c r="J158" s="12"/>
      <c r="K158" s="12"/>
      <c r="L158" s="12"/>
      <c r="M158" s="12"/>
      <c r="N158" s="12"/>
      <c r="O158" s="1303" t="s">
        <v>576</v>
      </c>
      <c r="P158" s="1303"/>
      <c r="Q158" s="1303"/>
      <c r="R158" s="1303"/>
      <c r="S158" s="1303"/>
      <c r="T158" s="1303"/>
      <c r="U158" s="1303"/>
      <c r="V158" s="1303"/>
      <c r="W158" s="1303"/>
      <c r="X158" s="1303"/>
      <c r="Y158" s="1303"/>
      <c r="Z158" s="1303"/>
      <c r="AA158" s="1303"/>
      <c r="AB158" s="1303"/>
      <c r="AC158" s="1303"/>
      <c r="AD158" s="1303"/>
      <c r="AE158" s="1303"/>
      <c r="AF158" s="1303"/>
      <c r="AG158" s="1303"/>
      <c r="AH158" s="1303"/>
      <c r="BN158" s="30" t="s">
        <v>452</v>
      </c>
      <c r="BT158" t="s">
        <v>32</v>
      </c>
    </row>
    <row r="159" spans="1:72" ht="12.95" customHeight="1">
      <c r="D159" t="s">
        <v>683</v>
      </c>
      <c r="O159" s="1095" t="s">
        <v>2362</v>
      </c>
      <c r="P159" s="1095"/>
      <c r="Q159" s="1095"/>
      <c r="R159" s="1095"/>
      <c r="S159" s="1095"/>
      <c r="T159" s="1095"/>
      <c r="U159" s="1095"/>
      <c r="V159" s="1095"/>
      <c r="W159" s="1095"/>
      <c r="X159" s="1095"/>
      <c r="Y159" s="1095"/>
      <c r="Z159" s="1095"/>
      <c r="AA159" s="1095"/>
      <c r="AB159" s="1095"/>
      <c r="AC159" s="1095"/>
      <c r="AD159" s="1095"/>
      <c r="AE159" s="1095"/>
      <c r="AF159" s="1095"/>
      <c r="AG159" s="1095"/>
      <c r="AH159" s="1095"/>
      <c r="BN159" s="30" t="s">
        <v>78</v>
      </c>
      <c r="BT159" t="s">
        <v>413</v>
      </c>
    </row>
    <row r="160" spans="1:72" ht="12.95" customHeight="1">
      <c r="D160" t="s">
        <v>684</v>
      </c>
      <c r="O160" s="1292" t="s">
        <v>2363</v>
      </c>
      <c r="P160" s="1121"/>
      <c r="Q160" s="1121"/>
      <c r="R160" s="1121"/>
      <c r="S160" s="1121"/>
      <c r="T160" s="1121"/>
      <c r="U160" s="1121"/>
      <c r="V160" s="1121"/>
      <c r="W160" s="1121"/>
      <c r="X160" s="1121"/>
      <c r="Y160" s="12"/>
      <c r="Z160" s="12"/>
      <c r="AA160" s="12"/>
      <c r="AB160" s="12"/>
      <c r="AC160" s="12"/>
      <c r="AD160" s="12"/>
      <c r="AE160" s="12"/>
      <c r="AF160" s="12"/>
      <c r="BN160" s="30" t="s">
        <v>80</v>
      </c>
      <c r="BT160" t="s">
        <v>414</v>
      </c>
    </row>
    <row r="161" spans="1:72" ht="12.95" customHeight="1">
      <c r="D161" t="s">
        <v>685</v>
      </c>
      <c r="O161" s="1308">
        <v>94301</v>
      </c>
      <c r="P161" s="1308"/>
      <c r="Q161" s="1308"/>
      <c r="R161" s="1308"/>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96" t="s">
        <v>2364</v>
      </c>
      <c r="P162" s="1296"/>
      <c r="Q162" s="1296"/>
      <c r="R162" s="1296"/>
      <c r="S162" s="1296"/>
      <c r="T162" s="1296"/>
      <c r="V162" s="179" t="s">
        <v>12</v>
      </c>
      <c r="W162" s="1309"/>
      <c r="X162" s="1309"/>
      <c r="Y162" s="14"/>
      <c r="Z162" s="14"/>
      <c r="AA162" s="14"/>
      <c r="AB162" s="14"/>
      <c r="AC162" s="14"/>
      <c r="AD162" s="14"/>
      <c r="AE162" s="14"/>
      <c r="AF162" s="14"/>
      <c r="BJ162" t="s">
        <v>116</v>
      </c>
      <c r="BN162" s="30" t="s">
        <v>82</v>
      </c>
      <c r="BT162" t="s">
        <v>416</v>
      </c>
    </row>
    <row r="163" spans="1:72" ht="12.95" customHeight="1">
      <c r="D163" t="s">
        <v>687</v>
      </c>
      <c r="O163" s="1296" t="s">
        <v>2365</v>
      </c>
      <c r="P163" s="1296"/>
      <c r="Q163" s="1296"/>
      <c r="R163" s="1296"/>
      <c r="S163" s="1296"/>
      <c r="T163" s="1296"/>
      <c r="U163" s="14"/>
      <c r="V163" s="14"/>
      <c r="W163" s="14"/>
      <c r="X163" s="14"/>
      <c r="Y163" s="14"/>
      <c r="Z163" s="14"/>
      <c r="AA163" s="14"/>
      <c r="AB163" s="14"/>
      <c r="AC163" s="14"/>
      <c r="AD163" s="14"/>
      <c r="AE163" s="14"/>
      <c r="AF163" s="14"/>
      <c r="BN163" s="30" t="s">
        <v>505</v>
      </c>
      <c r="BT163" t="s">
        <v>417</v>
      </c>
    </row>
    <row r="164" spans="1:72" ht="12.95" customHeight="1">
      <c r="D164" t="s">
        <v>688</v>
      </c>
      <c r="O164" s="1145" t="s">
        <v>2366</v>
      </c>
      <c r="P164" s="1145"/>
      <c r="Q164" s="1145"/>
      <c r="R164" s="1145"/>
      <c r="S164" s="1145"/>
      <c r="T164" s="1145"/>
      <c r="U164" s="1145"/>
      <c r="V164" s="1145"/>
      <c r="W164" s="1145"/>
      <c r="X164" s="1145"/>
      <c r="Y164" s="1145"/>
      <c r="Z164" s="1145"/>
      <c r="AA164" s="1145"/>
      <c r="AB164" s="1145"/>
      <c r="AC164" s="1145"/>
      <c r="AD164" s="1145"/>
      <c r="AE164" s="1145"/>
      <c r="AF164" s="1145"/>
      <c r="AG164" s="1145"/>
      <c r="AH164" s="1145"/>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7" t="s">
        <v>2018</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4" t="s">
        <v>404</v>
      </c>
      <c r="B169" s="1294"/>
      <c r="C169" s="1294"/>
      <c r="D169" s="1294"/>
      <c r="E169" s="1294"/>
      <c r="F169" s="1294"/>
      <c r="G169" s="1294"/>
      <c r="H169" s="1294"/>
      <c r="I169" s="1294"/>
      <c r="J169" s="1294"/>
      <c r="K169" s="1294"/>
      <c r="L169" s="1294"/>
      <c r="M169" s="1294"/>
      <c r="N169" s="1294"/>
      <c r="O169" s="1294"/>
      <c r="P169" s="1294"/>
      <c r="Q169" s="1294"/>
      <c r="R169" s="1294"/>
      <c r="S169" s="1294"/>
      <c r="T169" s="1294"/>
      <c r="U169" s="1294"/>
      <c r="V169" s="1294"/>
      <c r="W169" s="1294"/>
      <c r="X169" s="1294"/>
      <c r="Y169" s="1294"/>
      <c r="Z169" s="1294"/>
      <c r="AA169" s="1294"/>
      <c r="AB169" s="1294"/>
      <c r="AC169" s="1294"/>
      <c r="AD169" s="1294"/>
      <c r="AE169" s="1294"/>
      <c r="AF169" s="1294"/>
      <c r="AG169" s="1294"/>
      <c r="AH169" s="1294"/>
      <c r="AI169" s="1294"/>
      <c r="AJ169" s="1294"/>
      <c r="AK169" s="1294"/>
      <c r="AL169" s="1294"/>
      <c r="BN169" s="30" t="s">
        <v>515</v>
      </c>
      <c r="BT169" t="s">
        <v>423</v>
      </c>
    </row>
    <row r="170" spans="1:72" ht="12.95" customHeight="1" thickBot="1">
      <c r="A170" s="1295"/>
      <c r="B170" s="1295"/>
      <c r="C170" s="1295"/>
      <c r="D170" s="1295"/>
      <c r="E170" s="1295"/>
      <c r="F170" s="1295"/>
      <c r="G170" s="1295"/>
      <c r="H170" s="1295"/>
      <c r="I170" s="1295"/>
      <c r="J170" s="1295"/>
      <c r="K170" s="1295"/>
      <c r="L170" s="1295"/>
      <c r="M170" s="1295"/>
      <c r="N170" s="1295"/>
      <c r="O170" s="1295"/>
      <c r="P170" s="1295"/>
      <c r="Q170" s="1295"/>
      <c r="R170" s="1295"/>
      <c r="S170" s="1295"/>
      <c r="T170" s="1295"/>
      <c r="U170" s="1295"/>
      <c r="V170" s="1295"/>
      <c r="W170" s="1295"/>
      <c r="X170" s="1295"/>
      <c r="Y170" s="1295"/>
      <c r="Z170" s="1295"/>
      <c r="AA170" s="1295"/>
      <c r="AB170" s="1295"/>
      <c r="AC170" s="1295"/>
      <c r="AD170" s="1295"/>
      <c r="AE170" s="1295"/>
      <c r="AF170" s="1295"/>
      <c r="AG170" s="1295"/>
      <c r="AH170" s="1295"/>
      <c r="AI170" s="1295"/>
      <c r="AJ170" s="1295"/>
      <c r="AK170" s="1295"/>
      <c r="AL170" s="1295"/>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4" t="s">
        <v>536</v>
      </c>
      <c r="K173" s="1304"/>
      <c r="L173" s="1304"/>
      <c r="M173" s="1304"/>
      <c r="N173" s="1304"/>
      <c r="O173" s="1304"/>
      <c r="P173" s="1304"/>
      <c r="Q173" s="1304"/>
      <c r="R173" s="1304"/>
      <c r="S173" s="1304"/>
      <c r="U173" s="32"/>
      <c r="X173" s="32"/>
      <c r="BN173" s="30" t="s">
        <v>520</v>
      </c>
      <c r="BT173" t="s">
        <v>427</v>
      </c>
    </row>
    <row r="174" spans="1:72" ht="12.95" customHeight="1">
      <c r="C174" s="31"/>
      <c r="D174" t="s">
        <v>467</v>
      </c>
      <c r="U174" s="1120" t="s">
        <v>116</v>
      </c>
      <c r="V174" s="1120"/>
      <c r="BN174" s="30" t="s">
        <v>630</v>
      </c>
      <c r="BT174" t="s">
        <v>428</v>
      </c>
    </row>
    <row r="175" spans="1:72" ht="12.95" customHeight="1">
      <c r="C175" s="12"/>
      <c r="D175" s="33"/>
      <c r="E175" t="s">
        <v>245</v>
      </c>
      <c r="O175" s="34"/>
      <c r="P175" t="s">
        <v>2228</v>
      </c>
      <c r="T175" s="34" t="s">
        <v>246</v>
      </c>
      <c r="U175" s="1098">
        <v>22</v>
      </c>
      <c r="V175" s="1098"/>
      <c r="W175" s="1" t="s">
        <v>247</v>
      </c>
      <c r="X175" s="1306">
        <v>555</v>
      </c>
      <c r="Y175" s="1306"/>
      <c r="BN175" s="30" t="s">
        <v>631</v>
      </c>
      <c r="BT175" t="s">
        <v>429</v>
      </c>
    </row>
    <row r="176" spans="1:72" ht="12.95" customHeight="1">
      <c r="C176" s="31"/>
      <c r="D176" t="s">
        <v>294</v>
      </c>
      <c r="U176" s="1120" t="s">
        <v>511</v>
      </c>
      <c r="V176" s="1120"/>
      <c r="BN176" s="30" t="s">
        <v>633</v>
      </c>
      <c r="BT176" t="s">
        <v>430</v>
      </c>
    </row>
    <row r="177" spans="1:72" ht="12.95" customHeight="1">
      <c r="C177" s="31"/>
      <c r="D177" s="365" t="s">
        <v>1285</v>
      </c>
      <c r="BN177" s="30" t="s">
        <v>634</v>
      </c>
      <c r="BT177" t="s">
        <v>431</v>
      </c>
    </row>
    <row r="178" spans="1:72" ht="12.95" customHeight="1">
      <c r="C178" s="31"/>
      <c r="E178" s="365" t="s">
        <v>2228</v>
      </c>
      <c r="F178" s="365"/>
      <c r="G178" s="365"/>
      <c r="I178" s="960" t="s">
        <v>246</v>
      </c>
      <c r="J178" s="1405"/>
      <c r="K178" s="1405"/>
      <c r="L178" s="374" t="s">
        <v>247</v>
      </c>
      <c r="M178" s="1123"/>
      <c r="N178" s="1123"/>
      <c r="O178" s="365"/>
      <c r="P178" s="365"/>
      <c r="Q178" s="365"/>
      <c r="R178" s="365"/>
      <c r="U178" s="365" t="s">
        <v>1286</v>
      </c>
      <c r="V178" s="365"/>
      <c r="W178" s="365"/>
      <c r="X178" s="365"/>
      <c r="Y178" s="365"/>
      <c r="Z178" s="365"/>
      <c r="AA178" s="365"/>
      <c r="AB178" s="365"/>
      <c r="AD178" s="1406"/>
      <c r="AE178" s="1406"/>
      <c r="AF178" s="1406"/>
      <c r="AG178" s="1406"/>
      <c r="AH178" s="1406"/>
      <c r="BN178" s="30" t="s">
        <v>635</v>
      </c>
      <c r="BT178" t="s">
        <v>432</v>
      </c>
    </row>
    <row r="179" spans="1:72" ht="12.95" customHeight="1">
      <c r="C179" s="31"/>
      <c r="BN179" s="30" t="s">
        <v>636</v>
      </c>
      <c r="BT179" t="s">
        <v>433</v>
      </c>
    </row>
    <row r="180" spans="1:72" ht="12.95" customHeight="1">
      <c r="C180" s="12"/>
      <c r="D180" t="s">
        <v>2229</v>
      </c>
      <c r="O180" s="365"/>
      <c r="P180" s="365"/>
      <c r="Q180" s="365"/>
      <c r="R180" s="365"/>
      <c r="Y180" s="1120" t="s">
        <v>511</v>
      </c>
      <c r="Z180" s="1299"/>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302" t="str">
        <f>H17</f>
        <v>Mitchell Park Place</v>
      </c>
      <c r="J184" s="1302"/>
      <c r="K184" s="1302"/>
      <c r="L184" s="1302"/>
      <c r="M184" s="1302"/>
      <c r="N184" s="1302"/>
      <c r="O184" s="1302"/>
      <c r="P184" s="1302"/>
      <c r="Q184" s="1302"/>
      <c r="R184" s="1302"/>
      <c r="S184" s="1302"/>
      <c r="T184" s="1302"/>
      <c r="U184" s="1302"/>
      <c r="V184" s="1302"/>
      <c r="W184" s="1302"/>
      <c r="X184" s="1302"/>
      <c r="Y184" s="1302"/>
      <c r="Z184" s="1302"/>
      <c r="AA184" s="1302"/>
      <c r="AB184" s="1302"/>
      <c r="AC184" s="1302"/>
      <c r="AD184" s="1302"/>
      <c r="AE184" s="1302"/>
      <c r="BC184" t="s">
        <v>128</v>
      </c>
      <c r="BN184" s="30" t="s">
        <v>605</v>
      </c>
      <c r="BT184" t="s">
        <v>438</v>
      </c>
    </row>
    <row r="185" spans="1:72" ht="12.95" customHeight="1">
      <c r="C185" s="29"/>
      <c r="D185" t="s">
        <v>458</v>
      </c>
      <c r="I185" s="1096" t="s">
        <v>2367</v>
      </c>
      <c r="J185" s="1096"/>
      <c r="K185" s="1096"/>
      <c r="L185" s="1096"/>
      <c r="M185" s="1096"/>
      <c r="N185" s="1096"/>
      <c r="O185" s="1096"/>
      <c r="P185" s="1096"/>
      <c r="Q185" s="1096"/>
      <c r="R185" s="1096"/>
      <c r="S185" s="1096"/>
      <c r="T185" s="1096"/>
      <c r="U185" s="1096"/>
      <c r="V185" s="1096"/>
      <c r="W185" s="1096"/>
      <c r="X185" s="1096"/>
      <c r="Y185" s="1096"/>
      <c r="Z185" s="1096"/>
      <c r="AA185" s="1096"/>
      <c r="AB185" s="1096"/>
      <c r="AC185" s="1096"/>
      <c r="AD185" s="1096"/>
      <c r="AE185" s="1096"/>
      <c r="BC185" s="41" t="s">
        <v>129</v>
      </c>
      <c r="BN185" s="30" t="s">
        <v>606</v>
      </c>
      <c r="BT185" t="s">
        <v>880</v>
      </c>
    </row>
    <row r="186" spans="1:72" ht="12.95" customHeight="1">
      <c r="C186" s="29"/>
      <c r="E186" t="s">
        <v>66</v>
      </c>
      <c r="BN186" s="30" t="s">
        <v>607</v>
      </c>
      <c r="BT186" t="s">
        <v>881</v>
      </c>
    </row>
    <row r="187" spans="1:72" ht="12.95"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2.95"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2.95" customHeight="1">
      <c r="C189" s="29"/>
      <c r="D189" t="s">
        <v>459</v>
      </c>
      <c r="I189" s="1095" t="s">
        <v>2363</v>
      </c>
      <c r="J189" s="1095"/>
      <c r="K189" s="1095"/>
      <c r="L189" s="1095"/>
      <c r="M189" s="1095"/>
      <c r="N189" s="1095"/>
      <c r="O189" s="1095"/>
      <c r="P189" s="1095"/>
      <c r="Q189" t="s">
        <v>461</v>
      </c>
      <c r="T189" s="1095" t="s">
        <v>845</v>
      </c>
      <c r="U189" s="1095"/>
      <c r="V189" s="1095"/>
      <c r="W189" s="1095"/>
      <c r="X189" s="1095"/>
      <c r="Y189" s="1095"/>
      <c r="Z189" s="1095"/>
      <c r="AA189" s="1095"/>
      <c r="AB189" s="1095"/>
      <c r="AC189" s="1095"/>
      <c r="AD189" s="1095"/>
      <c r="AE189" s="1095"/>
      <c r="BC189" t="s">
        <v>84</v>
      </c>
      <c r="BH189" s="41" t="s">
        <v>132</v>
      </c>
      <c r="BN189" s="30" t="s">
        <v>611</v>
      </c>
      <c r="BT189" t="s">
        <v>117</v>
      </c>
    </row>
    <row r="190" spans="1:72" ht="12.95" customHeight="1">
      <c r="C190" s="29"/>
      <c r="D190" t="s">
        <v>462</v>
      </c>
      <c r="I190" s="1096">
        <v>94306</v>
      </c>
      <c r="J190" s="1096"/>
      <c r="K190" s="1096"/>
      <c r="L190" s="1096"/>
      <c r="M190" s="1096"/>
      <c r="N190" s="1096"/>
      <c r="O190" t="s">
        <v>464</v>
      </c>
      <c r="T190" s="1297">
        <v>5108.03</v>
      </c>
      <c r="U190" s="1297"/>
      <c r="V190" s="1297"/>
      <c r="W190" s="1297"/>
      <c r="X190" s="1297"/>
      <c r="Y190" s="1297"/>
      <c r="Z190" s="1297"/>
      <c r="AA190" s="1297"/>
      <c r="AB190" s="1297"/>
      <c r="AC190" s="1297"/>
      <c r="AD190" s="1297"/>
      <c r="AE190" s="1297"/>
      <c r="BC190" t="s">
        <v>699</v>
      </c>
      <c r="BH190" t="s">
        <v>699</v>
      </c>
      <c r="BN190" s="30" t="s">
        <v>450</v>
      </c>
      <c r="BT190" t="s">
        <v>118</v>
      </c>
    </row>
    <row r="191" spans="1:72" ht="12.95" customHeight="1">
      <c r="C191" s="29"/>
      <c r="D191" t="s">
        <v>89</v>
      </c>
      <c r="N191" s="1407" t="s">
        <v>2368</v>
      </c>
      <c r="O191" s="1407"/>
      <c r="P191" s="1407"/>
      <c r="Q191" s="1407"/>
      <c r="R191" s="1407"/>
      <c r="S191" s="1407"/>
      <c r="T191" s="1407"/>
      <c r="U191" s="1407"/>
      <c r="V191" s="1407"/>
      <c r="W191" s="1407"/>
      <c r="X191" s="1407"/>
      <c r="Y191" s="1407"/>
      <c r="Z191" s="1407"/>
      <c r="AA191" s="1407"/>
      <c r="AB191" s="1407"/>
      <c r="AC191" s="1407"/>
      <c r="AD191" s="1407"/>
      <c r="AE191" s="1407"/>
      <c r="BC191" t="s">
        <v>1487</v>
      </c>
      <c r="BH191" t="s">
        <v>1487</v>
      </c>
      <c r="BN191" s="30" t="s">
        <v>613</v>
      </c>
      <c r="BT191" t="s">
        <v>119</v>
      </c>
    </row>
    <row r="192" spans="1:72" ht="12.95"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700</v>
      </c>
      <c r="BH192" s="5" t="s">
        <v>1494</v>
      </c>
      <c r="BN192" s="30" t="s">
        <v>614</v>
      </c>
      <c r="BT192" t="s">
        <v>120</v>
      </c>
    </row>
    <row r="193" spans="1:73" ht="12.95" customHeight="1">
      <c r="C193" s="29"/>
      <c r="D193" t="s">
        <v>465</v>
      </c>
      <c r="T193" s="1120" t="s">
        <v>116</v>
      </c>
      <c r="U193" s="1120"/>
      <c r="W193" s="41" t="s">
        <v>1981</v>
      </c>
      <c r="AA193" s="1288">
        <v>2023</v>
      </c>
      <c r="AB193" s="1288"/>
      <c r="AC193" s="1288"/>
      <c r="BC193" t="s">
        <v>595</v>
      </c>
      <c r="BH193" s="5" t="s">
        <v>1495</v>
      </c>
      <c r="BN193" s="30" t="s">
        <v>615</v>
      </c>
      <c r="BT193" t="s">
        <v>121</v>
      </c>
    </row>
    <row r="194" spans="1:73" ht="12.95" customHeight="1">
      <c r="C194" s="29"/>
      <c r="D194" t="s">
        <v>126</v>
      </c>
      <c r="T194" s="1110" t="s">
        <v>511</v>
      </c>
      <c r="U194" s="1110"/>
      <c r="W194" t="s">
        <v>67</v>
      </c>
      <c r="AI194" s="1120" t="s">
        <v>511</v>
      </c>
      <c r="AJ194" s="1120"/>
      <c r="AX194" s="5" t="s">
        <v>132</v>
      </c>
      <c r="BC194" t="s">
        <v>651</v>
      </c>
      <c r="BN194" s="30" t="s">
        <v>790</v>
      </c>
      <c r="BT194" t="s">
        <v>122</v>
      </c>
    </row>
    <row r="195" spans="1:73" ht="12.95" customHeight="1">
      <c r="C195" s="29"/>
      <c r="D195" s="41" t="s">
        <v>1810</v>
      </c>
      <c r="T195" s="1110" t="s">
        <v>511</v>
      </c>
      <c r="U195" s="1110"/>
      <c r="X195" s="817" t="s">
        <v>2230</v>
      </c>
      <c r="AX195" s="5" t="s">
        <v>1198</v>
      </c>
      <c r="BN195" s="30" t="s">
        <v>791</v>
      </c>
      <c r="BT195" t="s">
        <v>123</v>
      </c>
    </row>
    <row r="196" spans="1:73" ht="12.95" customHeight="1">
      <c r="C196" s="29"/>
      <c r="D196" s="5" t="s">
        <v>1203</v>
      </c>
      <c r="T196" s="1110" t="s">
        <v>116</v>
      </c>
      <c r="U196" s="1110"/>
      <c r="AK196" s="1287"/>
      <c r="AL196" s="1287"/>
      <c r="AX196" s="41" t="s">
        <v>2329</v>
      </c>
      <c r="BN196" s="30" t="s">
        <v>792</v>
      </c>
      <c r="BT196" t="s">
        <v>124</v>
      </c>
    </row>
    <row r="197" spans="1:73" ht="12.95" customHeight="1">
      <c r="C197" s="29"/>
      <c r="D197" s="41" t="s">
        <v>1982</v>
      </c>
      <c r="T197" s="1120" t="s">
        <v>511</v>
      </c>
      <c r="U197" s="1120"/>
      <c r="AX197" s="5" t="s">
        <v>1199</v>
      </c>
      <c r="BC197" t="s">
        <v>84</v>
      </c>
      <c r="BN197" s="30" t="s">
        <v>793</v>
      </c>
      <c r="BT197" t="s">
        <v>125</v>
      </c>
    </row>
    <row r="198" spans="1:73" ht="12.95" customHeight="1">
      <c r="C198" s="29"/>
      <c r="D198" s="41" t="s">
        <v>2010</v>
      </c>
      <c r="W198" s="1300" t="s">
        <v>511</v>
      </c>
      <c r="X198" s="1120"/>
      <c r="AX198" s="5" t="s">
        <v>1200</v>
      </c>
      <c r="BC198" t="s">
        <v>1150</v>
      </c>
      <c r="BN198" s="30" t="s">
        <v>794</v>
      </c>
      <c r="BT198" t="s">
        <v>844</v>
      </c>
    </row>
    <row r="199" spans="1:73" ht="12.95" customHeight="1">
      <c r="C199" s="29"/>
      <c r="L199" s="310"/>
      <c r="M199" s="310"/>
      <c r="N199" s="310"/>
      <c r="O199" s="310"/>
      <c r="P199" s="310"/>
      <c r="Q199" s="942" t="s">
        <v>2231</v>
      </c>
      <c r="R199" s="1292" t="s">
        <v>2118</v>
      </c>
      <c r="S199" s="1292"/>
      <c r="T199" s="1292"/>
      <c r="U199" s="1292"/>
      <c r="V199" s="1292"/>
      <c r="W199" s="1292"/>
      <c r="X199" s="1292"/>
      <c r="Y199" s="1292"/>
      <c r="Z199" s="1292"/>
      <c r="AA199" s="1292"/>
      <c r="AB199" s="1292"/>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2157</v>
      </c>
      <c r="BC200" s="41" t="s">
        <v>2158</v>
      </c>
      <c r="BN200" s="266" t="s">
        <v>694</v>
      </c>
      <c r="BO200" s="21"/>
      <c r="BP200" s="40"/>
      <c r="BQ200" s="40"/>
      <c r="BR200" s="40"/>
      <c r="BS200" s="40"/>
      <c r="BT200" s="40" t="s">
        <v>846</v>
      </c>
    </row>
    <row r="201" spans="1:73" ht="12.95" customHeight="1">
      <c r="C201" s="29"/>
      <c r="G201" s="915" t="s">
        <v>2124</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1502</v>
      </c>
      <c r="BN202" s="30" t="s">
        <v>696</v>
      </c>
      <c r="BT202" s="40" t="s">
        <v>848</v>
      </c>
      <c r="BU202" s="21"/>
    </row>
    <row r="203" spans="1:73" ht="12.95" customHeight="1">
      <c r="D203" s="1302" t="str">
        <f>IF(AND(M25&gt;0,M27&gt;0),"Federal and State","Federal Only")</f>
        <v>Federal and State</v>
      </c>
      <c r="E203" s="1302"/>
      <c r="F203" s="1302"/>
      <c r="G203" s="1302"/>
      <c r="H203" s="1302"/>
      <c r="I203" s="1302"/>
      <c r="J203" s="1302"/>
      <c r="K203" s="1302"/>
      <c r="L203" s="1302"/>
      <c r="M203" s="1302"/>
      <c r="P203" s="1413">
        <f>M25</f>
        <v>2500000</v>
      </c>
      <c r="Q203" s="1413"/>
      <c r="R203" s="1413"/>
      <c r="S203" s="1413"/>
      <c r="T203" s="1413"/>
      <c r="U203" s="1413"/>
      <c r="W203" s="1413">
        <f>M27</f>
        <v>4847061</v>
      </c>
      <c r="X203" s="1413"/>
      <c r="Y203" s="1413"/>
      <c r="Z203" s="1413"/>
      <c r="AA203" s="1413"/>
      <c r="AB203" s="1413"/>
      <c r="AV203" t="s">
        <v>132</v>
      </c>
      <c r="AX203" s="5" t="s">
        <v>700</v>
      </c>
      <c r="BC203" t="s">
        <v>1500</v>
      </c>
      <c r="BN203" s="30" t="s">
        <v>697</v>
      </c>
      <c r="BT203" s="40" t="s">
        <v>849</v>
      </c>
      <c r="BU203" s="21"/>
    </row>
    <row r="204" spans="1:73" ht="12.95" customHeight="1">
      <c r="C204" s="29"/>
      <c r="P204" s="1394" t="s">
        <v>186</v>
      </c>
      <c r="Q204" s="1394"/>
      <c r="R204" s="1394"/>
      <c r="S204" s="1394"/>
      <c r="T204" s="1394"/>
      <c r="U204" s="1394"/>
      <c r="V204" s="36"/>
      <c r="W204" s="1394" t="s">
        <v>187</v>
      </c>
      <c r="X204" s="1394"/>
      <c r="Y204" s="1394"/>
      <c r="Z204" s="1394"/>
      <c r="AA204" s="1394"/>
      <c r="AB204" s="1394"/>
      <c r="AV204" t="s">
        <v>116</v>
      </c>
      <c r="AX204" s="5" t="s">
        <v>1438</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852</v>
      </c>
    </row>
    <row r="208" spans="1:73" ht="12.95" customHeight="1">
      <c r="C208" s="29"/>
      <c r="D208" s="1121" t="s">
        <v>2369</v>
      </c>
      <c r="E208" s="1121"/>
      <c r="F208" s="1121"/>
      <c r="G208" s="1121"/>
      <c r="H208" s="1121"/>
      <c r="I208" s="1121"/>
      <c r="J208" s="1121"/>
      <c r="K208" s="1121"/>
      <c r="L208" s="1121"/>
      <c r="M208" s="1121"/>
      <c r="X208" s="823"/>
      <c r="Y208" s="935"/>
      <c r="Z208" s="824"/>
      <c r="AA208" s="824"/>
      <c r="AB208" s="824"/>
      <c r="AC208" s="824"/>
      <c r="AD208" s="824"/>
      <c r="AE208" s="824"/>
      <c r="AF208" s="824"/>
      <c r="AG208" s="824"/>
      <c r="AH208" s="824"/>
      <c r="AI208" s="824"/>
      <c r="AJ208" s="824"/>
      <c r="AK208" s="825"/>
      <c r="AX208" t="s">
        <v>2119</v>
      </c>
      <c r="BC208" t="s">
        <v>1501</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2121</v>
      </c>
      <c r="BN210" s="30" t="s">
        <v>4</v>
      </c>
      <c r="BT210" s="40" t="s">
        <v>855</v>
      </c>
    </row>
    <row r="211" spans="1:72" ht="12.95" customHeight="1">
      <c r="C211" s="29"/>
      <c r="D211" s="1121" t="s">
        <v>1198</v>
      </c>
      <c r="E211" s="1121"/>
      <c r="F211" s="1121"/>
      <c r="G211" s="1121"/>
      <c r="H211" s="1121"/>
      <c r="I211" s="1121"/>
      <c r="J211" s="1121"/>
      <c r="K211" s="1121"/>
      <c r="L211" s="1121"/>
      <c r="M211" s="1121"/>
      <c r="N211" s="1121"/>
      <c r="O211" s="1121"/>
      <c r="P211" s="1121"/>
      <c r="X211" s="823"/>
      <c r="Y211" s="1298" t="s">
        <v>511</v>
      </c>
      <c r="Z211" s="1298"/>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856</v>
      </c>
    </row>
    <row r="213" spans="1:72" ht="12.95" customHeight="1">
      <c r="A213" s="3" t="s">
        <v>133</v>
      </c>
      <c r="C213" s="3" t="s">
        <v>1488</v>
      </c>
      <c r="AX213" s="41" t="s">
        <v>2125</v>
      </c>
      <c r="BC213" t="s">
        <v>662</v>
      </c>
      <c r="BN213" s="30" t="s">
        <v>6</v>
      </c>
      <c r="BT213" s="40" t="s">
        <v>857</v>
      </c>
    </row>
    <row r="214" spans="1:72" ht="12.95" customHeight="1">
      <c r="C214" s="29"/>
      <c r="D214" s="1121" t="s">
        <v>700</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666</v>
      </c>
      <c r="BN214" s="30" t="s">
        <v>472</v>
      </c>
      <c r="BT214" s="40" t="s">
        <v>858</v>
      </c>
    </row>
    <row r="215" spans="1:72" ht="12.95" customHeight="1">
      <c r="D215" s="35"/>
      <c r="E215" s="41" t="s">
        <v>2207</v>
      </c>
      <c r="AC215" s="1293">
        <v>25</v>
      </c>
      <c r="AD215" s="1293"/>
      <c r="AF215" s="1409">
        <f>IFERROR(AC215/AG433,"")</f>
        <v>0.51020408163265307</v>
      </c>
      <c r="AG215" s="1409"/>
      <c r="BC215" t="s">
        <v>663</v>
      </c>
    </row>
    <row r="216" spans="1:72" ht="12.95" customHeight="1">
      <c r="D216" s="35"/>
      <c r="E216" s="958" t="s">
        <v>1498</v>
      </c>
      <c r="BC216" t="s">
        <v>780</v>
      </c>
    </row>
    <row r="217" spans="1:72" ht="12.95" customHeight="1">
      <c r="E217" s="1418" t="s">
        <v>1494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2.95" customHeight="1">
      <c r="E218" s="41" t="s">
        <v>2058</v>
      </c>
      <c r="AA218" s="49"/>
      <c r="AC218" s="1301"/>
      <c r="AD218" s="1301"/>
      <c r="AE218" s="1301"/>
      <c r="AF218" s="1301"/>
      <c r="AG218" s="1301"/>
      <c r="AH218" s="1301"/>
      <c r="AI218" s="1301"/>
      <c r="AJ218" s="1301"/>
      <c r="AK218" s="1301"/>
      <c r="AL218" s="1301"/>
      <c r="AM218" s="1301"/>
      <c r="BC218" t="s">
        <v>665</v>
      </c>
      <c r="BI218" s="39"/>
    </row>
    <row r="219" spans="1:72" ht="12.95" customHeight="1">
      <c r="E219" s="41" t="s">
        <v>2059</v>
      </c>
      <c r="AA219" s="49"/>
      <c r="AC219" s="1301"/>
      <c r="AD219" s="1301"/>
      <c r="AE219" s="1301"/>
      <c r="AF219" s="1301"/>
      <c r="AG219" s="1301"/>
      <c r="AH219" s="1301"/>
      <c r="AI219" s="1301"/>
      <c r="AJ219" s="1301"/>
      <c r="AK219" s="1301"/>
      <c r="AL219" s="1301"/>
      <c r="AM219" s="1301"/>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92" t="s">
        <v>147</v>
      </c>
      <c r="E223" s="1292"/>
      <c r="F223" s="1292"/>
      <c r="G223" s="1292"/>
      <c r="H223" s="1292"/>
      <c r="I223" s="1292"/>
      <c r="J223" s="1292"/>
      <c r="K223" s="1292"/>
      <c r="L223" s="1292"/>
      <c r="M223" s="1292"/>
      <c r="N223" s="1292"/>
      <c r="O223" s="1292"/>
      <c r="P223" s="1292"/>
      <c r="Q223" s="1292"/>
      <c r="R223" s="1292"/>
      <c r="S223" s="1292"/>
      <c r="T223" s="1292"/>
      <c r="U223" s="1292"/>
      <c r="V223" s="1292"/>
      <c r="W223" s="1292"/>
      <c r="X223" s="1292"/>
      <c r="Y223" s="1292"/>
      <c r="Z223" s="1292"/>
      <c r="AA223" s="1292"/>
      <c r="AB223" s="1292"/>
      <c r="AC223" s="1292"/>
      <c r="AD223" s="1292"/>
      <c r="AE223" s="1292"/>
      <c r="AF223" s="1292"/>
      <c r="AG223" s="1292"/>
      <c r="AH223" s="1292"/>
      <c r="AI223" s="1292"/>
      <c r="AJ223" s="21"/>
      <c r="AK223" s="21"/>
      <c r="AL223" s="21"/>
    </row>
    <row r="224" spans="1:72" ht="12.95" customHeight="1">
      <c r="AJ224" s="5"/>
    </row>
    <row r="225" spans="1:59" ht="12.95" customHeight="1">
      <c r="D225" t="s">
        <v>588</v>
      </c>
      <c r="O225" s="1120">
        <v>16</v>
      </c>
      <c r="P225" s="1120"/>
    </row>
    <row r="226" spans="1:59" ht="12.95" customHeight="1">
      <c r="D226" t="s">
        <v>589</v>
      </c>
      <c r="O226" s="1120">
        <v>23</v>
      </c>
      <c r="P226" s="1120"/>
      <c r="BB226" s="5" t="s">
        <v>674</v>
      </c>
      <c r="BG226" s="414">
        <f>IF(AND(AND($M$251="for profit",$M$259="for profit",$M$267="nonprofit")),2,0)</f>
        <v>0</v>
      </c>
    </row>
    <row r="227" spans="1:59" ht="12.95" customHeight="1">
      <c r="D227" t="s">
        <v>590</v>
      </c>
      <c r="O227" s="1120">
        <v>13</v>
      </c>
      <c r="P227" s="1120"/>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294" t="s">
        <v>524</v>
      </c>
      <c r="B231" s="1294"/>
      <c r="C231" s="1294"/>
      <c r="D231" s="1294"/>
      <c r="E231" s="1294"/>
      <c r="F231" s="1294"/>
      <c r="G231" s="1294"/>
      <c r="H231" s="1294"/>
      <c r="I231" s="1294"/>
      <c r="J231" s="1294"/>
      <c r="K231" s="1294"/>
      <c r="L231" s="1294"/>
      <c r="M231" s="1294"/>
      <c r="N231" s="1294"/>
      <c r="O231" s="1294"/>
      <c r="P231" s="1294"/>
      <c r="Q231" s="1294"/>
      <c r="R231" s="1294"/>
      <c r="S231" s="1294"/>
      <c r="T231" s="1294"/>
      <c r="U231" s="1294"/>
      <c r="V231" s="1294"/>
      <c r="W231" s="1294"/>
      <c r="X231" s="1294"/>
      <c r="Y231" s="1294"/>
      <c r="Z231" s="1294"/>
      <c r="AA231" s="1294"/>
      <c r="AB231" s="1294"/>
      <c r="AC231" s="1294"/>
      <c r="AD231" s="1294"/>
      <c r="AE231" s="1294"/>
      <c r="AF231" s="1294"/>
      <c r="AG231" s="1294"/>
      <c r="AH231" s="1294"/>
      <c r="AI231" s="1294"/>
      <c r="AJ231" s="1294"/>
      <c r="AK231" s="1294"/>
      <c r="AL231" s="1294"/>
    </row>
    <row r="232" spans="1:59" ht="12.95" customHeight="1" thickBot="1">
      <c r="A232" s="1295"/>
      <c r="B232" s="1295"/>
      <c r="C232" s="1295"/>
      <c r="D232" s="1295"/>
      <c r="E232" s="1295"/>
      <c r="F232" s="1295"/>
      <c r="G232" s="1295"/>
      <c r="H232" s="1295"/>
      <c r="I232" s="1295"/>
      <c r="J232" s="1295"/>
      <c r="K232" s="1295"/>
      <c r="L232" s="1295"/>
      <c r="M232" s="1295"/>
      <c r="N232" s="1295"/>
      <c r="O232" s="1295"/>
      <c r="P232" s="1295"/>
      <c r="Q232" s="1295"/>
      <c r="R232" s="1295"/>
      <c r="S232" s="1295"/>
      <c r="T232" s="1295"/>
      <c r="U232" s="1295"/>
      <c r="V232" s="1295"/>
      <c r="W232" s="1295"/>
      <c r="X232" s="1295"/>
      <c r="Y232" s="1295"/>
      <c r="Z232" s="1295"/>
      <c r="AA232" s="1295"/>
      <c r="AB232" s="1295"/>
      <c r="AC232" s="1295"/>
      <c r="AD232" s="1295"/>
      <c r="AE232" s="1295"/>
      <c r="AF232" s="1295"/>
      <c r="AG232" s="1295"/>
      <c r="AH232" s="1295"/>
      <c r="AI232" s="1295"/>
      <c r="AJ232" s="1295"/>
      <c r="AK232" s="1295"/>
      <c r="AL232" s="1295"/>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3" t="str">
        <f>H15</f>
        <v xml:space="preserve">Eden Housing, Inc. </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2.95" customHeight="1">
      <c r="D236" s="5" t="s">
        <v>397</v>
      </c>
      <c r="E236" s="5"/>
      <c r="F236" s="5"/>
      <c r="G236" s="5"/>
      <c r="H236" s="5"/>
      <c r="I236" s="5"/>
      <c r="J236" s="5"/>
      <c r="K236" s="5"/>
      <c r="M236" s="1292" t="s">
        <v>2370</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673</v>
      </c>
      <c r="BG236" s="414">
        <f>IF(AND(AND($M$251="nonprofit",$M$259="nonprofit",$M$267="nonprofit")),1,0)</f>
        <v>0</v>
      </c>
    </row>
    <row r="237" spans="1:59" ht="12.95" customHeight="1">
      <c r="D237" s="5" t="s">
        <v>459</v>
      </c>
      <c r="E237" s="5"/>
      <c r="M237" s="1292" t="s">
        <v>2371</v>
      </c>
      <c r="N237" s="1121"/>
      <c r="O237" s="1121"/>
      <c r="P237" s="1121"/>
      <c r="Q237" s="1121"/>
      <c r="R237" s="1121"/>
      <c r="S237" s="1121"/>
      <c r="T237" s="1121"/>
      <c r="V237" s="42" t="s">
        <v>398</v>
      </c>
      <c r="W237" s="1146" t="s">
        <v>2372</v>
      </c>
      <c r="X237" s="1291"/>
      <c r="Y237" s="5" t="s">
        <v>462</v>
      </c>
      <c r="AC237" s="1121">
        <v>94541</v>
      </c>
      <c r="AD237" s="1121"/>
      <c r="AE237" s="1121"/>
      <c r="AN237" s="41"/>
      <c r="BB237" t="s">
        <v>673</v>
      </c>
      <c r="BG237" s="414">
        <f>IF(AND(AND($M$251="nonprofit",$M$259="nonprofit",$M$267="(select one)")),1,0)</f>
        <v>0</v>
      </c>
    </row>
    <row r="238" spans="1:59" ht="12.95" customHeight="1">
      <c r="D238" s="5" t="s">
        <v>399</v>
      </c>
      <c r="E238" s="5"/>
      <c r="F238" s="5"/>
      <c r="G238" s="5"/>
      <c r="H238" s="5"/>
      <c r="I238" s="5"/>
      <c r="J238" s="5"/>
      <c r="K238" s="28"/>
      <c r="M238" s="1292" t="s">
        <v>2373</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673</v>
      </c>
      <c r="BG238" s="414">
        <f>IF(AND(AND($M$251="nonprofit",$M$259="(select one)",$M$267="(select one)")),1,0)</f>
        <v>1</v>
      </c>
    </row>
    <row r="239" spans="1:59" ht="12.95" customHeight="1">
      <c r="D239" s="5" t="s">
        <v>400</v>
      </c>
      <c r="E239" s="5"/>
      <c r="F239" s="5"/>
      <c r="M239" s="1129" t="s">
        <v>2374</v>
      </c>
      <c r="N239" s="1119"/>
      <c r="O239" s="1119"/>
      <c r="P239" s="1119"/>
      <c r="Q239" s="1119"/>
      <c r="R239" s="1119"/>
      <c r="S239" s="5" t="s">
        <v>859</v>
      </c>
      <c r="T239" s="5"/>
      <c r="U239" s="1291"/>
      <c r="V239" s="1291"/>
      <c r="W239" s="1291"/>
      <c r="X239" s="5" t="s">
        <v>401</v>
      </c>
      <c r="Z239" s="1119"/>
      <c r="AA239" s="1119"/>
      <c r="AB239" s="1119"/>
      <c r="AC239" s="1119"/>
      <c r="AD239" s="1119"/>
      <c r="AE239" s="1119"/>
      <c r="AM239" s="41"/>
      <c r="AN239" s="41"/>
      <c r="BB239" t="s">
        <v>1054</v>
      </c>
      <c r="BG239" s="414">
        <f>IF(AND(AND($M$251="for profit",$M$259="for profit",$M$267="for profit")),3,0)</f>
        <v>0</v>
      </c>
    </row>
    <row r="240" spans="1:59" ht="12.95" customHeight="1">
      <c r="D240" s="5" t="s">
        <v>402</v>
      </c>
      <c r="E240" s="5"/>
      <c r="F240" s="5"/>
      <c r="M240" s="1145" t="s">
        <v>2375</v>
      </c>
      <c r="N240" s="1145"/>
      <c r="O240" s="1145"/>
      <c r="P240" s="1145"/>
      <c r="Q240" s="1145"/>
      <c r="R240" s="1145"/>
      <c r="S240" s="1145"/>
      <c r="T240" s="1145"/>
      <c r="U240" s="1145"/>
      <c r="V240" s="1145"/>
      <c r="W240" s="1145"/>
      <c r="X240" s="1145"/>
      <c r="Y240" s="1145"/>
      <c r="Z240" s="1145"/>
      <c r="AA240" s="1145"/>
      <c r="AB240" s="1145"/>
      <c r="AC240" s="1145"/>
      <c r="AD240" s="1145"/>
      <c r="AE240" s="1145"/>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6" t="s">
        <v>523</v>
      </c>
      <c r="N241" s="1096"/>
      <c r="O241" s="1096"/>
      <c r="P241" s="1096"/>
      <c r="Q241" s="1096"/>
      <c r="R241" s="1096"/>
      <c r="S241" s="1096"/>
      <c r="T241" s="1096"/>
      <c r="U241" s="5" t="s">
        <v>1192</v>
      </c>
      <c r="AA241" s="1118"/>
      <c r="AB241" s="1118"/>
      <c r="AC241" s="1118"/>
      <c r="AD241" s="1118"/>
      <c r="AE241" s="1118"/>
      <c r="AF241" s="1118"/>
      <c r="AG241" s="1118"/>
      <c r="AH241" s="1118"/>
      <c r="AI241" s="1118"/>
      <c r="AJ241" s="1118"/>
      <c r="AK241" s="1118"/>
      <c r="AL241" s="41"/>
      <c r="AM241" s="5"/>
      <c r="AN241" s="41"/>
      <c r="AO241" s="41"/>
      <c r="BB241" t="s">
        <v>1054</v>
      </c>
      <c r="BG241" s="415">
        <f>IF(AND(AND($M$251="for profit",$M$259="(select one)",$M$267="(select one)")),3,0)</f>
        <v>0</v>
      </c>
    </row>
    <row r="242" spans="1:67" ht="12.95" customHeight="1">
      <c r="D242" t="s">
        <v>667</v>
      </c>
      <c r="M242" s="1292"/>
      <c r="N242" s="1095"/>
      <c r="O242" s="1095"/>
      <c r="P242" s="1095"/>
      <c r="Q242" s="1095"/>
      <c r="R242" s="1095"/>
      <c r="S242" s="1095"/>
      <c r="T242" s="1095"/>
      <c r="U242" s="1095"/>
      <c r="V242" s="1095"/>
      <c r="W242" s="1095"/>
      <c r="X242" s="1095"/>
      <c r="Y242" s="1095"/>
      <c r="Z242" s="1095"/>
      <c r="AA242" s="1095"/>
      <c r="AB242" s="1095"/>
      <c r="AC242" s="1095"/>
      <c r="AD242" s="1095"/>
      <c r="AE242" s="1095"/>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1534</v>
      </c>
      <c r="D245" s="5" t="s">
        <v>668</v>
      </c>
      <c r="E245" s="5"/>
      <c r="F245" s="5"/>
      <c r="G245" s="5"/>
      <c r="H245" s="5"/>
      <c r="I245" s="5"/>
      <c r="J245" s="5"/>
      <c r="K245" s="5"/>
      <c r="L245" s="5"/>
      <c r="M245" s="1289" t="s">
        <v>2376</v>
      </c>
      <c r="N245" s="1289"/>
      <c r="O245" s="1289"/>
      <c r="P245" s="1289"/>
      <c r="Q245" s="1289"/>
      <c r="R245" s="1289"/>
      <c r="S245" s="1289"/>
      <c r="T245" s="1289"/>
      <c r="U245" s="1289"/>
      <c r="V245" s="1289"/>
      <c r="W245" s="1289"/>
      <c r="X245" s="1289"/>
      <c r="Y245" s="1289"/>
      <c r="Z245" s="1289"/>
      <c r="AA245" s="1289"/>
      <c r="AB245" s="1289"/>
      <c r="AC245" s="1289"/>
      <c r="AD245" s="1289"/>
      <c r="AE245" s="1289"/>
      <c r="AF245" s="1290" t="s">
        <v>2377</v>
      </c>
      <c r="AG245" s="1290"/>
      <c r="AH245" s="1290"/>
      <c r="AI245" s="1290"/>
      <c r="AJ245" s="1290"/>
      <c r="AK245" s="1290"/>
      <c r="AM245" s="5"/>
      <c r="AN245" s="41"/>
      <c r="BB245" s="5" t="s">
        <v>934</v>
      </c>
      <c r="BH245">
        <v>2</v>
      </c>
      <c r="BI245" t="s">
        <v>780</v>
      </c>
      <c r="BO245" s="416" t="str">
        <f>VLOOKUP(AZ260,BH244:BI246,2,FALSE)</f>
        <v>Nonprofit</v>
      </c>
    </row>
    <row r="246" spans="1:67" ht="12.95" customHeight="1">
      <c r="A246" s="28"/>
      <c r="B246" s="5"/>
      <c r="C246" s="5"/>
      <c r="D246" s="5" t="s">
        <v>397</v>
      </c>
      <c r="E246" s="5"/>
      <c r="F246" s="5"/>
      <c r="G246" s="5"/>
      <c r="H246" s="5"/>
      <c r="I246" s="5"/>
      <c r="J246" s="5"/>
      <c r="K246" s="5"/>
      <c r="L246" s="5"/>
      <c r="M246" s="1292" t="s">
        <v>2370</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483</v>
      </c>
      <c r="BH246">
        <v>3</v>
      </c>
      <c r="BI246" t="s">
        <v>672</v>
      </c>
    </row>
    <row r="247" spans="1:67" ht="12.95" customHeight="1">
      <c r="A247" s="28"/>
      <c r="B247" s="5"/>
      <c r="C247" s="5"/>
      <c r="D247" s="5" t="s">
        <v>459</v>
      </c>
      <c r="E247" s="5"/>
      <c r="M247" s="1292" t="s">
        <v>2371</v>
      </c>
      <c r="N247" s="1121"/>
      <c r="O247" s="1121"/>
      <c r="P247" s="1121"/>
      <c r="Q247" s="1121"/>
      <c r="R247" s="1121"/>
      <c r="S247" s="1121"/>
      <c r="T247" s="1121"/>
      <c r="V247" s="42" t="s">
        <v>398</v>
      </c>
      <c r="W247" s="1146" t="s">
        <v>2372</v>
      </c>
      <c r="X247" s="1291"/>
      <c r="Y247" s="5" t="s">
        <v>462</v>
      </c>
      <c r="AC247" s="1121">
        <v>94541</v>
      </c>
      <c r="AD247" s="1121"/>
      <c r="AE247" s="1121"/>
      <c r="AN247" s="41"/>
    </row>
    <row r="248" spans="1:67" ht="12.95" customHeight="1">
      <c r="A248" s="28"/>
      <c r="B248" s="5"/>
      <c r="C248" s="5"/>
      <c r="D248" s="5" t="s">
        <v>399</v>
      </c>
      <c r="E248" s="5"/>
      <c r="F248" s="5"/>
      <c r="G248" s="5"/>
      <c r="H248" s="5"/>
      <c r="I248" s="5"/>
      <c r="J248" s="5"/>
      <c r="K248" s="5"/>
      <c r="L248" s="28"/>
      <c r="M248" s="1292" t="s">
        <v>2373</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2.95" customHeight="1">
      <c r="A249" s="28"/>
      <c r="B249" s="5"/>
      <c r="C249" s="5"/>
      <c r="D249" s="5" t="s">
        <v>400</v>
      </c>
      <c r="E249" s="5"/>
      <c r="F249" s="5"/>
      <c r="M249" s="1129" t="s">
        <v>2374</v>
      </c>
      <c r="N249" s="1119"/>
      <c r="O249" s="1119"/>
      <c r="P249" s="1119"/>
      <c r="Q249" s="1119"/>
      <c r="R249" s="1119"/>
      <c r="S249" s="5" t="s">
        <v>859</v>
      </c>
      <c r="T249" s="5"/>
      <c r="U249" s="1291"/>
      <c r="V249" s="1291"/>
      <c r="W249" s="1291"/>
      <c r="X249" s="5" t="s">
        <v>401</v>
      </c>
      <c r="Z249" s="1119"/>
      <c r="AA249" s="1119"/>
      <c r="AB249" s="1119"/>
      <c r="AC249" s="1119"/>
      <c r="AD249" s="1119"/>
      <c r="AE249" s="1119"/>
      <c r="AM249" s="5"/>
      <c r="AN249" s="41"/>
    </row>
    <row r="250" spans="1:67" ht="12.95" customHeight="1">
      <c r="A250" s="28"/>
      <c r="B250" s="5"/>
      <c r="C250" s="5"/>
      <c r="D250" s="5" t="s">
        <v>402</v>
      </c>
      <c r="E250" s="5"/>
      <c r="F250" s="5"/>
      <c r="M250" s="1145" t="s">
        <v>2375</v>
      </c>
      <c r="N250" s="1145"/>
      <c r="O250" s="1145"/>
      <c r="P250" s="1145"/>
      <c r="Q250" s="1145"/>
      <c r="R250" s="1145"/>
      <c r="S250" s="1145"/>
      <c r="T250" s="1145"/>
      <c r="U250" s="1145"/>
      <c r="V250" s="1145"/>
      <c r="W250" s="1145"/>
      <c r="X250" s="1145"/>
      <c r="Y250" s="1145"/>
      <c r="Z250" s="1145"/>
      <c r="AA250" s="1145"/>
      <c r="AB250" s="1145"/>
      <c r="AC250" s="1145"/>
      <c r="AD250" s="1145"/>
      <c r="AE250" s="1145"/>
      <c r="AG250" s="5"/>
      <c r="AH250" s="5"/>
      <c r="AI250" s="5"/>
      <c r="AJ250" s="5"/>
      <c r="AK250" s="5"/>
      <c r="AL250" s="5"/>
    </row>
    <row r="251" spans="1:67" ht="12.95" customHeight="1">
      <c r="A251" s="18"/>
      <c r="B251" s="5"/>
      <c r="C251" s="62"/>
      <c r="D251" s="5" t="s">
        <v>671</v>
      </c>
      <c r="E251" s="5"/>
      <c r="F251" s="5"/>
      <c r="G251" s="5"/>
      <c r="H251" s="5"/>
      <c r="I251" s="5"/>
      <c r="J251" s="5"/>
      <c r="K251" s="5"/>
      <c r="L251" s="5"/>
      <c r="M251" s="1096" t="s">
        <v>670</v>
      </c>
      <c r="N251" s="1096"/>
      <c r="O251" s="1096"/>
      <c r="P251" s="1096"/>
      <c r="Q251" s="1096"/>
      <c r="R251" s="1096"/>
      <c r="S251" s="1096"/>
      <c r="T251" s="1096"/>
      <c r="U251" s="5" t="s">
        <v>1192</v>
      </c>
      <c r="AA251" s="1130" t="s">
        <v>2535</v>
      </c>
      <c r="AB251" s="1118"/>
      <c r="AC251" s="1118"/>
      <c r="AD251" s="1118"/>
      <c r="AE251" s="1118"/>
      <c r="AF251" s="1118"/>
      <c r="AG251" s="1118"/>
      <c r="AH251" s="1118"/>
      <c r="AI251" s="1118"/>
      <c r="AJ251" s="1118"/>
      <c r="AK251" s="111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1264</v>
      </c>
      <c r="E253" s="5"/>
      <c r="F253" s="5"/>
      <c r="G253" s="5"/>
      <c r="H253" s="5"/>
      <c r="I253" s="5"/>
      <c r="J253" s="5"/>
      <c r="K253" s="5"/>
      <c r="L253" s="5"/>
      <c r="M253" s="1289" t="s">
        <v>2378</v>
      </c>
      <c r="N253" s="1289"/>
      <c r="O253" s="1289"/>
      <c r="P253" s="1289"/>
      <c r="Q253" s="1289"/>
      <c r="R253" s="1289"/>
      <c r="S253" s="1289"/>
      <c r="T253" s="1289"/>
      <c r="U253" s="1289"/>
      <c r="V253" s="1289"/>
      <c r="W253" s="1289"/>
      <c r="X253" s="1289"/>
      <c r="Y253" s="1289"/>
      <c r="Z253" s="1289"/>
      <c r="AA253" s="1289"/>
      <c r="AB253" s="1289"/>
      <c r="AC253" s="1289"/>
      <c r="AD253" s="1289"/>
      <c r="AE253" s="1289"/>
      <c r="AF253" s="1290" t="s">
        <v>84</v>
      </c>
      <c r="AG253" s="1290"/>
      <c r="AH253" s="1290"/>
      <c r="AI253" s="1290"/>
      <c r="AJ253" s="1290"/>
      <c r="AK253" s="1290"/>
      <c r="AM253" s="5"/>
    </row>
    <row r="254" spans="1:67" ht="12.95" customHeight="1">
      <c r="A254" s="28"/>
      <c r="B254" s="5"/>
      <c r="C254" s="5"/>
      <c r="D254" s="5" t="s">
        <v>397</v>
      </c>
      <c r="E254" s="5"/>
      <c r="F254" s="5"/>
      <c r="G254" s="5"/>
      <c r="H254" s="5"/>
      <c r="I254" s="5"/>
      <c r="J254" s="5"/>
      <c r="K254" s="5"/>
      <c r="L254" s="5"/>
      <c r="M254" s="1121"/>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2.95" customHeight="1">
      <c r="A255" s="28"/>
      <c r="B255" s="5"/>
      <c r="C255" s="5"/>
      <c r="D255" s="5" t="s">
        <v>459</v>
      </c>
      <c r="E255" s="5"/>
      <c r="M255" s="1121"/>
      <c r="N255" s="1121"/>
      <c r="O255" s="1121"/>
      <c r="P255" s="1121"/>
      <c r="Q255" s="1121"/>
      <c r="R255" s="1121"/>
      <c r="S255" s="1121"/>
      <c r="T255" s="1121"/>
      <c r="V255" s="42" t="s">
        <v>398</v>
      </c>
      <c r="W255" s="1291"/>
      <c r="X255" s="1291"/>
      <c r="Y255" s="5" t="s">
        <v>462</v>
      </c>
      <c r="AC255" s="1121"/>
      <c r="AD255" s="1121"/>
      <c r="AE255" s="1121"/>
    </row>
    <row r="256" spans="1:67" ht="12.95" customHeight="1">
      <c r="A256" s="28"/>
      <c r="B256" s="5"/>
      <c r="C256" s="5"/>
      <c r="D256" s="5" t="s">
        <v>399</v>
      </c>
      <c r="E256" s="5"/>
      <c r="F256" s="5"/>
      <c r="G256" s="5"/>
      <c r="H256" s="5"/>
      <c r="I256" s="5"/>
      <c r="J256" s="5"/>
      <c r="K256" s="5"/>
      <c r="L256" s="28"/>
      <c r="M256" s="1121"/>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2.95" customHeight="1">
      <c r="A257" s="28"/>
      <c r="B257" s="5"/>
      <c r="C257" s="5"/>
      <c r="D257" s="5" t="s">
        <v>400</v>
      </c>
      <c r="E257" s="5"/>
      <c r="F257" s="5"/>
      <c r="M257" s="1119"/>
      <c r="N257" s="1119"/>
      <c r="O257" s="1119"/>
      <c r="P257" s="1119"/>
      <c r="Q257" s="1119"/>
      <c r="R257" s="1119"/>
      <c r="S257" s="5" t="s">
        <v>859</v>
      </c>
      <c r="T257" s="5"/>
      <c r="U257" s="1291"/>
      <c r="V257" s="1291"/>
      <c r="W257" s="1291"/>
      <c r="X257" s="5" t="s">
        <v>401</v>
      </c>
      <c r="Z257" s="1119"/>
      <c r="AA257" s="1119"/>
      <c r="AB257" s="1119"/>
      <c r="AC257" s="1119"/>
      <c r="AD257" s="1119"/>
      <c r="AE257" s="1119"/>
      <c r="BA257" s="43"/>
    </row>
    <row r="258" spans="1:53" ht="12.95" customHeight="1">
      <c r="A258" s="28"/>
      <c r="B258" s="5"/>
      <c r="C258" s="5"/>
      <c r="D258" s="5" t="s">
        <v>402</v>
      </c>
      <c r="E258" s="5"/>
      <c r="F258" s="5"/>
      <c r="M258" s="1145"/>
      <c r="N258" s="1145"/>
      <c r="O258" s="1145"/>
      <c r="P258" s="1145"/>
      <c r="Q258" s="1145"/>
      <c r="R258" s="1145"/>
      <c r="S258" s="1145"/>
      <c r="T258" s="1145"/>
      <c r="U258" s="1145"/>
      <c r="V258" s="1145"/>
      <c r="W258" s="1145"/>
      <c r="X258" s="1145"/>
      <c r="Y258" s="1145"/>
      <c r="Z258" s="1145"/>
      <c r="AA258" s="1145"/>
      <c r="AB258" s="1145"/>
      <c r="AC258" s="1145"/>
      <c r="AD258" s="1145"/>
      <c r="AE258" s="1145"/>
      <c r="AG258" s="5"/>
      <c r="AH258" s="5"/>
      <c r="AI258" s="5"/>
      <c r="AJ258" s="5"/>
      <c r="AK258" s="5"/>
      <c r="AL258" s="5"/>
    </row>
    <row r="259" spans="1:53" ht="12.95" customHeight="1">
      <c r="A259" s="18"/>
      <c r="B259" s="5"/>
      <c r="C259" s="62"/>
      <c r="D259" s="5" t="s">
        <v>671</v>
      </c>
      <c r="E259" s="5"/>
      <c r="F259" s="5"/>
      <c r="G259" s="5"/>
      <c r="H259" s="5"/>
      <c r="I259" s="5"/>
      <c r="J259" s="5"/>
      <c r="K259" s="5"/>
      <c r="L259" s="5"/>
      <c r="M259" s="1096" t="s">
        <v>84</v>
      </c>
      <c r="N259" s="1096"/>
      <c r="O259" s="1096"/>
      <c r="P259" s="1096"/>
      <c r="Q259" s="1096"/>
      <c r="R259" s="1096"/>
      <c r="S259" s="1096"/>
      <c r="T259" s="1096"/>
      <c r="U259" s="5" t="s">
        <v>1192</v>
      </c>
      <c r="AA259" s="1118"/>
      <c r="AB259" s="1118"/>
      <c r="AC259" s="1118"/>
      <c r="AD259" s="1118"/>
      <c r="AE259" s="1118"/>
      <c r="AF259" s="1118"/>
      <c r="AG259" s="1118"/>
      <c r="AH259" s="1118"/>
      <c r="AI259" s="1118"/>
      <c r="AJ259" s="1118"/>
      <c r="AK259" s="111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668</v>
      </c>
      <c r="E261" s="5"/>
      <c r="F261" s="5"/>
      <c r="G261" s="5"/>
      <c r="H261" s="5"/>
      <c r="I261" s="5"/>
      <c r="J261" s="5"/>
      <c r="K261" s="5"/>
      <c r="L261" s="5"/>
      <c r="M261" s="1289" t="s">
        <v>2378</v>
      </c>
      <c r="N261" s="1290"/>
      <c r="O261" s="1290"/>
      <c r="P261" s="1290"/>
      <c r="Q261" s="1290"/>
      <c r="R261" s="1290"/>
      <c r="S261" s="1290"/>
      <c r="T261" s="1290"/>
      <c r="U261" s="1290"/>
      <c r="V261" s="1290"/>
      <c r="W261" s="1290"/>
      <c r="X261" s="1290"/>
      <c r="Y261" s="1290"/>
      <c r="Z261" s="1290"/>
      <c r="AA261" s="1290"/>
      <c r="AB261" s="1290"/>
      <c r="AC261" s="1290"/>
      <c r="AD261" s="1290"/>
      <c r="AE261" s="1290"/>
      <c r="AF261" s="1290" t="s">
        <v>84</v>
      </c>
      <c r="AG261" s="1290"/>
      <c r="AH261" s="1290"/>
      <c r="AI261" s="1290"/>
      <c r="AJ261" s="1290"/>
      <c r="AK261" s="1290"/>
      <c r="AL261" s="41"/>
    </row>
    <row r="262" spans="1:53" ht="12.95" customHeight="1">
      <c r="A262" s="18"/>
      <c r="B262" s="5"/>
      <c r="C262" s="5"/>
      <c r="D262" s="5" t="s">
        <v>397</v>
      </c>
      <c r="E262" s="5"/>
      <c r="F262" s="5"/>
      <c r="G262" s="5"/>
      <c r="H262" s="5"/>
      <c r="I262" s="5"/>
      <c r="J262" s="5"/>
      <c r="K262" s="5"/>
      <c r="L262" s="5"/>
      <c r="M262" s="1121"/>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2.95" customHeight="1">
      <c r="A263" s="18"/>
      <c r="B263" s="5"/>
      <c r="C263" s="5"/>
      <c r="D263" s="5" t="s">
        <v>459</v>
      </c>
      <c r="E263" s="5"/>
      <c r="M263" s="1121"/>
      <c r="N263" s="1121"/>
      <c r="O263" s="1121"/>
      <c r="P263" s="1121"/>
      <c r="Q263" s="1121"/>
      <c r="R263" s="1121"/>
      <c r="S263" s="1121"/>
      <c r="T263" s="1121"/>
      <c r="V263" s="42" t="s">
        <v>398</v>
      </c>
      <c r="W263" s="1291"/>
      <c r="X263" s="1291"/>
      <c r="Y263" s="5" t="s">
        <v>462</v>
      </c>
      <c r="AC263" s="1121"/>
      <c r="AD263" s="1121"/>
      <c r="AE263" s="1121"/>
      <c r="AL263" s="41"/>
      <c r="BA263" s="43"/>
    </row>
    <row r="264" spans="1:53" ht="12.95" customHeight="1">
      <c r="A264" s="18"/>
      <c r="B264" s="5"/>
      <c r="C264" s="5"/>
      <c r="D264" s="5" t="s">
        <v>399</v>
      </c>
      <c r="E264" s="5"/>
      <c r="F264" s="5"/>
      <c r="G264" s="5"/>
      <c r="H264" s="5"/>
      <c r="I264" s="5"/>
      <c r="J264" s="5"/>
      <c r="K264" s="5"/>
      <c r="L264" s="28"/>
      <c r="M264" s="1121"/>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2.95" customHeight="1">
      <c r="A265" s="18"/>
      <c r="B265" s="5"/>
      <c r="C265" s="5"/>
      <c r="D265" s="5" t="s">
        <v>400</v>
      </c>
      <c r="E265" s="5"/>
      <c r="F265" s="5"/>
      <c r="M265" s="1119"/>
      <c r="N265" s="1119"/>
      <c r="O265" s="1119"/>
      <c r="P265" s="1119"/>
      <c r="Q265" s="1119"/>
      <c r="R265" s="1119"/>
      <c r="S265" s="5" t="s">
        <v>859</v>
      </c>
      <c r="T265" s="5"/>
      <c r="U265" s="1291"/>
      <c r="V265" s="1291"/>
      <c r="W265" s="1291"/>
      <c r="X265" s="5" t="s">
        <v>401</v>
      </c>
      <c r="Z265" s="1119"/>
      <c r="AA265" s="1119"/>
      <c r="AB265" s="1119"/>
      <c r="AC265" s="1119"/>
      <c r="AD265" s="1119"/>
      <c r="AE265" s="1119"/>
      <c r="AL265" s="41"/>
      <c r="BA265" s="43"/>
    </row>
    <row r="266" spans="1:53" ht="12.95" customHeight="1">
      <c r="A266" s="18"/>
      <c r="B266" s="5"/>
      <c r="C266" s="5"/>
      <c r="D266" s="5" t="s">
        <v>402</v>
      </c>
      <c r="E266" s="5"/>
      <c r="F266" s="5"/>
      <c r="M266" s="1145"/>
      <c r="N266" s="1145"/>
      <c r="O266" s="1145"/>
      <c r="P266" s="1145"/>
      <c r="Q266" s="1145"/>
      <c r="R266" s="1145"/>
      <c r="S266" s="1145"/>
      <c r="T266" s="1145"/>
      <c r="U266" s="1145"/>
      <c r="V266" s="1145"/>
      <c r="W266" s="1145"/>
      <c r="X266" s="1145"/>
      <c r="Y266" s="1145"/>
      <c r="Z266" s="1145"/>
      <c r="AA266" s="1145"/>
      <c r="AB266" s="1145"/>
      <c r="AC266" s="1145"/>
      <c r="AD266" s="1145"/>
      <c r="AE266" s="1145"/>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6" t="s">
        <v>84</v>
      </c>
      <c r="N267" s="1096"/>
      <c r="O267" s="1096"/>
      <c r="P267" s="1096"/>
      <c r="Q267" s="1096"/>
      <c r="R267" s="1096"/>
      <c r="S267" s="1096"/>
      <c r="T267" s="1096"/>
      <c r="U267" s="5" t="s">
        <v>1192</v>
      </c>
      <c r="AA267" s="1118"/>
      <c r="AB267" s="1118"/>
      <c r="AC267" s="1118"/>
      <c r="AD267" s="1118"/>
      <c r="AE267" s="1118"/>
      <c r="AF267" s="1118"/>
      <c r="AG267" s="1118"/>
      <c r="AH267" s="1118"/>
      <c r="AI267" s="1118"/>
      <c r="AJ267" s="1118"/>
      <c r="AK267" s="111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4" t="str">
        <f>BO245</f>
        <v>Nonprofit</v>
      </c>
      <c r="U269" s="1144"/>
      <c r="V269" s="1144"/>
      <c r="W269" s="1144"/>
      <c r="X269" s="1144"/>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21" t="s">
        <v>934</v>
      </c>
      <c r="E272" s="1121"/>
      <c r="F272" s="1121"/>
      <c r="G272" s="1121"/>
      <c r="H272" s="1121"/>
      <c r="J272" t="s">
        <v>933</v>
      </c>
      <c r="X272" s="1310"/>
      <c r="Y272" s="1310"/>
      <c r="Z272" s="1310"/>
      <c r="AA272" s="1310"/>
      <c r="AB272" s="1310"/>
      <c r="AC272" s="131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9" t="s">
        <v>2358</v>
      </c>
      <c r="M276" s="1290"/>
      <c r="N276" s="1290"/>
      <c r="O276" s="1290"/>
      <c r="P276" s="1290"/>
      <c r="Q276" s="1290"/>
      <c r="R276" s="1290"/>
      <c r="S276" s="1290"/>
      <c r="T276" s="1290"/>
      <c r="U276" s="1290"/>
      <c r="V276" s="1290"/>
      <c r="W276" s="1290"/>
      <c r="X276" s="1290"/>
      <c r="Y276" s="1290"/>
      <c r="Z276" s="1290"/>
      <c r="AA276" s="1290"/>
      <c r="AB276" s="1290"/>
      <c r="AC276" s="1290"/>
      <c r="AD276" s="1290"/>
      <c r="AE276" s="1290"/>
      <c r="AF276" s="1290"/>
      <c r="AG276" s="1290"/>
      <c r="AH276" s="1290"/>
      <c r="AI276" s="1290"/>
      <c r="AJ276" s="1290"/>
      <c r="AK276" s="41"/>
      <c r="AL276" s="41"/>
      <c r="BA276" s="43"/>
    </row>
    <row r="277" spans="1:53" ht="12.95" customHeight="1">
      <c r="D277" s="5" t="s">
        <v>397</v>
      </c>
      <c r="E277" s="5"/>
      <c r="F277" s="5"/>
      <c r="G277" s="5"/>
      <c r="H277" s="5"/>
      <c r="I277" s="5"/>
      <c r="J277" s="5"/>
      <c r="K277" s="5"/>
      <c r="L277" s="1292" t="s">
        <v>2370</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2.95" customHeight="1">
      <c r="D278" s="5" t="s">
        <v>459</v>
      </c>
      <c r="E278" s="5"/>
      <c r="L278" s="1292" t="s">
        <v>2371</v>
      </c>
      <c r="M278" s="1121"/>
      <c r="N278" s="1121"/>
      <c r="O278" s="1121"/>
      <c r="P278" s="1121"/>
      <c r="Q278" s="1121"/>
      <c r="R278" s="1121"/>
      <c r="S278" s="1121"/>
      <c r="U278" s="42" t="s">
        <v>398</v>
      </c>
      <c r="V278" s="1146" t="s">
        <v>2372</v>
      </c>
      <c r="W278" s="1291"/>
      <c r="X278" s="5" t="s">
        <v>462</v>
      </c>
      <c r="AB278" s="1121">
        <v>94541</v>
      </c>
      <c r="AC278" s="1121"/>
      <c r="AD278" s="1121"/>
      <c r="AK278" s="41"/>
      <c r="AL278" s="41"/>
      <c r="BA278" s="43"/>
    </row>
    <row r="279" spans="1:53" ht="12.95" customHeight="1">
      <c r="D279" s="5" t="s">
        <v>399</v>
      </c>
      <c r="E279" s="5"/>
      <c r="F279" s="5"/>
      <c r="G279" s="5"/>
      <c r="H279" s="5"/>
      <c r="I279" s="5"/>
      <c r="J279" s="5"/>
      <c r="K279" s="28"/>
      <c r="L279" s="1292" t="s">
        <v>2379</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2.95" customHeight="1">
      <c r="D280" s="5" t="s">
        <v>400</v>
      </c>
      <c r="E280" s="5"/>
      <c r="F280" s="5"/>
      <c r="L280" s="1129" t="s">
        <v>2380</v>
      </c>
      <c r="M280" s="1119"/>
      <c r="N280" s="1119"/>
      <c r="O280" s="1119"/>
      <c r="P280" s="1119"/>
      <c r="Q280" s="1119"/>
      <c r="R280" s="5" t="s">
        <v>859</v>
      </c>
      <c r="S280" s="5"/>
      <c r="T280" s="1291"/>
      <c r="U280" s="1291"/>
      <c r="V280" s="1291"/>
      <c r="W280" s="5" t="s">
        <v>401</v>
      </c>
      <c r="Y280" s="1119"/>
      <c r="Z280" s="1119"/>
      <c r="AA280" s="1119"/>
      <c r="AB280" s="1119"/>
      <c r="AC280" s="1119"/>
      <c r="AD280" s="1119"/>
      <c r="BA280" s="43"/>
    </row>
    <row r="281" spans="1:53" ht="12.95" customHeight="1">
      <c r="D281" s="5" t="s">
        <v>402</v>
      </c>
      <c r="E281" s="5"/>
      <c r="F281" s="5"/>
      <c r="L281" s="1145" t="s">
        <v>2381</v>
      </c>
      <c r="M281" s="1145"/>
      <c r="N281" s="1145"/>
      <c r="O281" s="1145"/>
      <c r="P281" s="1145"/>
      <c r="Q281" s="1145"/>
      <c r="R281" s="1145"/>
      <c r="S281" s="1145"/>
      <c r="T281" s="1145"/>
      <c r="U281" s="1145"/>
      <c r="V281" s="1145"/>
      <c r="W281" s="1145"/>
      <c r="X281" s="1145"/>
      <c r="Y281" s="1145"/>
      <c r="Z281" s="1145"/>
      <c r="AA281" s="1145"/>
      <c r="AB281" s="1145"/>
      <c r="AC281" s="1145"/>
      <c r="AD281" s="1145"/>
      <c r="AF281" s="5"/>
      <c r="AG281" s="5"/>
      <c r="AH281" s="5"/>
      <c r="AI281" s="5"/>
      <c r="AJ281" s="5"/>
      <c r="BA281" s="43"/>
    </row>
    <row r="282" spans="1:53" ht="12.95" customHeight="1">
      <c r="D282" s="41" t="s">
        <v>197</v>
      </c>
      <c r="E282" s="41"/>
      <c r="F282" s="41"/>
      <c r="G282" s="41"/>
      <c r="H282" s="41"/>
      <c r="I282" s="41"/>
      <c r="L282" s="1146" t="s">
        <v>2382</v>
      </c>
      <c r="M282" s="1146"/>
      <c r="N282" s="1146"/>
      <c r="O282" s="1146"/>
      <c r="P282" s="1146"/>
      <c r="Q282" s="1146"/>
      <c r="R282" s="1146"/>
      <c r="S282" s="1146"/>
      <c r="T282" s="1146"/>
      <c r="U282" s="1146"/>
      <c r="V282" s="1146"/>
      <c r="W282" s="1146"/>
      <c r="X282" s="1146"/>
      <c r="Y282" s="1146"/>
      <c r="Z282" s="1146"/>
      <c r="AA282" s="1146"/>
      <c r="AB282" s="1146"/>
      <c r="AC282" s="1146"/>
      <c r="AD282" s="1146"/>
      <c r="AK282" s="41"/>
      <c r="AL282" s="41"/>
      <c r="BA282" s="43"/>
    </row>
    <row r="283" spans="1:53" ht="12.95" customHeight="1">
      <c r="L283" s="4" t="s">
        <v>198</v>
      </c>
      <c r="BA283" s="43"/>
    </row>
    <row r="284" spans="1:53" ht="12.95" customHeight="1">
      <c r="A284" s="1294" t="s">
        <v>525</v>
      </c>
      <c r="B284" s="1294"/>
      <c r="C284" s="1294"/>
      <c r="D284" s="1294"/>
      <c r="E284" s="1294"/>
      <c r="F284" s="1294"/>
      <c r="G284" s="1294"/>
      <c r="H284" s="1294"/>
      <c r="I284" s="1294"/>
      <c r="J284" s="1294"/>
      <c r="K284" s="1294"/>
      <c r="L284" s="1294"/>
      <c r="M284" s="1294"/>
      <c r="N284" s="1294"/>
      <c r="O284" s="1294"/>
      <c r="P284" s="1294"/>
      <c r="Q284" s="1294"/>
      <c r="R284" s="1294"/>
      <c r="S284" s="1294"/>
      <c r="T284" s="1294"/>
      <c r="U284" s="1294"/>
      <c r="V284" s="1294"/>
      <c r="W284" s="1294"/>
      <c r="X284" s="1294"/>
      <c r="Y284" s="1294"/>
      <c r="Z284" s="1294"/>
      <c r="AA284" s="1294"/>
      <c r="AB284" s="1294"/>
      <c r="AC284" s="1294"/>
      <c r="AD284" s="1294"/>
      <c r="AE284" s="1294"/>
      <c r="AF284" s="1294"/>
      <c r="AG284" s="1294"/>
      <c r="AH284" s="1294"/>
      <c r="AI284" s="1294"/>
      <c r="AJ284" s="1294"/>
      <c r="AK284" s="1294"/>
      <c r="AL284" s="1294"/>
      <c r="BA284" s="43"/>
    </row>
    <row r="285" spans="1:53" ht="12.95" customHeight="1" thickBot="1">
      <c r="A285" s="1295"/>
      <c r="B285" s="1295"/>
      <c r="C285" s="1295"/>
      <c r="D285" s="1295"/>
      <c r="E285" s="1295"/>
      <c r="F285" s="1295"/>
      <c r="G285" s="1295"/>
      <c r="H285" s="1295"/>
      <c r="I285" s="1295"/>
      <c r="J285" s="1295"/>
      <c r="K285" s="1295"/>
      <c r="L285" s="1295"/>
      <c r="M285" s="1295"/>
      <c r="N285" s="1295"/>
      <c r="O285" s="1295"/>
      <c r="P285" s="1295"/>
      <c r="Q285" s="1295"/>
      <c r="R285" s="1295"/>
      <c r="S285" s="1295"/>
      <c r="T285" s="1295"/>
      <c r="U285" s="1295"/>
      <c r="V285" s="1295"/>
      <c r="W285" s="1295"/>
      <c r="X285" s="1295"/>
      <c r="Y285" s="1295"/>
      <c r="Z285" s="1295"/>
      <c r="AA285" s="1295"/>
      <c r="AB285" s="1295"/>
      <c r="AC285" s="1295"/>
      <c r="AD285" s="1295"/>
      <c r="AE285" s="1295"/>
      <c r="AF285" s="1295"/>
      <c r="AG285" s="1295"/>
      <c r="AH285" s="1295"/>
      <c r="AI285" s="1295"/>
      <c r="AJ285" s="1295"/>
      <c r="AK285" s="1295"/>
      <c r="AL285" s="1295"/>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5" t="s">
        <v>2358</v>
      </c>
      <c r="I289" s="1095"/>
      <c r="J289" s="1095"/>
      <c r="K289" s="1095"/>
      <c r="L289" s="1095"/>
      <c r="M289" s="1095"/>
      <c r="N289" s="1095"/>
      <c r="O289" s="1095"/>
      <c r="P289" s="1095"/>
      <c r="Q289" s="1095"/>
      <c r="R289" s="1095"/>
      <c r="T289" s="41" t="s">
        <v>781</v>
      </c>
      <c r="V289" s="41"/>
      <c r="W289" s="41"/>
      <c r="X289" s="41"/>
      <c r="Y289" s="41"/>
      <c r="AA289" s="1095" t="s">
        <v>2393</v>
      </c>
      <c r="AB289" s="1095"/>
      <c r="AC289" s="1095"/>
      <c r="AD289" s="1095"/>
      <c r="AE289" s="1095"/>
      <c r="AF289" s="1095"/>
      <c r="AG289" s="1095"/>
      <c r="AH289" s="1095"/>
      <c r="AI289" s="1095"/>
      <c r="AJ289" s="1095"/>
      <c r="AK289" s="1095"/>
      <c r="BA289" s="43"/>
    </row>
    <row r="290" spans="2:53" ht="12.95" customHeight="1">
      <c r="B290" s="41" t="s">
        <v>735</v>
      </c>
      <c r="C290" s="41"/>
      <c r="D290" s="41"/>
      <c r="E290" s="41"/>
      <c r="F290" s="41"/>
      <c r="H290" s="1096" t="s">
        <v>2370</v>
      </c>
      <c r="I290" s="1096"/>
      <c r="J290" s="1096"/>
      <c r="K290" s="1096"/>
      <c r="L290" s="1096"/>
      <c r="M290" s="1096"/>
      <c r="N290" s="1096"/>
      <c r="O290" s="1096"/>
      <c r="P290" s="1096"/>
      <c r="Q290" s="1096"/>
      <c r="R290" s="1096"/>
      <c r="T290" s="41" t="s">
        <v>735</v>
      </c>
      <c r="V290" s="41"/>
      <c r="W290" s="41"/>
      <c r="X290" s="41"/>
      <c r="Y290" s="41"/>
      <c r="AA290" s="1096" t="s">
        <v>2394</v>
      </c>
      <c r="AB290" s="1096"/>
      <c r="AC290" s="1096"/>
      <c r="AD290" s="1096"/>
      <c r="AE290" s="1096"/>
      <c r="AF290" s="1096"/>
      <c r="AG290" s="1096"/>
      <c r="AH290" s="1096"/>
      <c r="AI290" s="1096"/>
      <c r="AJ290" s="1096"/>
      <c r="AK290" s="1096"/>
      <c r="BA290" s="43"/>
    </row>
    <row r="291" spans="2:53" ht="12.95" customHeight="1">
      <c r="B291" s="41" t="s">
        <v>737</v>
      </c>
      <c r="C291" s="41"/>
      <c r="D291" s="41"/>
      <c r="E291" s="41"/>
      <c r="F291" s="41"/>
      <c r="H291" s="1096" t="s">
        <v>2383</v>
      </c>
      <c r="I291" s="1096"/>
      <c r="J291" s="1096"/>
      <c r="K291" s="1096"/>
      <c r="L291" s="1096"/>
      <c r="M291" s="1096"/>
      <c r="N291" s="1096"/>
      <c r="O291" s="1096"/>
      <c r="P291" s="1096"/>
      <c r="Q291" s="1096"/>
      <c r="R291" s="1096"/>
      <c r="T291" s="41" t="s">
        <v>736</v>
      </c>
      <c r="V291" s="41"/>
      <c r="W291" s="41"/>
      <c r="X291" s="41"/>
      <c r="Y291" s="41"/>
      <c r="AA291" s="1096" t="s">
        <v>2395</v>
      </c>
      <c r="AB291" s="1096"/>
      <c r="AC291" s="1096"/>
      <c r="AD291" s="1096"/>
      <c r="AE291" s="1096"/>
      <c r="AF291" s="1096"/>
      <c r="AG291" s="1096"/>
      <c r="AH291" s="1096"/>
      <c r="AI291" s="1096"/>
      <c r="AJ291" s="1096"/>
      <c r="AK291" s="1096"/>
      <c r="BA291" s="43"/>
    </row>
    <row r="292" spans="2:53" ht="12.95" customHeight="1">
      <c r="B292" s="41" t="s">
        <v>399</v>
      </c>
      <c r="C292" s="41"/>
      <c r="D292" s="41"/>
      <c r="E292" s="41"/>
      <c r="F292" s="41"/>
      <c r="H292" s="1096" t="s">
        <v>2384</v>
      </c>
      <c r="I292" s="1096"/>
      <c r="J292" s="1096"/>
      <c r="K292" s="1096"/>
      <c r="L292" s="1096"/>
      <c r="M292" s="1096"/>
      <c r="N292" s="1096"/>
      <c r="O292" s="1096"/>
      <c r="P292" s="1096"/>
      <c r="Q292" s="1096"/>
      <c r="R292" s="1096"/>
      <c r="T292" s="41" t="s">
        <v>399</v>
      </c>
      <c r="V292" s="41"/>
      <c r="W292" s="41"/>
      <c r="X292" s="41"/>
      <c r="Y292" s="41"/>
      <c r="AA292" s="1096" t="s">
        <v>2396</v>
      </c>
      <c r="AB292" s="1096"/>
      <c r="AC292" s="1096"/>
      <c r="AD292" s="1096"/>
      <c r="AE292" s="1096"/>
      <c r="AF292" s="1096"/>
      <c r="AG292" s="1096"/>
      <c r="AH292" s="1096"/>
      <c r="AI292" s="1096"/>
      <c r="AJ292" s="1096"/>
      <c r="AK292" s="1096"/>
      <c r="BA292" s="43"/>
    </row>
    <row r="293" spans="2:53" ht="12.95" customHeight="1">
      <c r="B293" s="41" t="s">
        <v>400</v>
      </c>
      <c r="C293" s="41"/>
      <c r="D293" s="41"/>
      <c r="E293" s="41"/>
      <c r="F293" s="41"/>
      <c r="G293" s="41"/>
      <c r="H293" s="1130" t="s">
        <v>2380</v>
      </c>
      <c r="I293" s="1118"/>
      <c r="J293" s="1118"/>
      <c r="K293" s="1118"/>
      <c r="L293" s="1118"/>
      <c r="M293" s="1118"/>
      <c r="N293" s="5" t="s">
        <v>859</v>
      </c>
      <c r="O293" s="5"/>
      <c r="P293" s="1121"/>
      <c r="Q293" s="1121"/>
      <c r="R293" s="1121"/>
      <c r="S293" s="41"/>
      <c r="T293" s="41" t="s">
        <v>400</v>
      </c>
      <c r="V293" s="41"/>
      <c r="W293" s="41"/>
      <c r="X293" s="41"/>
      <c r="Y293" s="41"/>
      <c r="AA293" s="1130" t="s">
        <v>2397</v>
      </c>
      <c r="AB293" s="1118"/>
      <c r="AC293" s="1118"/>
      <c r="AD293" s="1118"/>
      <c r="AE293" s="1118"/>
      <c r="AF293" s="1118"/>
      <c r="AG293" s="5" t="s">
        <v>859</v>
      </c>
      <c r="AH293" s="5"/>
      <c r="AI293" s="1121"/>
      <c r="AJ293" s="1121"/>
      <c r="AK293" s="1121"/>
      <c r="BA293" s="43"/>
    </row>
    <row r="294" spans="2:53" ht="12.95" customHeight="1">
      <c r="B294" s="41" t="s">
        <v>401</v>
      </c>
      <c r="C294" s="41"/>
      <c r="D294" s="41"/>
      <c r="E294" s="41"/>
      <c r="F294" s="41"/>
      <c r="G294" s="41"/>
      <c r="H294" s="1129" t="s">
        <v>2385</v>
      </c>
      <c r="I294" s="1119"/>
      <c r="J294" s="1119"/>
      <c r="K294" s="1119"/>
      <c r="L294" s="1119"/>
      <c r="M294" s="1119"/>
      <c r="N294" s="5"/>
      <c r="O294" s="5"/>
      <c r="P294" s="44"/>
      <c r="Q294" s="44"/>
      <c r="R294" s="44"/>
      <c r="S294" s="41"/>
      <c r="T294" s="41" t="s">
        <v>401</v>
      </c>
      <c r="V294" s="41"/>
      <c r="W294" s="41"/>
      <c r="X294" s="41"/>
      <c r="Y294" s="41"/>
      <c r="AA294" s="1119"/>
      <c r="AB294" s="1119"/>
      <c r="AC294" s="1119"/>
      <c r="AD294" s="1119"/>
      <c r="AE294" s="1119"/>
      <c r="AF294" s="1119"/>
      <c r="AG294" s="5"/>
      <c r="AH294" s="5"/>
      <c r="AI294" s="44"/>
      <c r="AJ294" s="44"/>
      <c r="AK294" s="44"/>
      <c r="BA294" s="43"/>
    </row>
    <row r="295" spans="2:53" ht="12.95" customHeight="1">
      <c r="B295" s="41" t="s">
        <v>738</v>
      </c>
      <c r="C295" s="41"/>
      <c r="D295" s="41"/>
      <c r="E295" s="41"/>
      <c r="F295" s="41"/>
      <c r="G295" s="41"/>
      <c r="H295" s="1096" t="s">
        <v>2381</v>
      </c>
      <c r="I295" s="1096"/>
      <c r="J295" s="1096"/>
      <c r="K295" s="1096"/>
      <c r="L295" s="1096"/>
      <c r="M295" s="1096"/>
      <c r="N295" s="1095"/>
      <c r="O295" s="1095"/>
      <c r="P295" s="1095"/>
      <c r="Q295" s="1095"/>
      <c r="R295" s="1095"/>
      <c r="S295" s="41"/>
      <c r="T295" s="41" t="s">
        <v>738</v>
      </c>
      <c r="V295" s="41"/>
      <c r="W295" s="41"/>
      <c r="X295" s="41"/>
      <c r="Y295" s="41"/>
      <c r="AA295" s="1096" t="s">
        <v>2398</v>
      </c>
      <c r="AB295" s="1096"/>
      <c r="AC295" s="1096"/>
      <c r="AD295" s="1096"/>
      <c r="AE295" s="1096"/>
      <c r="AF295" s="1096"/>
      <c r="AG295" s="1095"/>
      <c r="AH295" s="1095"/>
      <c r="AI295" s="1095"/>
      <c r="AJ295" s="1095"/>
      <c r="AK295" s="109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5" t="s">
        <v>2386</v>
      </c>
      <c r="I297" s="1095"/>
      <c r="J297" s="1095"/>
      <c r="K297" s="1095"/>
      <c r="L297" s="1095"/>
      <c r="M297" s="1095"/>
      <c r="N297" s="1095"/>
      <c r="O297" s="1095"/>
      <c r="P297" s="1095"/>
      <c r="Q297" s="1095"/>
      <c r="R297" s="1095"/>
      <c r="T297" s="41" t="s">
        <v>39</v>
      </c>
      <c r="V297" s="41"/>
      <c r="W297" s="41"/>
      <c r="X297" s="41"/>
      <c r="Y297" s="41"/>
      <c r="AA297" s="1095" t="s">
        <v>2399</v>
      </c>
      <c r="AB297" s="1095"/>
      <c r="AC297" s="1095"/>
      <c r="AD297" s="1095"/>
      <c r="AE297" s="1095"/>
      <c r="AF297" s="1095"/>
      <c r="AG297" s="1095"/>
      <c r="AH297" s="1095"/>
      <c r="AI297" s="1095"/>
      <c r="AJ297" s="1095"/>
      <c r="AK297" s="1095"/>
      <c r="BA297" s="43"/>
    </row>
    <row r="298" spans="2:53" ht="12.95" customHeight="1">
      <c r="B298" s="41" t="s">
        <v>735</v>
      </c>
      <c r="C298" s="41"/>
      <c r="D298" s="41"/>
      <c r="E298" s="41"/>
      <c r="F298" s="41"/>
      <c r="H298" s="1096" t="s">
        <v>2387</v>
      </c>
      <c r="I298" s="1096"/>
      <c r="J298" s="1096"/>
      <c r="K298" s="1096"/>
      <c r="L298" s="1096"/>
      <c r="M298" s="1096"/>
      <c r="N298" s="1096"/>
      <c r="O298" s="1096"/>
      <c r="P298" s="1096"/>
      <c r="Q298" s="1096"/>
      <c r="R298" s="1096"/>
      <c r="T298" s="41" t="s">
        <v>735</v>
      </c>
      <c r="V298" s="41"/>
      <c r="W298" s="41"/>
      <c r="X298" s="41"/>
      <c r="Y298" s="41"/>
      <c r="AA298" s="1096" t="s">
        <v>2400</v>
      </c>
      <c r="AB298" s="1096"/>
      <c r="AC298" s="1096"/>
      <c r="AD298" s="1096"/>
      <c r="AE298" s="1096"/>
      <c r="AF298" s="1096"/>
      <c r="AG298" s="1096"/>
      <c r="AH298" s="1096"/>
      <c r="AI298" s="1096"/>
      <c r="AJ298" s="1096"/>
      <c r="AK298" s="1096"/>
      <c r="BA298" s="43"/>
    </row>
    <row r="299" spans="2:53" ht="12.95" customHeight="1">
      <c r="B299" s="41" t="s">
        <v>737</v>
      </c>
      <c r="C299" s="41"/>
      <c r="D299" s="41"/>
      <c r="E299" s="41"/>
      <c r="F299" s="41"/>
      <c r="H299" s="1096" t="s">
        <v>2388</v>
      </c>
      <c r="I299" s="1096"/>
      <c r="J299" s="1096"/>
      <c r="K299" s="1096"/>
      <c r="L299" s="1096"/>
      <c r="M299" s="1096"/>
      <c r="N299" s="1096"/>
      <c r="O299" s="1096"/>
      <c r="P299" s="1096"/>
      <c r="Q299" s="1096"/>
      <c r="R299" s="1096"/>
      <c r="T299" s="41" t="s">
        <v>736</v>
      </c>
      <c r="V299" s="41"/>
      <c r="W299" s="41"/>
      <c r="X299" s="41"/>
      <c r="Y299" s="41"/>
      <c r="AA299" s="1096" t="s">
        <v>2401</v>
      </c>
      <c r="AB299" s="1096"/>
      <c r="AC299" s="1096"/>
      <c r="AD299" s="1096"/>
      <c r="AE299" s="1096"/>
      <c r="AF299" s="1096"/>
      <c r="AG299" s="1096"/>
      <c r="AH299" s="1096"/>
      <c r="AI299" s="1096"/>
      <c r="AJ299" s="1096"/>
      <c r="AK299" s="1096"/>
      <c r="BA299" s="43"/>
    </row>
    <row r="300" spans="2:53" ht="12.95" customHeight="1">
      <c r="B300" s="41" t="s">
        <v>399</v>
      </c>
      <c r="C300" s="41"/>
      <c r="D300" s="41"/>
      <c r="E300" s="41"/>
      <c r="F300" s="41"/>
      <c r="H300" s="1096" t="s">
        <v>2389</v>
      </c>
      <c r="I300" s="1096"/>
      <c r="J300" s="1096"/>
      <c r="K300" s="1096"/>
      <c r="L300" s="1096"/>
      <c r="M300" s="1096"/>
      <c r="N300" s="1096"/>
      <c r="O300" s="1096"/>
      <c r="P300" s="1096"/>
      <c r="Q300" s="1096"/>
      <c r="R300" s="1096"/>
      <c r="T300" s="41" t="s">
        <v>399</v>
      </c>
      <c r="V300" s="41"/>
      <c r="W300" s="41"/>
      <c r="X300" s="41"/>
      <c r="Y300" s="41"/>
      <c r="AA300" s="1096" t="s">
        <v>2402</v>
      </c>
      <c r="AB300" s="1096"/>
      <c r="AC300" s="1096"/>
      <c r="AD300" s="1096"/>
      <c r="AE300" s="1096"/>
      <c r="AF300" s="1096"/>
      <c r="AG300" s="1096"/>
      <c r="AH300" s="1096"/>
      <c r="AI300" s="1096"/>
      <c r="AJ300" s="1096"/>
      <c r="AK300" s="1096"/>
      <c r="BA300" s="43"/>
    </row>
    <row r="301" spans="2:53" ht="12.95" customHeight="1">
      <c r="B301" s="41" t="s">
        <v>400</v>
      </c>
      <c r="C301" s="41"/>
      <c r="D301" s="41"/>
      <c r="E301" s="41"/>
      <c r="F301" s="41"/>
      <c r="G301" s="41"/>
      <c r="H301" s="1130" t="s">
        <v>2390</v>
      </c>
      <c r="I301" s="1118"/>
      <c r="J301" s="1118"/>
      <c r="K301" s="1118"/>
      <c r="L301" s="1118"/>
      <c r="M301" s="1118"/>
      <c r="N301" s="5" t="s">
        <v>859</v>
      </c>
      <c r="O301" s="5"/>
      <c r="P301" s="1121"/>
      <c r="Q301" s="1121"/>
      <c r="R301" s="1121"/>
      <c r="S301" s="41"/>
      <c r="T301" s="41" t="s">
        <v>400</v>
      </c>
      <c r="V301" s="41"/>
      <c r="W301" s="41"/>
      <c r="X301" s="41"/>
      <c r="Y301" s="41"/>
      <c r="AA301" s="1118" t="s">
        <v>2403</v>
      </c>
      <c r="AB301" s="1118"/>
      <c r="AC301" s="1118"/>
      <c r="AD301" s="1118"/>
      <c r="AE301" s="1118"/>
      <c r="AF301" s="1118"/>
      <c r="AG301" s="5" t="s">
        <v>859</v>
      </c>
      <c r="AH301" s="5"/>
      <c r="AI301" s="1121"/>
      <c r="AJ301" s="1121"/>
      <c r="AK301" s="1121"/>
      <c r="BA301" s="43"/>
    </row>
    <row r="302" spans="2:53" ht="12.95" customHeight="1">
      <c r="B302" s="41" t="s">
        <v>401</v>
      </c>
      <c r="C302" s="41"/>
      <c r="D302" s="41"/>
      <c r="E302" s="41"/>
      <c r="F302" s="41"/>
      <c r="G302" s="41"/>
      <c r="H302" s="1129" t="s">
        <v>2391</v>
      </c>
      <c r="I302" s="1119"/>
      <c r="J302" s="1119"/>
      <c r="K302" s="1119"/>
      <c r="L302" s="1119"/>
      <c r="M302" s="1119"/>
      <c r="N302" s="5"/>
      <c r="O302" s="5"/>
      <c r="P302" s="44"/>
      <c r="Q302" s="44"/>
      <c r="R302" s="44"/>
      <c r="S302" s="41"/>
      <c r="T302" s="41" t="s">
        <v>401</v>
      </c>
      <c r="V302" s="41"/>
      <c r="W302" s="41"/>
      <c r="X302" s="41"/>
      <c r="Y302" s="41"/>
      <c r="AA302" s="1119" t="s">
        <v>2404</v>
      </c>
      <c r="AB302" s="1119"/>
      <c r="AC302" s="1119"/>
      <c r="AD302" s="1119"/>
      <c r="AE302" s="1119"/>
      <c r="AF302" s="1119"/>
      <c r="AG302" s="5"/>
      <c r="AH302" s="5"/>
      <c r="AI302" s="44"/>
      <c r="AJ302" s="44"/>
      <c r="AK302" s="44"/>
      <c r="BA302" s="43"/>
    </row>
    <row r="303" spans="2:53" ht="12.95" customHeight="1">
      <c r="B303" s="41" t="s">
        <v>738</v>
      </c>
      <c r="C303" s="41"/>
      <c r="D303" s="41"/>
      <c r="E303" s="41"/>
      <c r="F303" s="41"/>
      <c r="G303" s="41"/>
      <c r="H303" s="1096" t="s">
        <v>2392</v>
      </c>
      <c r="I303" s="1096"/>
      <c r="J303" s="1096"/>
      <c r="K303" s="1096"/>
      <c r="L303" s="1096"/>
      <c r="M303" s="1096"/>
      <c r="N303" s="1095"/>
      <c r="O303" s="1095"/>
      <c r="P303" s="1095"/>
      <c r="Q303" s="1095"/>
      <c r="R303" s="1095"/>
      <c r="S303" s="41"/>
      <c r="T303" s="41" t="s">
        <v>738</v>
      </c>
      <c r="V303" s="41"/>
      <c r="W303" s="41"/>
      <c r="X303" s="41"/>
      <c r="Y303" s="41"/>
      <c r="AA303" s="1096" t="s">
        <v>2405</v>
      </c>
      <c r="AB303" s="1096"/>
      <c r="AC303" s="1096"/>
      <c r="AD303" s="1096"/>
      <c r="AE303" s="1096"/>
      <c r="AF303" s="1096"/>
      <c r="AG303" s="1095"/>
      <c r="AH303" s="1095"/>
      <c r="AI303" s="1095"/>
      <c r="AJ303" s="1095"/>
      <c r="AK303" s="1095"/>
      <c r="BA303" s="43"/>
    </row>
    <row r="304" spans="2:53" ht="12.95" customHeight="1">
      <c r="BA304" s="43"/>
    </row>
    <row r="305" spans="2:53" ht="12.95" customHeight="1">
      <c r="B305" s="41" t="s">
        <v>739</v>
      </c>
      <c r="C305" s="41"/>
      <c r="D305" s="41"/>
      <c r="E305" s="41"/>
      <c r="F305" s="41"/>
      <c r="H305" s="1095" t="s">
        <v>2386</v>
      </c>
      <c r="I305" s="1095"/>
      <c r="J305" s="1095"/>
      <c r="K305" s="1095"/>
      <c r="L305" s="1095"/>
      <c r="M305" s="1095"/>
      <c r="N305" s="1095"/>
      <c r="O305" s="1095"/>
      <c r="P305" s="1095"/>
      <c r="Q305" s="1095"/>
      <c r="R305" s="1095"/>
      <c r="T305" s="5" t="s">
        <v>1152</v>
      </c>
      <c r="V305" s="41"/>
      <c r="W305" s="41"/>
      <c r="X305" s="41"/>
      <c r="Y305" s="41"/>
      <c r="AA305" s="1095" t="s">
        <v>2406</v>
      </c>
      <c r="AB305" s="1095"/>
      <c r="AC305" s="1095"/>
      <c r="AD305" s="1095"/>
      <c r="AE305" s="1095"/>
      <c r="AF305" s="1095"/>
      <c r="AG305" s="1095"/>
      <c r="AH305" s="1095"/>
      <c r="AI305" s="1095"/>
      <c r="AJ305" s="1095"/>
      <c r="AK305" s="1095"/>
      <c r="BA305" s="43"/>
    </row>
    <row r="306" spans="2:53" ht="12.95" customHeight="1">
      <c r="B306" s="41" t="s">
        <v>735</v>
      </c>
      <c r="C306" s="41"/>
      <c r="D306" s="41"/>
      <c r="E306" s="41"/>
      <c r="F306" s="41"/>
      <c r="H306" s="1096" t="s">
        <v>2387</v>
      </c>
      <c r="I306" s="1096"/>
      <c r="J306" s="1096"/>
      <c r="K306" s="1096"/>
      <c r="L306" s="1096"/>
      <c r="M306" s="1096"/>
      <c r="N306" s="1096"/>
      <c r="O306" s="1096"/>
      <c r="P306" s="1096"/>
      <c r="Q306" s="1096"/>
      <c r="R306" s="1096"/>
      <c r="T306" s="41" t="s">
        <v>735</v>
      </c>
      <c r="V306" s="41"/>
      <c r="W306" s="41"/>
      <c r="X306" s="41"/>
      <c r="Y306" s="41"/>
      <c r="AA306" s="1096" t="s">
        <v>2407</v>
      </c>
      <c r="AB306" s="1096"/>
      <c r="AC306" s="1096"/>
      <c r="AD306" s="1096"/>
      <c r="AE306" s="1096"/>
      <c r="AF306" s="1096"/>
      <c r="AG306" s="1096"/>
      <c r="AH306" s="1096"/>
      <c r="AI306" s="1096"/>
      <c r="AJ306" s="1096"/>
      <c r="AK306" s="1096"/>
      <c r="BA306" s="43"/>
    </row>
    <row r="307" spans="2:53" ht="12.95" customHeight="1">
      <c r="B307" s="41" t="s">
        <v>737</v>
      </c>
      <c r="C307" s="41"/>
      <c r="D307" s="41"/>
      <c r="E307" s="41"/>
      <c r="F307" s="41"/>
      <c r="H307" s="1096" t="s">
        <v>2388</v>
      </c>
      <c r="I307" s="1096"/>
      <c r="J307" s="1096"/>
      <c r="K307" s="1096"/>
      <c r="L307" s="1096"/>
      <c r="M307" s="1096"/>
      <c r="N307" s="1096"/>
      <c r="O307" s="1096"/>
      <c r="P307" s="1096"/>
      <c r="Q307" s="1096"/>
      <c r="R307" s="1096"/>
      <c r="T307" s="41" t="s">
        <v>736</v>
      </c>
      <c r="V307" s="41"/>
      <c r="W307" s="41"/>
      <c r="X307" s="41"/>
      <c r="Y307" s="41"/>
      <c r="AA307" s="1096" t="s">
        <v>2388</v>
      </c>
      <c r="AB307" s="1096"/>
      <c r="AC307" s="1096"/>
      <c r="AD307" s="1096"/>
      <c r="AE307" s="1096"/>
      <c r="AF307" s="1096"/>
      <c r="AG307" s="1096"/>
      <c r="AH307" s="1096"/>
      <c r="AI307" s="1096"/>
      <c r="AJ307" s="1096"/>
      <c r="AK307" s="1096"/>
      <c r="BA307" s="43"/>
    </row>
    <row r="308" spans="2:53" ht="12.95" customHeight="1">
      <c r="B308" s="41" t="s">
        <v>399</v>
      </c>
      <c r="C308" s="41"/>
      <c r="D308" s="41"/>
      <c r="E308" s="41"/>
      <c r="F308" s="41"/>
      <c r="H308" s="1096" t="s">
        <v>2389</v>
      </c>
      <c r="I308" s="1096"/>
      <c r="J308" s="1096"/>
      <c r="K308" s="1096"/>
      <c r="L308" s="1096"/>
      <c r="M308" s="1096"/>
      <c r="N308" s="1096"/>
      <c r="O308" s="1096"/>
      <c r="P308" s="1096"/>
      <c r="Q308" s="1096"/>
      <c r="R308" s="1096"/>
      <c r="T308" s="41" t="s">
        <v>399</v>
      </c>
      <c r="V308" s="41"/>
      <c r="W308" s="41"/>
      <c r="X308" s="41"/>
      <c r="Y308" s="41"/>
      <c r="AA308" s="1096" t="s">
        <v>2408</v>
      </c>
      <c r="AB308" s="1096"/>
      <c r="AC308" s="1096"/>
      <c r="AD308" s="1096"/>
      <c r="AE308" s="1096"/>
      <c r="AF308" s="1096"/>
      <c r="AG308" s="1096"/>
      <c r="AH308" s="1096"/>
      <c r="AI308" s="1096"/>
      <c r="AJ308" s="1096"/>
      <c r="AK308" s="1096"/>
      <c r="BA308" s="43"/>
    </row>
    <row r="309" spans="2:53" ht="12.95" customHeight="1">
      <c r="B309" s="41" t="s">
        <v>400</v>
      </c>
      <c r="C309" s="41"/>
      <c r="D309" s="41"/>
      <c r="E309" s="41"/>
      <c r="F309" s="41"/>
      <c r="G309" s="41"/>
      <c r="H309" s="1118" t="s">
        <v>2390</v>
      </c>
      <c r="I309" s="1118"/>
      <c r="J309" s="1118"/>
      <c r="K309" s="1118"/>
      <c r="L309" s="1118"/>
      <c r="M309" s="1118"/>
      <c r="N309" s="5" t="s">
        <v>859</v>
      </c>
      <c r="O309" s="5"/>
      <c r="P309" s="1121"/>
      <c r="Q309" s="1121"/>
      <c r="R309" s="1121"/>
      <c r="S309" s="41"/>
      <c r="T309" s="41" t="s">
        <v>400</v>
      </c>
      <c r="V309" s="41"/>
      <c r="W309" s="41"/>
      <c r="X309" s="41"/>
      <c r="Y309" s="41"/>
      <c r="AA309" s="1118" t="s">
        <v>2409</v>
      </c>
      <c r="AB309" s="1118"/>
      <c r="AC309" s="1118"/>
      <c r="AD309" s="1118"/>
      <c r="AE309" s="1118"/>
      <c r="AF309" s="1118"/>
      <c r="AG309" s="5" t="s">
        <v>859</v>
      </c>
      <c r="AH309" s="5"/>
      <c r="AI309" s="1121"/>
      <c r="AJ309" s="1121"/>
      <c r="AK309" s="1121"/>
      <c r="BA309" s="43"/>
    </row>
    <row r="310" spans="2:53" ht="12.95" customHeight="1">
      <c r="B310" s="41" t="s">
        <v>401</v>
      </c>
      <c r="C310" s="41"/>
      <c r="D310" s="41"/>
      <c r="E310" s="41"/>
      <c r="F310" s="41"/>
      <c r="G310" s="41"/>
      <c r="H310" s="1119" t="s">
        <v>2391</v>
      </c>
      <c r="I310" s="1119"/>
      <c r="J310" s="1119"/>
      <c r="K310" s="1119"/>
      <c r="L310" s="1119"/>
      <c r="M310" s="1119"/>
      <c r="N310" s="5"/>
      <c r="O310" s="5"/>
      <c r="P310" s="44"/>
      <c r="Q310" s="44"/>
      <c r="R310" s="44"/>
      <c r="S310" s="41"/>
      <c r="T310" s="41" t="s">
        <v>401</v>
      </c>
      <c r="V310" s="41"/>
      <c r="W310" s="41"/>
      <c r="X310" s="41"/>
      <c r="Y310" s="41"/>
      <c r="AA310" s="1119"/>
      <c r="AB310" s="1119"/>
      <c r="AC310" s="1119"/>
      <c r="AD310" s="1119"/>
      <c r="AE310" s="1119"/>
      <c r="AF310" s="1119"/>
      <c r="AG310" s="5"/>
      <c r="AH310" s="5"/>
      <c r="AI310" s="44"/>
      <c r="AJ310" s="44"/>
      <c r="AK310" s="44"/>
      <c r="BA310" s="43"/>
    </row>
    <row r="311" spans="2:53" ht="12.95" customHeight="1">
      <c r="B311" s="41" t="s">
        <v>738</v>
      </c>
      <c r="C311" s="41"/>
      <c r="D311" s="41"/>
      <c r="E311" s="41"/>
      <c r="F311" s="41"/>
      <c r="G311" s="41"/>
      <c r="H311" s="1096" t="s">
        <v>2392</v>
      </c>
      <c r="I311" s="1096"/>
      <c r="J311" s="1096"/>
      <c r="K311" s="1096"/>
      <c r="L311" s="1096"/>
      <c r="M311" s="1096"/>
      <c r="N311" s="1095"/>
      <c r="O311" s="1095"/>
      <c r="P311" s="1095"/>
      <c r="Q311" s="1095"/>
      <c r="R311" s="1095"/>
      <c r="S311" s="41"/>
      <c r="T311" s="41" t="s">
        <v>738</v>
      </c>
      <c r="V311" s="41"/>
      <c r="W311" s="41"/>
      <c r="X311" s="41"/>
      <c r="Y311" s="41"/>
      <c r="AA311" s="1096" t="s">
        <v>2410</v>
      </c>
      <c r="AB311" s="1096"/>
      <c r="AC311" s="1096"/>
      <c r="AD311" s="1096"/>
      <c r="AE311" s="1096"/>
      <c r="AF311" s="1096"/>
      <c r="AG311" s="1095"/>
      <c r="AH311" s="1095"/>
      <c r="AI311" s="1095"/>
      <c r="AJ311" s="1095"/>
      <c r="AK311" s="1095"/>
      <c r="BA311" s="43"/>
    </row>
    <row r="312" spans="2:53" ht="12.95" customHeight="1">
      <c r="BA312" s="43"/>
    </row>
    <row r="313" spans="2:53" ht="12.95" customHeight="1">
      <c r="B313" s="5" t="s">
        <v>1194</v>
      </c>
      <c r="C313" s="41"/>
      <c r="D313" s="41"/>
      <c r="E313" s="41"/>
      <c r="F313" s="41"/>
      <c r="H313" s="1095" t="s">
        <v>2411</v>
      </c>
      <c r="I313" s="1095"/>
      <c r="J313" s="1095"/>
      <c r="K313" s="1095"/>
      <c r="L313" s="1095"/>
      <c r="M313" s="1095"/>
      <c r="N313" s="1095"/>
      <c r="O313" s="1095"/>
      <c r="P313" s="1095"/>
      <c r="Q313" s="1095"/>
      <c r="R313" s="1095"/>
      <c r="T313" s="41" t="s">
        <v>40</v>
      </c>
      <c r="V313" s="41"/>
      <c r="W313" s="41"/>
      <c r="X313" s="41"/>
      <c r="Y313" s="41"/>
      <c r="AA313" s="1095" t="s">
        <v>2417</v>
      </c>
      <c r="AB313" s="1095"/>
      <c r="AC313" s="1095"/>
      <c r="AD313" s="1095"/>
      <c r="AE313" s="1095"/>
      <c r="AF313" s="1095"/>
      <c r="AG313" s="1095"/>
      <c r="AH313" s="1095"/>
      <c r="AI313" s="1095"/>
      <c r="AJ313" s="1095"/>
      <c r="AK313" s="1095"/>
      <c r="BA313" s="43"/>
    </row>
    <row r="314" spans="2:53" ht="12.95" customHeight="1">
      <c r="B314" s="41" t="s">
        <v>735</v>
      </c>
      <c r="C314" s="41"/>
      <c r="D314" s="41"/>
      <c r="E314" s="41"/>
      <c r="F314" s="41"/>
      <c r="H314" s="1096" t="s">
        <v>2412</v>
      </c>
      <c r="I314" s="1096"/>
      <c r="J314" s="1096"/>
      <c r="K314" s="1096"/>
      <c r="L314" s="1096"/>
      <c r="M314" s="1096"/>
      <c r="N314" s="1096"/>
      <c r="O314" s="1096"/>
      <c r="P314" s="1096"/>
      <c r="Q314" s="1096"/>
      <c r="R314" s="1096"/>
      <c r="T314" s="41" t="s">
        <v>735</v>
      </c>
      <c r="V314" s="41"/>
      <c r="W314" s="41"/>
      <c r="X314" s="41"/>
      <c r="Y314" s="41"/>
      <c r="AA314" s="1096"/>
      <c r="AB314" s="1096"/>
      <c r="AC314" s="1096"/>
      <c r="AD314" s="1096"/>
      <c r="AE314" s="1096"/>
      <c r="AF314" s="1096"/>
      <c r="AG314" s="1096"/>
      <c r="AH314" s="1096"/>
      <c r="AI314" s="1096"/>
      <c r="AJ314" s="1096"/>
      <c r="AK314" s="1096"/>
      <c r="BA314" s="43"/>
    </row>
    <row r="315" spans="2:53" ht="12.95" customHeight="1">
      <c r="B315" s="41" t="s">
        <v>737</v>
      </c>
      <c r="C315" s="41"/>
      <c r="D315" s="41"/>
      <c r="E315" s="41"/>
      <c r="F315" s="41"/>
      <c r="H315" s="1096" t="s">
        <v>2413</v>
      </c>
      <c r="I315" s="1096"/>
      <c r="J315" s="1096"/>
      <c r="K315" s="1096"/>
      <c r="L315" s="1096"/>
      <c r="M315" s="1096"/>
      <c r="N315" s="1096"/>
      <c r="O315" s="1096"/>
      <c r="P315" s="1096"/>
      <c r="Q315" s="1096"/>
      <c r="R315" s="1096"/>
      <c r="T315" s="41" t="s">
        <v>736</v>
      </c>
      <c r="V315" s="41"/>
      <c r="W315" s="41"/>
      <c r="X315" s="41"/>
      <c r="Y315" s="41"/>
      <c r="AA315" s="1096"/>
      <c r="AB315" s="1096"/>
      <c r="AC315" s="1096"/>
      <c r="AD315" s="1096"/>
      <c r="AE315" s="1096"/>
      <c r="AF315" s="1096"/>
      <c r="AG315" s="1096"/>
      <c r="AH315" s="1096"/>
      <c r="AI315" s="1096"/>
      <c r="AJ315" s="1096"/>
      <c r="AK315" s="1096"/>
      <c r="BA315" s="43"/>
    </row>
    <row r="316" spans="2:53" ht="12.95" customHeight="1">
      <c r="B316" s="41" t="s">
        <v>399</v>
      </c>
      <c r="C316" s="41"/>
      <c r="D316" s="41"/>
      <c r="E316" s="41"/>
      <c r="F316" s="41"/>
      <c r="H316" s="1096" t="s">
        <v>2414</v>
      </c>
      <c r="I316" s="1096"/>
      <c r="J316" s="1096"/>
      <c r="K316" s="1096"/>
      <c r="L316" s="1096"/>
      <c r="M316" s="1096"/>
      <c r="N316" s="1096"/>
      <c r="O316" s="1096"/>
      <c r="P316" s="1096"/>
      <c r="Q316" s="1096"/>
      <c r="R316" s="1096"/>
      <c r="T316" s="41" t="s">
        <v>399</v>
      </c>
      <c r="V316" s="41"/>
      <c r="W316" s="41"/>
      <c r="X316" s="41"/>
      <c r="Y316" s="41"/>
      <c r="AA316" s="1096"/>
      <c r="AB316" s="1096"/>
      <c r="AC316" s="1096"/>
      <c r="AD316" s="1096"/>
      <c r="AE316" s="1096"/>
      <c r="AF316" s="1096"/>
      <c r="AG316" s="1096"/>
      <c r="AH316" s="1096"/>
      <c r="AI316" s="1096"/>
      <c r="AJ316" s="1096"/>
      <c r="AK316" s="1096"/>
      <c r="BA316" s="43"/>
    </row>
    <row r="317" spans="2:53" ht="12.95" customHeight="1">
      <c r="B317" s="41" t="s">
        <v>400</v>
      </c>
      <c r="C317" s="41"/>
      <c r="D317" s="41"/>
      <c r="E317" s="41"/>
      <c r="F317" s="41"/>
      <c r="G317" s="41"/>
      <c r="H317" s="1118" t="s">
        <v>2415</v>
      </c>
      <c r="I317" s="1118"/>
      <c r="J317" s="1118"/>
      <c r="K317" s="1118"/>
      <c r="L317" s="1118"/>
      <c r="M317" s="1118"/>
      <c r="N317" s="5" t="s">
        <v>859</v>
      </c>
      <c r="O317" s="5"/>
      <c r="P317" s="1121"/>
      <c r="Q317" s="1121"/>
      <c r="R317" s="1121"/>
      <c r="S317" s="41"/>
      <c r="T317" s="41" t="s">
        <v>400</v>
      </c>
      <c r="V317" s="41"/>
      <c r="W317" s="41"/>
      <c r="X317" s="41"/>
      <c r="Y317" s="41"/>
      <c r="AA317" s="1118"/>
      <c r="AB317" s="1118"/>
      <c r="AC317" s="1118"/>
      <c r="AD317" s="1118"/>
      <c r="AE317" s="1118"/>
      <c r="AF317" s="1118"/>
      <c r="AG317" s="5" t="s">
        <v>859</v>
      </c>
      <c r="AH317" s="5"/>
      <c r="AI317" s="1121"/>
      <c r="AJ317" s="1121"/>
      <c r="AK317" s="1121"/>
      <c r="BA317" s="43"/>
    </row>
    <row r="318" spans="2:53" ht="12.95" customHeight="1">
      <c r="B318" s="41" t="s">
        <v>401</v>
      </c>
      <c r="C318" s="41"/>
      <c r="D318" s="41"/>
      <c r="E318" s="41"/>
      <c r="F318" s="41"/>
      <c r="G318" s="41"/>
      <c r="H318" s="1119"/>
      <c r="I318" s="1119"/>
      <c r="J318" s="1119"/>
      <c r="K318" s="1119"/>
      <c r="L318" s="1119"/>
      <c r="M318" s="1119"/>
      <c r="N318" s="5"/>
      <c r="O318" s="5"/>
      <c r="P318" s="44"/>
      <c r="Q318" s="44"/>
      <c r="R318" s="44"/>
      <c r="S318" s="41"/>
      <c r="T318" s="41" t="s">
        <v>401</v>
      </c>
      <c r="V318" s="41"/>
      <c r="W318" s="41"/>
      <c r="X318" s="41"/>
      <c r="Y318" s="41"/>
      <c r="AA318" s="1119"/>
      <c r="AB318" s="1119"/>
      <c r="AC318" s="1119"/>
      <c r="AD318" s="1119"/>
      <c r="AE318" s="1119"/>
      <c r="AF318" s="1119"/>
      <c r="AG318" s="5"/>
      <c r="AH318" s="5"/>
      <c r="AI318" s="44"/>
      <c r="AJ318" s="44"/>
      <c r="AK318" s="44"/>
      <c r="BA318" s="43"/>
    </row>
    <row r="319" spans="2:53" ht="12.95" customHeight="1">
      <c r="B319" s="41" t="s">
        <v>738</v>
      </c>
      <c r="C319" s="41"/>
      <c r="D319" s="41"/>
      <c r="E319" s="41"/>
      <c r="F319" s="41"/>
      <c r="G319" s="41"/>
      <c r="H319" s="1096" t="s">
        <v>2416</v>
      </c>
      <c r="I319" s="1096"/>
      <c r="J319" s="1096"/>
      <c r="K319" s="1096"/>
      <c r="L319" s="1096"/>
      <c r="M319" s="1096"/>
      <c r="N319" s="1095"/>
      <c r="O319" s="1095"/>
      <c r="P319" s="1095"/>
      <c r="Q319" s="1095"/>
      <c r="R319" s="1095"/>
      <c r="S319" s="41"/>
      <c r="T319" s="41" t="s">
        <v>738</v>
      </c>
      <c r="V319" s="41"/>
      <c r="W319" s="41"/>
      <c r="X319" s="41"/>
      <c r="Y319" s="41"/>
      <c r="AA319" s="1096"/>
      <c r="AB319" s="1096"/>
      <c r="AC319" s="1096"/>
      <c r="AD319" s="1096"/>
      <c r="AE319" s="1096"/>
      <c r="AF319" s="1096"/>
      <c r="AG319" s="1095"/>
      <c r="AH319" s="1095"/>
      <c r="AI319" s="1095"/>
      <c r="AJ319" s="1095"/>
      <c r="AK319" s="109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5" t="s">
        <v>2418</v>
      </c>
      <c r="I321" s="1095"/>
      <c r="J321" s="1095"/>
      <c r="K321" s="1095"/>
      <c r="L321" s="1095"/>
      <c r="M321" s="1095"/>
      <c r="N321" s="1095"/>
      <c r="O321" s="1095"/>
      <c r="P321" s="1095"/>
      <c r="Q321" s="1095"/>
      <c r="R321" s="1095"/>
      <c r="T321" s="41" t="s">
        <v>41</v>
      </c>
      <c r="V321" s="41"/>
      <c r="W321" s="41"/>
      <c r="X321" s="41"/>
      <c r="Y321" s="41"/>
      <c r="AA321" s="1095" t="s">
        <v>2421</v>
      </c>
      <c r="AB321" s="1095"/>
      <c r="AC321" s="1095"/>
      <c r="AD321" s="1095"/>
      <c r="AE321" s="1095"/>
      <c r="AF321" s="1095"/>
      <c r="AG321" s="1095"/>
      <c r="AH321" s="1095"/>
      <c r="AI321" s="1095"/>
      <c r="AJ321" s="1095"/>
      <c r="AK321" s="1095"/>
      <c r="BA321" s="43"/>
    </row>
    <row r="322" spans="2:53" ht="12.95" customHeight="1">
      <c r="B322" s="41" t="s">
        <v>735</v>
      </c>
      <c r="C322" s="41"/>
      <c r="D322" s="41"/>
      <c r="E322" s="41"/>
      <c r="F322" s="41"/>
      <c r="H322" s="1096" t="s">
        <v>2419</v>
      </c>
      <c r="I322" s="1096"/>
      <c r="J322" s="1096"/>
      <c r="K322" s="1096"/>
      <c r="L322" s="1096"/>
      <c r="M322" s="1096"/>
      <c r="N322" s="1096"/>
      <c r="O322" s="1096"/>
      <c r="P322" s="1096"/>
      <c r="Q322" s="1096"/>
      <c r="R322" s="1096"/>
      <c r="T322" s="41" t="s">
        <v>735</v>
      </c>
      <c r="V322" s="41"/>
      <c r="W322" s="41"/>
      <c r="X322" s="41"/>
      <c r="Y322" s="41"/>
      <c r="AA322" s="1096" t="s">
        <v>2422</v>
      </c>
      <c r="AB322" s="1096"/>
      <c r="AC322" s="1096"/>
      <c r="AD322" s="1096"/>
      <c r="AE322" s="1096"/>
      <c r="AF322" s="1096"/>
      <c r="AG322" s="1096"/>
      <c r="AH322" s="1096"/>
      <c r="AI322" s="1096"/>
      <c r="AJ322" s="1096"/>
      <c r="AK322" s="1096"/>
      <c r="BA322" s="43"/>
    </row>
    <row r="323" spans="2:53" ht="12.95" customHeight="1">
      <c r="B323" s="41" t="s">
        <v>737</v>
      </c>
      <c r="C323" s="41"/>
      <c r="D323" s="41"/>
      <c r="E323" s="41"/>
      <c r="F323" s="41"/>
      <c r="H323" s="1096" t="s">
        <v>2420</v>
      </c>
      <c r="I323" s="1096"/>
      <c r="J323" s="1096"/>
      <c r="K323" s="1096"/>
      <c r="L323" s="1096"/>
      <c r="M323" s="1096"/>
      <c r="N323" s="1096"/>
      <c r="O323" s="1096"/>
      <c r="P323" s="1096"/>
      <c r="Q323" s="1096"/>
      <c r="R323" s="1096"/>
      <c r="T323" s="41" t="s">
        <v>736</v>
      </c>
      <c r="V323" s="41"/>
      <c r="W323" s="41"/>
      <c r="X323" s="41"/>
      <c r="Y323" s="41"/>
      <c r="AA323" s="1096" t="s">
        <v>2423</v>
      </c>
      <c r="AB323" s="1096"/>
      <c r="AC323" s="1096"/>
      <c r="AD323" s="1096"/>
      <c r="AE323" s="1096"/>
      <c r="AF323" s="1096"/>
      <c r="AG323" s="1096"/>
      <c r="AH323" s="1096"/>
      <c r="AI323" s="1096"/>
      <c r="AJ323" s="1096"/>
      <c r="AK323" s="1096"/>
      <c r="BA323" s="43"/>
    </row>
    <row r="324" spans="2:53" ht="12.95" customHeight="1">
      <c r="B324" s="41" t="s">
        <v>399</v>
      </c>
      <c r="C324" s="41"/>
      <c r="D324" s="41"/>
      <c r="E324" s="41"/>
      <c r="F324" s="41"/>
      <c r="H324" s="1096" t="s">
        <v>2522</v>
      </c>
      <c r="I324" s="1096"/>
      <c r="J324" s="1096"/>
      <c r="K324" s="1096"/>
      <c r="L324" s="1096"/>
      <c r="M324" s="1096"/>
      <c r="N324" s="1096"/>
      <c r="O324" s="1096"/>
      <c r="P324" s="1096"/>
      <c r="Q324" s="1096"/>
      <c r="R324" s="1096"/>
      <c r="T324" s="41" t="s">
        <v>399</v>
      </c>
      <c r="V324" s="41"/>
      <c r="W324" s="41"/>
      <c r="X324" s="41"/>
      <c r="Y324" s="41"/>
      <c r="AA324" s="1096" t="s">
        <v>2424</v>
      </c>
      <c r="AB324" s="1096"/>
      <c r="AC324" s="1096"/>
      <c r="AD324" s="1096"/>
      <c r="AE324" s="1096"/>
      <c r="AF324" s="1096"/>
      <c r="AG324" s="1096"/>
      <c r="AH324" s="1096"/>
      <c r="AI324" s="1096"/>
      <c r="AJ324" s="1096"/>
      <c r="AK324" s="1096"/>
      <c r="BA324" s="43"/>
    </row>
    <row r="325" spans="2:53" ht="12.95" customHeight="1">
      <c r="B325" s="41" t="s">
        <v>400</v>
      </c>
      <c r="C325" s="41"/>
      <c r="D325" s="41"/>
      <c r="E325" s="41"/>
      <c r="F325" s="41"/>
      <c r="G325" s="41"/>
      <c r="H325" s="1130" t="s">
        <v>2523</v>
      </c>
      <c r="I325" s="1118"/>
      <c r="J325" s="1118"/>
      <c r="K325" s="1118"/>
      <c r="L325" s="1118"/>
      <c r="M325" s="1118"/>
      <c r="N325" s="5" t="s">
        <v>859</v>
      </c>
      <c r="O325" s="5"/>
      <c r="P325" s="1121">
        <v>1</v>
      </c>
      <c r="Q325" s="1121"/>
      <c r="R325" s="1121"/>
      <c r="S325" s="41"/>
      <c r="T325" s="41" t="s">
        <v>400</v>
      </c>
      <c r="V325" s="41"/>
      <c r="W325" s="41"/>
      <c r="X325" s="41"/>
      <c r="Y325" s="41"/>
      <c r="AA325" s="1118" t="s">
        <v>2425</v>
      </c>
      <c r="AB325" s="1118"/>
      <c r="AC325" s="1118"/>
      <c r="AD325" s="1118"/>
      <c r="AE325" s="1118"/>
      <c r="AF325" s="1118"/>
      <c r="AG325" s="5" t="s">
        <v>859</v>
      </c>
      <c r="AH325" s="5"/>
      <c r="AI325" s="1121"/>
      <c r="AJ325" s="1121"/>
      <c r="AK325" s="1121"/>
      <c r="BA325" s="43"/>
    </row>
    <row r="326" spans="2:53" ht="12.95" customHeight="1">
      <c r="B326" s="41" t="s">
        <v>401</v>
      </c>
      <c r="C326" s="41"/>
      <c r="D326" s="41"/>
      <c r="E326" s="41"/>
      <c r="F326" s="41"/>
      <c r="G326" s="41"/>
      <c r="H326" s="1119"/>
      <c r="I326" s="1119"/>
      <c r="J326" s="1119"/>
      <c r="K326" s="1119"/>
      <c r="L326" s="1119"/>
      <c r="M326" s="1119"/>
      <c r="N326" s="5"/>
      <c r="O326" s="5"/>
      <c r="P326" s="44"/>
      <c r="Q326" s="44"/>
      <c r="R326" s="44"/>
      <c r="S326" s="41"/>
      <c r="T326" s="41" t="s">
        <v>401</v>
      </c>
      <c r="V326" s="41"/>
      <c r="W326" s="41"/>
      <c r="X326" s="41"/>
      <c r="Y326" s="41"/>
      <c r="AA326" s="1119"/>
      <c r="AB326" s="1119"/>
      <c r="AC326" s="1119"/>
      <c r="AD326" s="1119"/>
      <c r="AE326" s="1119"/>
      <c r="AF326" s="1119"/>
      <c r="AG326" s="5"/>
      <c r="AH326" s="5"/>
      <c r="AI326" s="44"/>
      <c r="AJ326" s="44"/>
      <c r="AK326" s="44"/>
      <c r="BA326" s="43"/>
    </row>
    <row r="327" spans="2:53" ht="12.95" customHeight="1">
      <c r="B327" s="41" t="s">
        <v>738</v>
      </c>
      <c r="C327" s="41"/>
      <c r="D327" s="41"/>
      <c r="E327" s="41"/>
      <c r="F327" s="41"/>
      <c r="G327" s="41"/>
      <c r="H327" s="1096" t="s">
        <v>2524</v>
      </c>
      <c r="I327" s="1096"/>
      <c r="J327" s="1096"/>
      <c r="K327" s="1096"/>
      <c r="L327" s="1096"/>
      <c r="M327" s="1096"/>
      <c r="N327" s="1095"/>
      <c r="O327" s="1095"/>
      <c r="P327" s="1095"/>
      <c r="Q327" s="1095"/>
      <c r="R327" s="1095"/>
      <c r="S327" s="41"/>
      <c r="T327" s="41" t="s">
        <v>738</v>
      </c>
      <c r="V327" s="41"/>
      <c r="W327" s="41"/>
      <c r="X327" s="41"/>
      <c r="Y327" s="41"/>
      <c r="AA327" s="1096" t="s">
        <v>2426</v>
      </c>
      <c r="AB327" s="1096"/>
      <c r="AC327" s="1096"/>
      <c r="AD327" s="1096"/>
      <c r="AE327" s="1096"/>
      <c r="AF327" s="1096"/>
      <c r="AG327" s="1095"/>
      <c r="AH327" s="1095"/>
      <c r="AI327" s="1095"/>
      <c r="AJ327" s="1095"/>
      <c r="AK327" s="109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5" t="s">
        <v>2421</v>
      </c>
      <c r="I329" s="1095"/>
      <c r="J329" s="1095"/>
      <c r="K329" s="1095"/>
      <c r="L329" s="1095"/>
      <c r="M329" s="1095"/>
      <c r="N329" s="1095"/>
      <c r="O329" s="1095"/>
      <c r="P329" s="1095"/>
      <c r="Q329" s="1095"/>
      <c r="R329" s="1095"/>
      <c r="T329" s="5" t="s">
        <v>1153</v>
      </c>
      <c r="V329" s="41"/>
      <c r="W329" s="41"/>
      <c r="X329" s="41"/>
      <c r="Y329" s="41"/>
      <c r="AA329" s="1095" t="s">
        <v>2427</v>
      </c>
      <c r="AB329" s="1095"/>
      <c r="AC329" s="1095"/>
      <c r="AD329" s="1095"/>
      <c r="AE329" s="1095"/>
      <c r="AF329" s="1095"/>
      <c r="AG329" s="1095"/>
      <c r="AH329" s="1095"/>
      <c r="AI329" s="1095"/>
      <c r="AJ329" s="1095"/>
      <c r="AK329" s="1095"/>
      <c r="BA329" s="43"/>
    </row>
    <row r="330" spans="2:53" ht="12.95" customHeight="1">
      <c r="B330" s="41" t="s">
        <v>735</v>
      </c>
      <c r="C330" s="41"/>
      <c r="D330" s="41"/>
      <c r="E330" s="41"/>
      <c r="F330" s="41"/>
      <c r="H330" s="1096" t="s">
        <v>2422</v>
      </c>
      <c r="I330" s="1096"/>
      <c r="J330" s="1096"/>
      <c r="K330" s="1096"/>
      <c r="L330" s="1096"/>
      <c r="M330" s="1096"/>
      <c r="N330" s="1096"/>
      <c r="O330" s="1096"/>
      <c r="P330" s="1096"/>
      <c r="Q330" s="1096"/>
      <c r="R330" s="1096"/>
      <c r="T330" s="41" t="s">
        <v>735</v>
      </c>
      <c r="V330" s="41"/>
      <c r="W330" s="41"/>
      <c r="X330" s="41"/>
      <c r="Y330" s="41"/>
      <c r="AA330" s="1096" t="s">
        <v>2428</v>
      </c>
      <c r="AB330" s="1096"/>
      <c r="AC330" s="1096"/>
      <c r="AD330" s="1096"/>
      <c r="AE330" s="1096"/>
      <c r="AF330" s="1096"/>
      <c r="AG330" s="1096"/>
      <c r="AH330" s="1096"/>
      <c r="AI330" s="1096"/>
      <c r="AJ330" s="1096"/>
      <c r="AK330" s="1096"/>
      <c r="BA330" s="43"/>
    </row>
    <row r="331" spans="2:53" ht="12.95" customHeight="1">
      <c r="B331" s="41" t="s">
        <v>737</v>
      </c>
      <c r="C331" s="41"/>
      <c r="D331" s="41"/>
      <c r="E331" s="41"/>
      <c r="F331" s="41"/>
      <c r="G331" s="41"/>
      <c r="H331" s="1096" t="s">
        <v>2423</v>
      </c>
      <c r="I331" s="1096"/>
      <c r="J331" s="1096"/>
      <c r="K331" s="1096"/>
      <c r="L331" s="1096"/>
      <c r="M331" s="1096"/>
      <c r="N331" s="1096"/>
      <c r="O331" s="1096"/>
      <c r="P331" s="1096"/>
      <c r="Q331" s="1096"/>
      <c r="R331" s="1096"/>
      <c r="T331" s="41" t="s">
        <v>736</v>
      </c>
      <c r="V331" s="41"/>
      <c r="W331" s="41"/>
      <c r="X331" s="41"/>
      <c r="Y331" s="41"/>
      <c r="AA331" s="1096" t="s">
        <v>2429</v>
      </c>
      <c r="AB331" s="1096"/>
      <c r="AC331" s="1096"/>
      <c r="AD331" s="1096"/>
      <c r="AE331" s="1096"/>
      <c r="AF331" s="1096"/>
      <c r="AG331" s="1096"/>
      <c r="AH331" s="1096"/>
      <c r="AI331" s="1096"/>
      <c r="AJ331" s="1096"/>
      <c r="AK331" s="1096"/>
      <c r="BA331" s="43"/>
    </row>
    <row r="332" spans="2:53" ht="12.95" customHeight="1">
      <c r="B332" s="41" t="s">
        <v>399</v>
      </c>
      <c r="C332" s="41"/>
      <c r="D332" s="41"/>
      <c r="E332" s="41"/>
      <c r="F332" s="41"/>
      <c r="H332" s="1096" t="s">
        <v>2424</v>
      </c>
      <c r="I332" s="1096"/>
      <c r="J332" s="1096"/>
      <c r="K332" s="1096"/>
      <c r="L332" s="1096"/>
      <c r="M332" s="1096"/>
      <c r="N332" s="1096"/>
      <c r="O332" s="1096"/>
      <c r="P332" s="1096"/>
      <c r="Q332" s="1096"/>
      <c r="R332" s="1096"/>
      <c r="T332" s="41" t="s">
        <v>399</v>
      </c>
      <c r="V332" s="41"/>
      <c r="W332" s="41"/>
      <c r="X332" s="41"/>
      <c r="Y332" s="41"/>
      <c r="AA332" s="1096" t="s">
        <v>2449</v>
      </c>
      <c r="AB332" s="1096"/>
      <c r="AC332" s="1096"/>
      <c r="AD332" s="1096"/>
      <c r="AE332" s="1096"/>
      <c r="AF332" s="1096"/>
      <c r="AG332" s="1096"/>
      <c r="AH332" s="1096"/>
      <c r="AI332" s="1096"/>
      <c r="AJ332" s="1096"/>
      <c r="AK332" s="1096"/>
      <c r="BA332" s="43"/>
    </row>
    <row r="333" spans="2:53" ht="12.95" customHeight="1">
      <c r="B333" s="41" t="s">
        <v>400</v>
      </c>
      <c r="C333" s="41"/>
      <c r="D333" s="41"/>
      <c r="E333" s="41"/>
      <c r="F333" s="41"/>
      <c r="G333" s="41"/>
      <c r="H333" s="1118" t="s">
        <v>2425</v>
      </c>
      <c r="I333" s="1118"/>
      <c r="J333" s="1118"/>
      <c r="K333" s="1118"/>
      <c r="L333" s="1118"/>
      <c r="M333" s="1118"/>
      <c r="N333" s="5" t="s">
        <v>859</v>
      </c>
      <c r="O333" s="5"/>
      <c r="P333" s="1121"/>
      <c r="Q333" s="1121"/>
      <c r="R333" s="1121"/>
      <c r="T333" s="41" t="s">
        <v>400</v>
      </c>
      <c r="V333" s="41"/>
      <c r="W333" s="41"/>
      <c r="X333" s="41"/>
      <c r="Y333" s="41"/>
      <c r="AA333" s="1130" t="s">
        <v>2450</v>
      </c>
      <c r="AB333" s="1118"/>
      <c r="AC333" s="1118"/>
      <c r="AD333" s="1118"/>
      <c r="AE333" s="1118"/>
      <c r="AF333" s="1118"/>
      <c r="AG333" s="5" t="s">
        <v>859</v>
      </c>
      <c r="AH333" s="5"/>
      <c r="AI333" s="1121"/>
      <c r="AJ333" s="1121"/>
      <c r="AK333" s="1121"/>
      <c r="BA333" s="43"/>
    </row>
    <row r="334" spans="2:53" ht="12.95" customHeight="1">
      <c r="B334" s="41" t="s">
        <v>401</v>
      </c>
      <c r="C334" s="41"/>
      <c r="D334" s="41"/>
      <c r="E334" s="41"/>
      <c r="F334" s="41"/>
      <c r="G334" s="41"/>
      <c r="H334" s="1119"/>
      <c r="I334" s="1119"/>
      <c r="J334" s="1119"/>
      <c r="K334" s="1119"/>
      <c r="L334" s="1119"/>
      <c r="M334" s="1119"/>
      <c r="N334" s="5"/>
      <c r="O334" s="5"/>
      <c r="P334" s="44"/>
      <c r="Q334" s="44"/>
      <c r="R334" s="44"/>
      <c r="T334" s="41" t="s">
        <v>401</v>
      </c>
      <c r="V334" s="41"/>
      <c r="W334" s="41"/>
      <c r="X334" s="41"/>
      <c r="Y334" s="41"/>
      <c r="AA334" s="1119"/>
      <c r="AB334" s="1119"/>
      <c r="AC334" s="1119"/>
      <c r="AD334" s="1119"/>
      <c r="AE334" s="1119"/>
      <c r="AF334" s="1119"/>
      <c r="AG334" s="5"/>
      <c r="AH334" s="5"/>
      <c r="AI334" s="44"/>
      <c r="AJ334" s="44"/>
      <c r="AK334" s="44"/>
      <c r="BA334" s="43"/>
    </row>
    <row r="335" spans="2:53" ht="12.95" customHeight="1">
      <c r="B335" s="41" t="s">
        <v>738</v>
      </c>
      <c r="C335" s="41"/>
      <c r="D335" s="41"/>
      <c r="E335" s="41"/>
      <c r="F335" s="41"/>
      <c r="G335" s="41"/>
      <c r="H335" s="1096" t="s">
        <v>2426</v>
      </c>
      <c r="I335" s="1096"/>
      <c r="J335" s="1096"/>
      <c r="K335" s="1096"/>
      <c r="L335" s="1096"/>
      <c r="M335" s="1096"/>
      <c r="N335" s="1095"/>
      <c r="O335" s="1095"/>
      <c r="P335" s="1095"/>
      <c r="Q335" s="1095"/>
      <c r="R335" s="1095"/>
      <c r="T335" s="41" t="s">
        <v>738</v>
      </c>
      <c r="V335" s="41"/>
      <c r="W335" s="41"/>
      <c r="X335" s="41"/>
      <c r="Y335" s="41"/>
      <c r="AA335" s="1096" t="s">
        <v>2451</v>
      </c>
      <c r="AB335" s="1096"/>
      <c r="AC335" s="1096"/>
      <c r="AD335" s="1096"/>
      <c r="AE335" s="1096"/>
      <c r="AF335" s="1096"/>
      <c r="AG335" s="1095"/>
      <c r="AH335" s="1095"/>
      <c r="AI335" s="1095"/>
      <c r="AJ335" s="1095"/>
      <c r="AK335" s="109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5" t="s">
        <v>132</v>
      </c>
      <c r="I337" s="1095"/>
      <c r="J337" s="1095"/>
      <c r="K337" s="1095"/>
      <c r="L337" s="1095"/>
      <c r="M337" s="1095"/>
      <c r="N337" s="1095"/>
      <c r="O337" s="1095"/>
      <c r="P337" s="1095"/>
      <c r="Q337" s="1095"/>
      <c r="R337" s="1095"/>
      <c r="T337" s="365" t="s">
        <v>1193</v>
      </c>
      <c r="AA337" s="1095" t="s">
        <v>132</v>
      </c>
      <c r="AB337" s="1095"/>
      <c r="AC337" s="1095"/>
      <c r="AD337" s="1095"/>
      <c r="AE337" s="1095"/>
      <c r="AF337" s="1095"/>
      <c r="AG337" s="1095"/>
      <c r="AH337" s="1095"/>
      <c r="AI337" s="1095"/>
      <c r="AJ337" s="1095"/>
      <c r="AK337" s="1095"/>
      <c r="BA337" s="43"/>
    </row>
    <row r="338" spans="1:53" ht="12.95" customHeight="1">
      <c r="B338" s="365" t="s">
        <v>735</v>
      </c>
      <c r="C338" s="365"/>
      <c r="D338" s="365"/>
      <c r="E338" s="365"/>
      <c r="F338" s="365"/>
      <c r="G338" s="365"/>
      <c r="H338" s="1096"/>
      <c r="I338" s="1096"/>
      <c r="J338" s="1096"/>
      <c r="K338" s="1096"/>
      <c r="L338" s="1096"/>
      <c r="M338" s="1096"/>
      <c r="N338" s="1096"/>
      <c r="O338" s="1096"/>
      <c r="P338" s="1096"/>
      <c r="Q338" s="1096"/>
      <c r="R338" s="1096"/>
      <c r="T338" s="41" t="s">
        <v>735</v>
      </c>
      <c r="AA338" s="1096"/>
      <c r="AB338" s="1096"/>
      <c r="AC338" s="1096"/>
      <c r="AD338" s="1096"/>
      <c r="AE338" s="1096"/>
      <c r="AF338" s="1096"/>
      <c r="AG338" s="1096"/>
      <c r="AH338" s="1096"/>
      <c r="AI338" s="1096"/>
      <c r="AJ338" s="1096"/>
      <c r="AK338" s="1096"/>
      <c r="BA338" s="43"/>
    </row>
    <row r="339" spans="1:53" ht="12.95" customHeight="1">
      <c r="B339" s="365" t="s">
        <v>737</v>
      </c>
      <c r="C339" s="365"/>
      <c r="D339" s="365"/>
      <c r="E339" s="365"/>
      <c r="F339" s="365"/>
      <c r="G339" s="365"/>
      <c r="H339" s="1096"/>
      <c r="I339" s="1096"/>
      <c r="J339" s="1096"/>
      <c r="K339" s="1096"/>
      <c r="L339" s="1096"/>
      <c r="M339" s="1096"/>
      <c r="N339" s="1096"/>
      <c r="O339" s="1096"/>
      <c r="P339" s="1096"/>
      <c r="Q339" s="1096"/>
      <c r="R339" s="1096"/>
      <c r="T339" s="41" t="s">
        <v>736</v>
      </c>
      <c r="AA339" s="1096"/>
      <c r="AB339" s="1096"/>
      <c r="AC339" s="1096"/>
      <c r="AD339" s="1096"/>
      <c r="AE339" s="1096"/>
      <c r="AF339" s="1096"/>
      <c r="AG339" s="1096"/>
      <c r="AH339" s="1096"/>
      <c r="AI339" s="1096"/>
      <c r="AJ339" s="1096"/>
      <c r="AK339" s="1096"/>
    </row>
    <row r="340" spans="1:53" ht="12.95" customHeight="1">
      <c r="B340" s="365" t="s">
        <v>399</v>
      </c>
      <c r="C340" s="365"/>
      <c r="D340" s="365"/>
      <c r="E340" s="365"/>
      <c r="F340" s="365"/>
      <c r="G340" s="365"/>
      <c r="H340" s="1096"/>
      <c r="I340" s="1096"/>
      <c r="J340" s="1096"/>
      <c r="K340" s="1096"/>
      <c r="L340" s="1096"/>
      <c r="M340" s="1096"/>
      <c r="N340" s="1096"/>
      <c r="O340" s="1096"/>
      <c r="P340" s="1096"/>
      <c r="Q340" s="1096"/>
      <c r="R340" s="1096"/>
      <c r="T340" s="41" t="s">
        <v>399</v>
      </c>
      <c r="AA340" s="1096"/>
      <c r="AB340" s="1096"/>
      <c r="AC340" s="1096"/>
      <c r="AD340" s="1096"/>
      <c r="AE340" s="1096"/>
      <c r="AF340" s="1096"/>
      <c r="AG340" s="1096"/>
      <c r="AH340" s="1096"/>
      <c r="AI340" s="1096"/>
      <c r="AJ340" s="1096"/>
      <c r="AK340" s="1096"/>
    </row>
    <row r="341" spans="1:53" ht="12.95" customHeight="1">
      <c r="B341" s="365" t="s">
        <v>400</v>
      </c>
      <c r="C341" s="365"/>
      <c r="D341" s="365"/>
      <c r="E341" s="365"/>
      <c r="F341" s="365"/>
      <c r="G341" s="365"/>
      <c r="H341" s="1118"/>
      <c r="I341" s="1118"/>
      <c r="J341" s="1118"/>
      <c r="K341" s="1118"/>
      <c r="L341" s="1118"/>
      <c r="M341" s="1118"/>
      <c r="N341" s="5" t="s">
        <v>859</v>
      </c>
      <c r="O341" s="5"/>
      <c r="P341" s="1121"/>
      <c r="Q341" s="1121"/>
      <c r="R341" s="1121"/>
      <c r="T341" s="41" t="s">
        <v>400</v>
      </c>
      <c r="AA341" s="1118"/>
      <c r="AB341" s="1118"/>
      <c r="AC341" s="1118"/>
      <c r="AD341" s="1118"/>
      <c r="AE341" s="1118"/>
      <c r="AF341" s="1118"/>
      <c r="AG341" s="5" t="s">
        <v>859</v>
      </c>
      <c r="AH341" s="5"/>
      <c r="AI341" s="1121"/>
      <c r="AJ341" s="1121"/>
      <c r="AK341" s="1121"/>
    </row>
    <row r="342" spans="1:53" ht="12.95" customHeight="1">
      <c r="B342" s="365" t="s">
        <v>401</v>
      </c>
      <c r="C342" s="365"/>
      <c r="D342" s="365"/>
      <c r="E342" s="365"/>
      <c r="F342" s="365"/>
      <c r="G342" s="365"/>
      <c r="H342" s="1119"/>
      <c r="I342" s="1119"/>
      <c r="J342" s="1119"/>
      <c r="K342" s="1119"/>
      <c r="L342" s="1119"/>
      <c r="M342" s="1119"/>
      <c r="N342" s="5"/>
      <c r="O342" s="5"/>
      <c r="P342" s="44"/>
      <c r="Q342" s="44"/>
      <c r="R342" s="44"/>
      <c r="T342" s="41" t="s">
        <v>401</v>
      </c>
      <c r="AA342" s="1119"/>
      <c r="AB342" s="1119"/>
      <c r="AC342" s="1119"/>
      <c r="AD342" s="1119"/>
      <c r="AE342" s="1119"/>
      <c r="AF342" s="1119"/>
      <c r="AG342" s="5"/>
      <c r="AH342" s="5"/>
      <c r="AI342" s="44"/>
      <c r="AJ342" s="44"/>
      <c r="AK342" s="44"/>
    </row>
    <row r="343" spans="1:53" ht="12.95" customHeight="1">
      <c r="B343" s="365" t="s">
        <v>738</v>
      </c>
      <c r="C343" s="365"/>
      <c r="D343" s="365"/>
      <c r="E343" s="365"/>
      <c r="F343" s="365"/>
      <c r="G343" s="365"/>
      <c r="H343" s="1096"/>
      <c r="I343" s="1096"/>
      <c r="J343" s="1096"/>
      <c r="K343" s="1096"/>
      <c r="L343" s="1096"/>
      <c r="M343" s="1096"/>
      <c r="N343" s="1095"/>
      <c r="O343" s="1095"/>
      <c r="P343" s="1095"/>
      <c r="Q343" s="1095"/>
      <c r="R343" s="1095"/>
      <c r="T343" s="41" t="s">
        <v>738</v>
      </c>
      <c r="AA343" s="1096"/>
      <c r="AB343" s="1096"/>
      <c r="AC343" s="1096"/>
      <c r="AD343" s="1096"/>
      <c r="AE343" s="1096"/>
      <c r="AF343" s="1096"/>
      <c r="AG343" s="1095"/>
      <c r="AH343" s="1095"/>
      <c r="AI343" s="1095"/>
      <c r="AJ343" s="1095"/>
      <c r="AK343" s="109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4" t="s">
        <v>526</v>
      </c>
      <c r="B345" s="1294"/>
      <c r="C345" s="1294"/>
      <c r="D345" s="1294"/>
      <c r="E345" s="1294"/>
      <c r="F345" s="1294"/>
      <c r="G345" s="1294"/>
      <c r="H345" s="1294"/>
      <c r="I345" s="1294"/>
      <c r="J345" s="1294"/>
      <c r="K345" s="1294"/>
      <c r="L345" s="1294"/>
      <c r="M345" s="1294"/>
      <c r="N345" s="1294"/>
      <c r="O345" s="1294"/>
      <c r="P345" s="1294"/>
      <c r="Q345" s="1294"/>
      <c r="R345" s="1294"/>
      <c r="S345" s="1294"/>
      <c r="T345" s="1294"/>
      <c r="U345" s="1294"/>
      <c r="V345" s="1294"/>
      <c r="W345" s="1294"/>
      <c r="X345" s="1294"/>
      <c r="Y345" s="1294"/>
      <c r="Z345" s="1294"/>
      <c r="AA345" s="1294"/>
      <c r="AB345" s="1294"/>
      <c r="AC345" s="1294"/>
      <c r="AD345" s="1294"/>
      <c r="AE345" s="1294"/>
      <c r="AF345" s="1294"/>
      <c r="AG345" s="1294"/>
      <c r="AH345" s="1294"/>
      <c r="AI345" s="1294"/>
      <c r="AJ345" s="1294"/>
      <c r="AK345" s="1294"/>
      <c r="AL345" s="1294"/>
    </row>
    <row r="346" spans="1:53" ht="12.95" customHeight="1" thickBot="1">
      <c r="A346" s="1295"/>
      <c r="B346" s="1295"/>
      <c r="C346" s="1295"/>
      <c r="D346" s="1295"/>
      <c r="E346" s="1295"/>
      <c r="F346" s="1295"/>
      <c r="G346" s="1295"/>
      <c r="H346" s="1295"/>
      <c r="I346" s="1295"/>
      <c r="J346" s="1295"/>
      <c r="K346" s="1295"/>
      <c r="L346" s="1295"/>
      <c r="M346" s="1295"/>
      <c r="N346" s="1295"/>
      <c r="O346" s="1295"/>
      <c r="P346" s="1295"/>
      <c r="Q346" s="1295"/>
      <c r="R346" s="1295"/>
      <c r="S346" s="1295"/>
      <c r="T346" s="1295"/>
      <c r="U346" s="1295"/>
      <c r="V346" s="1295"/>
      <c r="W346" s="1295"/>
      <c r="X346" s="1295"/>
      <c r="Y346" s="1295"/>
      <c r="Z346" s="1295"/>
      <c r="AA346" s="1295"/>
      <c r="AB346" s="1295"/>
      <c r="AC346" s="1295"/>
      <c r="AD346" s="1295"/>
      <c r="AE346" s="1295"/>
      <c r="AF346" s="1295"/>
      <c r="AG346" s="1295"/>
      <c r="AH346" s="1295"/>
      <c r="AI346" s="1295"/>
      <c r="AJ346" s="1295"/>
      <c r="AK346" s="1295"/>
      <c r="AL346" s="1295"/>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20" t="s">
        <v>116</v>
      </c>
      <c r="N349" s="1120"/>
      <c r="P349" t="s">
        <v>2060</v>
      </c>
      <c r="AJ349" s="1120" t="s">
        <v>132</v>
      </c>
      <c r="AK349" s="1120"/>
    </row>
    <row r="350" spans="1:53" ht="12.95" customHeight="1">
      <c r="D350" s="41" t="s">
        <v>1983</v>
      </c>
      <c r="M350" s="1120" t="s">
        <v>132</v>
      </c>
      <c r="N350" s="1120"/>
      <c r="P350" s="41" t="s">
        <v>2061</v>
      </c>
      <c r="AJ350" s="1061"/>
      <c r="AK350" s="1061"/>
    </row>
    <row r="351" spans="1:53" ht="12.95" customHeight="1">
      <c r="D351" t="s">
        <v>334</v>
      </c>
      <c r="M351" s="1120" t="s">
        <v>132</v>
      </c>
      <c r="N351" s="1120"/>
      <c r="P351" t="s">
        <v>2062</v>
      </c>
      <c r="AJ351" s="1120" t="s">
        <v>132</v>
      </c>
      <c r="AK351" s="1120"/>
    </row>
    <row r="352" spans="1:53" ht="12.95" customHeight="1">
      <c r="D352" t="s">
        <v>335</v>
      </c>
      <c r="M352" s="1120" t="s">
        <v>132</v>
      </c>
      <c r="N352" s="1120"/>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20" t="s">
        <v>132</v>
      </c>
      <c r="O357" s="1120"/>
      <c r="P357" s="49"/>
      <c r="Q357" s="49"/>
      <c r="R357" s="49"/>
      <c r="S357" s="49"/>
      <c r="T357" s="49"/>
      <c r="U357" s="49"/>
      <c r="V357" s="49"/>
      <c r="W357" s="49"/>
      <c r="X357" s="49"/>
      <c r="Y357" s="49"/>
      <c r="Z357" s="49"/>
      <c r="AC357" s="49"/>
      <c r="AD357" s="49"/>
      <c r="AE357" s="49"/>
    </row>
    <row r="358" spans="1:57" ht="12.95" customHeight="1">
      <c r="E358" t="s">
        <v>769</v>
      </c>
      <c r="Y358" s="1120" t="s">
        <v>132</v>
      </c>
      <c r="Z358" s="1120"/>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20" t="s">
        <v>132</v>
      </c>
      <c r="K360" s="1120"/>
      <c r="L360" s="49"/>
      <c r="M360" s="49"/>
      <c r="N360" s="49"/>
      <c r="O360" s="49"/>
      <c r="P360" s="49"/>
      <c r="Q360" s="49"/>
      <c r="R360" s="49"/>
      <c r="S360" s="49"/>
      <c r="T360" s="49"/>
      <c r="U360" s="49"/>
      <c r="V360" s="49"/>
      <c r="W360" s="49"/>
      <c r="X360" s="49"/>
      <c r="Y360" s="49"/>
      <c r="Z360" s="49"/>
      <c r="AC360" s="49"/>
      <c r="AD360" s="49"/>
      <c r="AE360" s="49"/>
    </row>
    <row r="361" spans="1:57" ht="12.95" customHeight="1">
      <c r="E361" s="986" t="s">
        <v>336</v>
      </c>
      <c r="F361" s="986"/>
      <c r="G361" s="986"/>
      <c r="H361" s="986"/>
      <c r="I361" s="986"/>
      <c r="J361" s="986"/>
      <c r="K361" s="986"/>
      <c r="L361" s="986"/>
      <c r="M361" s="986"/>
      <c r="N361" s="986"/>
      <c r="O361" s="986"/>
      <c r="P361" s="986"/>
      <c r="Q361" s="986"/>
      <c r="R361" s="986"/>
      <c r="S361" s="986"/>
      <c r="T361" s="986"/>
      <c r="U361" s="986"/>
      <c r="V361" s="986"/>
      <c r="W361" s="986"/>
      <c r="X361" s="986"/>
      <c r="Y361" s="986"/>
      <c r="Z361" s="986"/>
      <c r="AA361" s="986"/>
      <c r="AB361" s="986"/>
      <c r="AC361" s="986"/>
      <c r="AD361" s="986"/>
      <c r="AE361" s="986"/>
      <c r="AF361" s="986"/>
      <c r="AG361" s="986"/>
      <c r="AH361" s="986"/>
      <c r="BE361" t="s">
        <v>132</v>
      </c>
    </row>
    <row r="362" spans="1:57" ht="12.95" customHeight="1">
      <c r="E362" s="986"/>
      <c r="F362" s="986"/>
      <c r="G362" s="986"/>
      <c r="H362" s="986"/>
      <c r="I362" s="986"/>
      <c r="J362" s="986"/>
      <c r="K362" s="986"/>
      <c r="L362" s="986"/>
      <c r="M362" s="986"/>
      <c r="N362" s="986"/>
      <c r="O362" s="986"/>
      <c r="P362" s="986"/>
      <c r="Q362" s="986"/>
      <c r="R362" s="986"/>
      <c r="S362" s="986"/>
      <c r="T362" s="986"/>
      <c r="U362" s="986"/>
      <c r="V362" s="986"/>
      <c r="W362" s="986"/>
      <c r="X362" s="986"/>
      <c r="Y362" s="986"/>
      <c r="Z362" s="986"/>
      <c r="AA362" s="986"/>
      <c r="AB362" s="986"/>
      <c r="AC362" s="986"/>
      <c r="AD362" s="986"/>
      <c r="AE362" s="986"/>
      <c r="AF362" s="986"/>
      <c r="AG362" s="986"/>
      <c r="AH362" s="986"/>
      <c r="BE362" t="s">
        <v>511</v>
      </c>
    </row>
    <row r="363" spans="1:57" ht="12.95" customHeight="1">
      <c r="E363" s="5" t="s">
        <v>626</v>
      </c>
      <c r="F363" s="5"/>
      <c r="G363" s="5"/>
      <c r="H363" s="5"/>
      <c r="I363" s="5"/>
      <c r="J363" s="5"/>
      <c r="K363" s="5"/>
      <c r="L363" s="5"/>
      <c r="N363" s="1122"/>
      <c r="O363" s="1122"/>
      <c r="P363" s="1122"/>
      <c r="Q363" s="1122"/>
      <c r="R363" s="5"/>
      <c r="U363" s="5" t="s">
        <v>627</v>
      </c>
      <c r="V363" s="5"/>
      <c r="W363" s="5"/>
      <c r="X363" s="5"/>
      <c r="Y363" s="5"/>
      <c r="Z363" s="5"/>
      <c r="AA363" s="5"/>
      <c r="AB363" s="5"/>
      <c r="AC363" s="1122"/>
      <c r="AD363" s="1122"/>
      <c r="AE363" s="1122"/>
      <c r="AF363" s="1122"/>
      <c r="BE363" t="s">
        <v>116</v>
      </c>
    </row>
    <row r="364" spans="1:57" ht="12.95" customHeight="1">
      <c r="E364" s="5" t="s">
        <v>628</v>
      </c>
      <c r="F364" s="5"/>
      <c r="G364" s="5"/>
      <c r="H364" s="5"/>
      <c r="I364" s="5"/>
      <c r="J364" s="5"/>
      <c r="K364" s="5"/>
      <c r="L364" s="5"/>
      <c r="N364" s="1122"/>
      <c r="O364" s="1122"/>
      <c r="P364" s="1122"/>
      <c r="Q364" s="1122"/>
      <c r="R364" s="5"/>
      <c r="U364" s="5" t="s">
        <v>629</v>
      </c>
      <c r="V364" s="5"/>
      <c r="W364" s="5"/>
      <c r="X364" s="5"/>
      <c r="Y364" s="5"/>
      <c r="Z364" s="5"/>
      <c r="AA364" s="5"/>
      <c r="AB364" s="5"/>
      <c r="AC364" s="1122"/>
      <c r="AD364" s="1122"/>
      <c r="AE364" s="1122"/>
      <c r="AF364" s="1122"/>
    </row>
    <row r="365" spans="1:57" ht="12.95" customHeight="1">
      <c r="E365" s="5" t="s">
        <v>68</v>
      </c>
      <c r="F365" s="5"/>
      <c r="G365" s="5"/>
      <c r="H365" s="5"/>
      <c r="I365" s="5"/>
      <c r="J365" s="5"/>
      <c r="K365" s="5"/>
      <c r="L365" s="5"/>
      <c r="N365" s="1122"/>
      <c r="O365" s="1122"/>
      <c r="P365" s="1122"/>
      <c r="Q365" s="1122"/>
      <c r="R365" s="5"/>
      <c r="V365" s="5"/>
      <c r="W365" s="5"/>
      <c r="X365" s="5"/>
      <c r="Y365" s="5"/>
      <c r="Z365" s="5"/>
      <c r="AA365" s="5"/>
      <c r="AB365" s="5"/>
    </row>
    <row r="366" spans="1:57" ht="12.95" customHeight="1">
      <c r="E366" s="5" t="s">
        <v>69</v>
      </c>
      <c r="F366" s="5"/>
      <c r="G366" s="5"/>
      <c r="H366" s="5"/>
      <c r="I366" s="5"/>
      <c r="J366" s="5"/>
      <c r="K366" s="5"/>
      <c r="L366" s="5"/>
      <c r="N366" s="1314"/>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2.95"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124"/>
      <c r="T370" s="1124"/>
      <c r="U370" s="374" t="s">
        <v>247</v>
      </c>
      <c r="V370" s="1124"/>
      <c r="W370" s="1124"/>
      <c r="X370" s="365"/>
      <c r="Z370" s="365"/>
      <c r="AA370" s="960" t="s">
        <v>2228</v>
      </c>
      <c r="AB370" s="365" t="s">
        <v>246</v>
      </c>
      <c r="AC370" s="365"/>
      <c r="AD370" s="1124"/>
      <c r="AE370" s="1124"/>
      <c r="AF370" s="374" t="s">
        <v>247</v>
      </c>
      <c r="AG370" s="1124"/>
      <c r="AH370" s="1124"/>
    </row>
    <row r="371" spans="1:36" ht="12.95" customHeight="1">
      <c r="D371" s="365"/>
      <c r="E371" s="365" t="s">
        <v>1288</v>
      </c>
      <c r="F371" s="365"/>
      <c r="G371" s="365"/>
      <c r="H371" s="365"/>
      <c r="I371" s="365"/>
      <c r="J371" s="365"/>
      <c r="K371" s="365"/>
      <c r="L371" s="365"/>
      <c r="M371" s="365"/>
      <c r="N371" s="1124"/>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3" t="s">
        <v>132</v>
      </c>
      <c r="AH372" s="1123"/>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3" t="s">
        <v>132</v>
      </c>
      <c r="AH373" s="1123"/>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123" t="s">
        <v>132</v>
      </c>
      <c r="W374" s="1123"/>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23" t="s">
        <v>132</v>
      </c>
      <c r="W375" s="1123"/>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5" t="s">
        <v>2430</v>
      </c>
      <c r="K378" s="1095"/>
      <c r="L378" s="1095"/>
      <c r="M378" s="1095"/>
      <c r="N378" s="1095"/>
      <c r="O378" s="1095"/>
      <c r="P378" s="1095"/>
      <c r="Q378" s="1095"/>
      <c r="R378" s="1095"/>
      <c r="S378" s="1095"/>
      <c r="T378" s="1095"/>
      <c r="U378" s="1095"/>
      <c r="V378" s="12" t="s">
        <v>746</v>
      </c>
      <c r="W378" s="12"/>
      <c r="X378" s="12"/>
      <c r="Y378" s="12"/>
      <c r="Z378" s="12"/>
      <c r="AA378" s="12"/>
      <c r="AB378" s="12"/>
      <c r="AC378" s="1095" t="s">
        <v>2431</v>
      </c>
      <c r="AD378" s="1095"/>
      <c r="AE378" s="1095"/>
      <c r="AF378" s="1095"/>
      <c r="AG378" s="1095"/>
      <c r="AH378" s="1095"/>
      <c r="AI378" s="1095"/>
      <c r="AJ378" s="1095"/>
    </row>
    <row r="379" spans="1:36" ht="12.95" customHeight="1">
      <c r="D379" s="41" t="s">
        <v>2063</v>
      </c>
      <c r="J379" s="1096" t="s">
        <v>2432</v>
      </c>
      <c r="K379" s="1096"/>
      <c r="L379" s="1096"/>
      <c r="M379" s="1096"/>
      <c r="N379" s="1096"/>
      <c r="O379" s="1096"/>
      <c r="P379" s="1096"/>
      <c r="Q379" s="1096"/>
      <c r="R379" s="1096"/>
      <c r="S379" s="1096"/>
      <c r="T379" s="1096"/>
      <c r="U379" s="1096"/>
      <c r="V379" s="41" t="s">
        <v>2063</v>
      </c>
      <c r="W379" s="12"/>
      <c r="X379" s="12"/>
      <c r="Y379" s="12"/>
      <c r="Z379" s="12"/>
      <c r="AA379" s="12"/>
      <c r="AB379" s="12"/>
      <c r="AC379" s="1095"/>
      <c r="AD379" s="1095"/>
      <c r="AE379" s="1095"/>
      <c r="AF379" s="1095"/>
      <c r="AG379" s="1095"/>
      <c r="AH379" s="1095"/>
      <c r="AI379" s="1095"/>
      <c r="AJ379" s="1095"/>
    </row>
    <row r="380" spans="1:36" ht="12.95" customHeight="1">
      <c r="D380" s="41" t="s">
        <v>575</v>
      </c>
      <c r="J380" s="1096" t="s">
        <v>2433</v>
      </c>
      <c r="K380" s="1096"/>
      <c r="L380" s="1096"/>
      <c r="M380" s="1096"/>
      <c r="N380" s="1096"/>
      <c r="O380" s="1096"/>
      <c r="P380" s="1096"/>
      <c r="Q380" s="1096"/>
      <c r="R380" s="1096"/>
      <c r="S380" s="1096"/>
      <c r="T380" s="1096"/>
      <c r="U380" s="1096"/>
      <c r="V380" s="41" t="s">
        <v>575</v>
      </c>
      <c r="W380" s="12"/>
      <c r="X380" s="12"/>
      <c r="Y380" s="12"/>
      <c r="Z380" s="12"/>
      <c r="AA380" s="12"/>
      <c r="AB380" s="12"/>
      <c r="AC380" s="1095"/>
      <c r="AD380" s="1095"/>
      <c r="AE380" s="1095"/>
      <c r="AF380" s="1095"/>
      <c r="AG380" s="1095"/>
      <c r="AH380" s="1095"/>
      <c r="AI380" s="1095"/>
      <c r="AJ380" s="1095"/>
    </row>
    <row r="381" spans="1:36" ht="12.95" customHeight="1">
      <c r="D381" t="s">
        <v>2064</v>
      </c>
      <c r="J381" s="1110" t="s">
        <v>2434</v>
      </c>
      <c r="K381" s="1110"/>
      <c r="L381" s="1110"/>
      <c r="M381" s="1110"/>
      <c r="N381" s="1110"/>
      <c r="O381" s="1110"/>
      <c r="P381" s="1110"/>
      <c r="Q381" s="1110"/>
      <c r="R381" s="1110"/>
      <c r="S381" s="1110"/>
      <c r="T381" s="1110"/>
      <c r="U381" s="1110"/>
      <c r="V381" s="1095"/>
      <c r="W381" s="1095"/>
      <c r="X381" s="1095"/>
      <c r="Y381" s="1095"/>
      <c r="Z381" s="1095"/>
      <c r="AA381" s="1095"/>
      <c r="AB381" s="1095"/>
      <c r="AC381" s="1095"/>
      <c r="AD381" s="1095"/>
      <c r="AE381" s="1095"/>
      <c r="AF381" s="1095"/>
      <c r="AG381" s="1095"/>
      <c r="AH381" s="1095"/>
      <c r="AI381" s="1095"/>
      <c r="AJ381" s="1095"/>
    </row>
    <row r="382" spans="1:36" ht="12.95" customHeight="1">
      <c r="D382" t="s">
        <v>585</v>
      </c>
      <c r="Q382" s="1419">
        <v>44726</v>
      </c>
      <c r="R382" s="1419"/>
      <c r="S382" s="1419"/>
      <c r="T382" s="1419"/>
      <c r="U382" s="1419"/>
      <c r="V382" t="s">
        <v>179</v>
      </c>
      <c r="AI382" s="1120" t="s">
        <v>511</v>
      </c>
      <c r="AJ382" s="1120"/>
    </row>
    <row r="383" spans="1:36" ht="12.95" customHeight="1">
      <c r="D383" t="s">
        <v>586</v>
      </c>
      <c r="Q383" s="1213">
        <v>45291</v>
      </c>
      <c r="R383" s="1316"/>
      <c r="S383" s="1316"/>
      <c r="T383" s="1316"/>
      <c r="U383" s="1316"/>
      <c r="W383" s="29" t="s">
        <v>20</v>
      </c>
      <c r="AG383" s="1143"/>
      <c r="AH383" s="1143"/>
      <c r="AI383" s="1143"/>
      <c r="AJ383" s="1143"/>
    </row>
    <row r="384" spans="1:36" ht="12.95" customHeight="1">
      <c r="D384" t="s">
        <v>289</v>
      </c>
      <c r="Q384" s="1125">
        <v>0</v>
      </c>
      <c r="R384" s="1125"/>
      <c r="S384" s="1125"/>
      <c r="T384" s="1125"/>
      <c r="U384" s="1125"/>
      <c r="V384" s="41" t="s">
        <v>2065</v>
      </c>
      <c r="AG384" s="1254">
        <v>45289</v>
      </c>
      <c r="AH384" s="1254"/>
      <c r="AI384" s="1254"/>
      <c r="AJ384" s="1254"/>
    </row>
    <row r="385" spans="4:36" ht="12.95" customHeight="1">
      <c r="D385" t="s">
        <v>400</v>
      </c>
      <c r="I385" s="1130" t="s">
        <v>2435</v>
      </c>
      <c r="J385" s="1130"/>
      <c r="K385" s="1130"/>
      <c r="L385" s="1130"/>
      <c r="M385" s="1130"/>
      <c r="N385" s="1130"/>
      <c r="Q385" s="41" t="s">
        <v>859</v>
      </c>
      <c r="S385" s="1141"/>
      <c r="T385" s="1141"/>
      <c r="U385" s="1141"/>
      <c r="V385" t="s">
        <v>19</v>
      </c>
      <c r="AI385" s="1120" t="s">
        <v>511</v>
      </c>
      <c r="AJ385" s="1120"/>
    </row>
    <row r="386" spans="4:36" ht="12.95" customHeight="1">
      <c r="D386" t="s">
        <v>180</v>
      </c>
      <c r="Q386" s="1142">
        <v>46177</v>
      </c>
      <c r="R386" s="1142"/>
      <c r="S386" s="1142"/>
      <c r="T386" s="1142"/>
      <c r="U386" s="1142"/>
      <c r="V386" t="s">
        <v>181</v>
      </c>
      <c r="AG386" s="1143">
        <v>46177</v>
      </c>
      <c r="AH386" s="1143"/>
      <c r="AI386" s="1143"/>
      <c r="AJ386" s="1143"/>
    </row>
    <row r="387" spans="4:36" ht="12.95" customHeight="1">
      <c r="D387" t="s">
        <v>28</v>
      </c>
      <c r="Q387" s="1438">
        <v>0</v>
      </c>
      <c r="R387" s="1438"/>
      <c r="S387" s="1438"/>
      <c r="T387" s="1438"/>
      <c r="U387" s="1438"/>
      <c r="V387" t="s">
        <v>1756</v>
      </c>
      <c r="AG387" s="1143"/>
      <c r="AH387" s="1143"/>
      <c r="AI387" s="1143"/>
      <c r="AJ387" s="1143"/>
    </row>
    <row r="388" spans="4:36" ht="12.95" customHeight="1">
      <c r="D388" t="s">
        <v>2066</v>
      </c>
      <c r="AG388" s="1143"/>
      <c r="AH388" s="1143"/>
      <c r="AI388" s="1143"/>
      <c r="AJ388" s="1143"/>
    </row>
    <row r="389" spans="4:36" ht="12.95" customHeight="1">
      <c r="AG389" s="852"/>
      <c r="AH389" s="852"/>
      <c r="AI389" s="852"/>
      <c r="AJ389" s="852"/>
    </row>
    <row r="390" spans="4:36" ht="12.95" customHeight="1">
      <c r="D390" s="41" t="s">
        <v>2341</v>
      </c>
      <c r="AG390" s="852"/>
      <c r="AH390" s="852"/>
      <c r="AI390" s="1120" t="s">
        <v>511</v>
      </c>
      <c r="AJ390" s="1120"/>
    </row>
    <row r="391" spans="4:36" ht="12.95" customHeight="1">
      <c r="D391" s="41" t="s">
        <v>2067</v>
      </c>
      <c r="T391" s="1441"/>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2068</v>
      </c>
      <c r="T392" s="1441"/>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2"/>
      <c r="AH393" s="852"/>
      <c r="AI393" s="852"/>
      <c r="AJ393" s="852"/>
    </row>
    <row r="394" spans="4:36" ht="12.95" customHeight="1">
      <c r="D394" s="41" t="s">
        <v>2069</v>
      </c>
      <c r="S394" s="1441" t="s">
        <v>116</v>
      </c>
      <c r="T394" s="1441"/>
      <c r="U394" s="1441"/>
      <c r="V394" t="s">
        <v>2070</v>
      </c>
      <c r="AG394" s="1472">
        <v>55</v>
      </c>
      <c r="AH394" s="1472"/>
      <c r="AI394" s="1472"/>
      <c r="AJ394" s="1472"/>
    </row>
    <row r="395" spans="4:36" ht="12.95" customHeight="1">
      <c r="D395" s="41" t="s">
        <v>2071</v>
      </c>
      <c r="S395" s="1441" t="s">
        <v>116</v>
      </c>
      <c r="T395" s="1441"/>
      <c r="U395" s="1441"/>
      <c r="V395" t="s">
        <v>2072</v>
      </c>
      <c r="AE395" s="1473">
        <v>1</v>
      </c>
      <c r="AF395" s="1473"/>
      <c r="AG395" s="1473"/>
      <c r="AH395" s="1473"/>
      <c r="AI395" s="1473"/>
      <c r="AJ395" s="1473"/>
    </row>
    <row r="396" spans="4:36" ht="12.95" customHeight="1">
      <c r="D396" s="41" t="s">
        <v>2073</v>
      </c>
      <c r="K396" s="1301"/>
      <c r="L396" s="1301"/>
      <c r="M396" s="1301"/>
      <c r="N396" s="1301"/>
      <c r="O396" s="1301"/>
      <c r="P396" s="1301"/>
      <c r="Q396" s="1301"/>
      <c r="R396" s="1301"/>
      <c r="S396" s="1301"/>
      <c r="T396" s="1301"/>
      <c r="U396" s="1301"/>
      <c r="V396" s="1301"/>
      <c r="W396" s="1301"/>
      <c r="X396" s="1301"/>
      <c r="Y396" s="1301"/>
      <c r="Z396" s="1301"/>
      <c r="AA396" s="1301"/>
      <c r="AB396" s="1301"/>
      <c r="AC396" s="1301"/>
      <c r="AD396" s="1301"/>
      <c r="AE396" s="1301"/>
      <c r="AF396" s="1301"/>
      <c r="AG396" s="1301"/>
      <c r="AH396" s="1301"/>
      <c r="AI396" s="1301"/>
      <c r="AJ396" s="1301"/>
    </row>
    <row r="397" spans="4:36" ht="12.95" customHeight="1">
      <c r="D397" s="41" t="s">
        <v>2074</v>
      </c>
      <c r="K397" s="1301" t="s">
        <v>2436</v>
      </c>
      <c r="L397" s="1301"/>
      <c r="M397" s="1301"/>
      <c r="N397" s="1301"/>
      <c r="O397" s="1301"/>
      <c r="P397" s="1301"/>
      <c r="Q397" s="1301"/>
      <c r="R397" s="1301"/>
      <c r="S397" s="1301"/>
      <c r="T397" s="1301"/>
      <c r="U397" s="1301"/>
      <c r="V397" s="1301"/>
      <c r="W397" s="1301"/>
      <c r="X397" s="1301"/>
      <c r="Y397" s="1301"/>
      <c r="Z397" s="1301"/>
      <c r="AA397" s="1301"/>
      <c r="AB397" s="1301"/>
      <c r="AC397" s="1301"/>
      <c r="AD397" s="1301"/>
      <c r="AE397" s="1301"/>
      <c r="AF397" s="1301"/>
      <c r="AG397" s="1301"/>
      <c r="AH397" s="1301"/>
      <c r="AI397" s="1301"/>
      <c r="AJ397" s="1301"/>
    </row>
    <row r="398" spans="4:36" ht="12.95" customHeight="1">
      <c r="D398" s="41" t="s">
        <v>2075</v>
      </c>
      <c r="E398" s="833"/>
      <c r="F398" s="833"/>
      <c r="G398" s="833"/>
      <c r="H398" s="833"/>
      <c r="I398" s="833"/>
      <c r="J398" s="833"/>
      <c r="K398" s="833"/>
      <c r="L398" s="833"/>
      <c r="M398" s="833"/>
      <c r="N398" s="833"/>
      <c r="O398" s="833"/>
      <c r="P398" s="833"/>
      <c r="Q398" s="833"/>
      <c r="R398" s="833"/>
      <c r="S398" s="1420" t="s">
        <v>2437</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983" t="s">
        <v>2077</v>
      </c>
      <c r="E399" s="983"/>
      <c r="F399" s="983"/>
      <c r="G399" s="983"/>
      <c r="H399" s="983"/>
      <c r="I399" s="983"/>
      <c r="J399" s="983"/>
      <c r="K399" s="983"/>
      <c r="L399" s="983"/>
      <c r="M399" s="983"/>
      <c r="N399" s="983"/>
      <c r="O399" s="983"/>
      <c r="P399" s="983"/>
      <c r="Q399" s="983"/>
      <c r="R399" s="983"/>
      <c r="S399" s="983"/>
      <c r="T399" s="983"/>
      <c r="U399" s="983"/>
      <c r="V399" s="983"/>
      <c r="W399" s="983"/>
      <c r="X399" s="983"/>
      <c r="Y399" s="983"/>
      <c r="Z399" s="983"/>
      <c r="AA399" s="983"/>
      <c r="AB399" s="983"/>
      <c r="AC399" s="983"/>
      <c r="AD399" s="983"/>
      <c r="AE399" s="983"/>
      <c r="AF399" s="983"/>
      <c r="AG399" s="983"/>
      <c r="AH399" s="983"/>
      <c r="AI399" s="983"/>
      <c r="AJ399" s="983"/>
    </row>
    <row r="400" spans="4:36" ht="12.95" customHeight="1">
      <c r="D400" s="983"/>
      <c r="E400" s="983"/>
      <c r="F400" s="983"/>
      <c r="G400" s="983"/>
      <c r="H400" s="983"/>
      <c r="I400" s="983"/>
      <c r="J400" s="983"/>
      <c r="K400" s="983"/>
      <c r="L400" s="983"/>
      <c r="M400" s="983"/>
      <c r="N400" s="983"/>
      <c r="O400" s="983"/>
      <c r="P400" s="983"/>
      <c r="Q400" s="983"/>
      <c r="R400" s="983"/>
      <c r="S400" s="983"/>
      <c r="T400" s="983"/>
      <c r="U400" s="983"/>
      <c r="V400" s="983"/>
      <c r="W400" s="983"/>
      <c r="X400" s="983"/>
      <c r="Y400" s="983"/>
      <c r="Z400" s="983"/>
      <c r="AA400" s="983"/>
      <c r="AB400" s="983"/>
      <c r="AC400" s="983"/>
      <c r="AD400" s="983"/>
      <c r="AE400" s="983"/>
      <c r="AF400" s="983"/>
      <c r="AG400" s="983"/>
      <c r="AH400" s="983"/>
      <c r="AI400" s="983"/>
      <c r="AJ400" s="983"/>
    </row>
    <row r="401" spans="1:36" ht="12.95" customHeight="1">
      <c r="AG401" s="852"/>
      <c r="AH401" s="852"/>
      <c r="AI401" s="852"/>
      <c r="AJ401" s="852"/>
    </row>
    <row r="402" spans="1:36" ht="12.95" customHeight="1">
      <c r="A402" s="3" t="s">
        <v>130</v>
      </c>
      <c r="B402" s="3"/>
      <c r="C402" s="3" t="s">
        <v>943</v>
      </c>
    </row>
    <row r="403" spans="1:36" ht="12.95" customHeight="1">
      <c r="D403" s="3" t="s">
        <v>1811</v>
      </c>
      <c r="I403" s="1292" t="s">
        <v>2438</v>
      </c>
      <c r="J403" s="1292"/>
      <c r="K403" s="1292"/>
      <c r="L403" s="1292"/>
      <c r="M403" s="1292"/>
      <c r="N403" s="1292"/>
      <c r="O403" s="1292"/>
      <c r="P403" s="1292"/>
      <c r="Q403" s="1292"/>
      <c r="R403" s="1292"/>
      <c r="S403" s="1292"/>
      <c r="T403" s="1292"/>
      <c r="U403" s="1292"/>
      <c r="V403" s="1292"/>
      <c r="W403" s="1292"/>
      <c r="X403" s="1292"/>
      <c r="Y403" s="1292"/>
      <c r="Z403" s="1292"/>
      <c r="AA403" s="1292"/>
      <c r="AB403" s="1292"/>
      <c r="AC403" s="1292"/>
      <c r="AD403" s="1292"/>
    </row>
    <row r="404" spans="1:36" ht="12.95" customHeight="1">
      <c r="E404" t="s">
        <v>896</v>
      </c>
      <c r="R404" s="1120" t="s">
        <v>116</v>
      </c>
      <c r="S404" s="1120"/>
      <c r="T404" t="s">
        <v>306</v>
      </c>
      <c r="AD404" s="1122">
        <v>4</v>
      </c>
      <c r="AE404" s="1122"/>
    </row>
    <row r="405" spans="1:36" ht="12.95" customHeight="1">
      <c r="E405" t="s">
        <v>897</v>
      </c>
      <c r="R405" s="1120" t="s">
        <v>132</v>
      </c>
      <c r="S405" s="1120"/>
      <c r="T405" t="s">
        <v>306</v>
      </c>
      <c r="AD405" s="1122">
        <v>0</v>
      </c>
      <c r="AE405" s="1122"/>
    </row>
    <row r="406" spans="1:36" ht="12.95" customHeight="1">
      <c r="E406" t="s">
        <v>898</v>
      </c>
      <c r="S406" s="1120" t="s">
        <v>132</v>
      </c>
      <c r="T406" s="1120"/>
    </row>
    <row r="407" spans="1:36" ht="12.95" customHeight="1">
      <c r="E407" t="s">
        <v>298</v>
      </c>
      <c r="H407" s="1478" t="s">
        <v>2439</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2.95"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2.95" customHeight="1"/>
    <row r="410" spans="1:36" ht="12.95" customHeight="1">
      <c r="A410" s="3" t="s">
        <v>131</v>
      </c>
      <c r="B410" s="3"/>
      <c r="C410" s="3"/>
      <c r="D410" s="3" t="s">
        <v>946</v>
      </c>
      <c r="AE410" s="5"/>
      <c r="AF410" s="3" t="s">
        <v>1266</v>
      </c>
    </row>
    <row r="411" spans="1:36" ht="12.95" customHeight="1">
      <c r="E411" s="1480"/>
      <c r="F411" s="1480"/>
      <c r="G411" s="1480"/>
      <c r="H411" s="18" t="s">
        <v>947</v>
      </c>
      <c r="I411" s="1480"/>
      <c r="J411" s="1480"/>
      <c r="K411" s="1480"/>
      <c r="L411" t="s">
        <v>948</v>
      </c>
      <c r="N411" s="34" t="s">
        <v>892</v>
      </c>
      <c r="P411" s="1481">
        <v>0.78</v>
      </c>
      <c r="Q411" s="1481"/>
      <c r="R411" s="1481"/>
      <c r="S411" t="s">
        <v>949</v>
      </c>
      <c r="W411" s="1482">
        <f>IF(E411&gt;0,(E411*I411),(P411*43560))</f>
        <v>33976.800000000003</v>
      </c>
      <c r="X411" s="1482"/>
      <c r="Y411" s="1482"/>
      <c r="Z411" t="s">
        <v>950</v>
      </c>
      <c r="AF411" s="1494">
        <f>IF(P411&gt;0,(AG430/P411),(AG430/(W411/43560)))</f>
        <v>64.102564102564102</v>
      </c>
      <c r="AG411" s="1494"/>
      <c r="AH411" s="1494"/>
    </row>
    <row r="412" spans="1:36" ht="12.95" customHeight="1">
      <c r="E412" t="s">
        <v>215</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2078</v>
      </c>
      <c r="F414" s="29"/>
      <c r="G414" s="29"/>
      <c r="H414" s="29"/>
      <c r="I414" s="1465">
        <v>0.55000000000000004</v>
      </c>
      <c r="J414" s="1465"/>
      <c r="K414" s="1465"/>
      <c r="L414" s="29"/>
      <c r="M414" s="270"/>
      <c r="N414" s="29"/>
      <c r="O414" s="29"/>
      <c r="P414" s="1493">
        <f>(CQ615+CS620+CQ634)/I414</f>
        <v>98.181818181818173</v>
      </c>
      <c r="Q414" s="1493"/>
      <c r="R414" s="1493"/>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20">
        <v>1</v>
      </c>
      <c r="Q417" s="1120"/>
      <c r="S417" t="s">
        <v>144</v>
      </c>
      <c r="AE417" s="1120">
        <v>1</v>
      </c>
      <c r="AF417" s="1120"/>
    </row>
    <row r="418" spans="1:36" ht="12.95" customHeight="1">
      <c r="E418" t="s">
        <v>145</v>
      </c>
      <c r="P418" s="1120">
        <v>0</v>
      </c>
      <c r="Q418" s="1120"/>
      <c r="S418" t="s">
        <v>762</v>
      </c>
      <c r="AE418" s="1120" t="s">
        <v>116</v>
      </c>
      <c r="AF418" s="1120"/>
    </row>
    <row r="419" spans="1:36" ht="12.95" customHeight="1">
      <c r="F419" s="36" t="s">
        <v>236</v>
      </c>
    </row>
    <row r="420" spans="1:36" ht="12.95" customHeight="1">
      <c r="F420" s="1407" t="s">
        <v>2526</v>
      </c>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2.95"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2.95" customHeight="1">
      <c r="E422" t="s">
        <v>899</v>
      </c>
      <c r="P422" s="1"/>
      <c r="Q422" s="1120" t="s">
        <v>116</v>
      </c>
      <c r="R422" s="1120"/>
      <c r="AE422" s="1"/>
      <c r="AF422" s="1"/>
    </row>
    <row r="423" spans="1:36" ht="12.95" customHeight="1">
      <c r="F423" t="s">
        <v>900</v>
      </c>
      <c r="P423" s="1"/>
      <c r="Q423" s="1"/>
      <c r="AE423" s="1120" t="s">
        <v>132</v>
      </c>
      <c r="AF423" s="1304"/>
    </row>
    <row r="424" spans="1:36" ht="12.95" customHeight="1"/>
    <row r="425" spans="1:36" ht="12.95" customHeight="1">
      <c r="A425" s="3"/>
      <c r="B425" s="3"/>
      <c r="C425" s="3"/>
      <c r="E425" s="5" t="s">
        <v>85</v>
      </c>
      <c r="Z425" s="1120" t="s">
        <v>511</v>
      </c>
      <c r="AA425" s="1120"/>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20" t="s">
        <v>132</v>
      </c>
      <c r="AA427" s="1120"/>
    </row>
    <row r="428" spans="1:36" ht="12.95" customHeight="1"/>
    <row r="429" spans="1:36" ht="12.95" customHeight="1">
      <c r="A429" s="3" t="s">
        <v>392</v>
      </c>
      <c r="B429" s="3"/>
      <c r="C429" s="3"/>
      <c r="D429" s="3" t="s">
        <v>183</v>
      </c>
      <c r="AF429" s="54"/>
    </row>
    <row r="430" spans="1:36" ht="12.95" customHeight="1">
      <c r="D430" s="1244" t="s">
        <v>381</v>
      </c>
      <c r="E430" s="1245"/>
      <c r="F430" s="1245"/>
      <c r="G430" s="1245"/>
      <c r="H430" s="1245"/>
      <c r="I430" s="1245"/>
      <c r="J430" s="1245"/>
      <c r="K430" s="1245"/>
      <c r="L430" s="1245"/>
      <c r="M430" s="1245"/>
      <c r="N430" s="1245"/>
      <c r="O430" s="1245"/>
      <c r="P430" s="1245"/>
      <c r="Q430" s="1245"/>
      <c r="R430" s="1245"/>
      <c r="S430" s="1245"/>
      <c r="T430" s="1245"/>
      <c r="U430" s="1245"/>
      <c r="V430" s="1245"/>
      <c r="W430" s="1245"/>
      <c r="X430" s="1245"/>
      <c r="Y430" s="1245"/>
      <c r="Z430" s="1245"/>
      <c r="AA430" s="1245"/>
      <c r="AB430" s="1245"/>
      <c r="AC430" s="1245"/>
      <c r="AD430" s="1245"/>
      <c r="AE430" s="1245"/>
      <c r="AF430" s="1470"/>
      <c r="AG430" s="1432">
        <v>50</v>
      </c>
      <c r="AH430" s="1432"/>
      <c r="AI430" s="1432"/>
      <c r="AJ430" s="1432"/>
    </row>
    <row r="431" spans="1:36" ht="12.95" customHeight="1">
      <c r="D431" s="1402" t="s">
        <v>1431</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v>0</v>
      </c>
      <c r="AH431" s="1477"/>
      <c r="AI431" s="1477"/>
      <c r="AJ431" s="1477"/>
    </row>
    <row r="432" spans="1:36" ht="12.95" customHeight="1">
      <c r="D432" s="1402" t="s">
        <v>1432</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49</v>
      </c>
      <c r="AH432" s="1432"/>
      <c r="AI432" s="1432"/>
      <c r="AJ432" s="1432"/>
    </row>
    <row r="433" spans="4:36" ht="12.95" customHeight="1">
      <c r="D433" s="1402" t="s">
        <v>1428</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49</v>
      </c>
      <c r="AH433" s="1432"/>
      <c r="AI433" s="1432"/>
      <c r="AJ433" s="1432"/>
    </row>
    <row r="434" spans="4:36" ht="12.95" customHeight="1">
      <c r="D434" s="1402" t="s">
        <v>1433</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2.95" customHeight="1">
      <c r="D435" s="1402" t="s">
        <v>1430</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24782</v>
      </c>
      <c r="AH435" s="1439"/>
      <c r="AI435" s="1439"/>
      <c r="AJ435" s="1439"/>
    </row>
    <row r="436" spans="4:36" ht="12.95" customHeight="1">
      <c r="D436" s="1402" t="s">
        <v>1429</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24782</v>
      </c>
      <c r="AH436" s="1439"/>
      <c r="AI436" s="1439"/>
      <c r="AJ436" s="1439"/>
    </row>
    <row r="437" spans="4:36" ht="12.95" customHeight="1">
      <c r="D437" s="1402" t="s">
        <v>1436</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2.95" customHeight="1">
      <c r="D438" s="1402" t="s">
        <v>1434</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2.95" customHeight="1">
      <c r="D439" s="1489" t="s">
        <v>2235</v>
      </c>
      <c r="E439" s="1245"/>
      <c r="F439" s="1245"/>
      <c r="G439" s="1245"/>
      <c r="H439" s="1245"/>
      <c r="I439" s="1245"/>
      <c r="J439" s="1245"/>
      <c r="K439" s="1245"/>
      <c r="L439" s="1245"/>
      <c r="M439" s="1245"/>
      <c r="N439" s="1245"/>
      <c r="O439" s="1245"/>
      <c r="P439" s="1245"/>
      <c r="Q439" s="1245"/>
      <c r="R439" s="1245"/>
      <c r="S439" s="1245"/>
      <c r="T439" s="1245"/>
      <c r="U439" s="1245"/>
      <c r="V439" s="1245"/>
      <c r="W439" s="1245"/>
      <c r="X439" s="1245"/>
      <c r="Y439" s="1245"/>
      <c r="Z439" s="1245"/>
      <c r="AA439" s="1245"/>
      <c r="AB439" s="1245"/>
      <c r="AC439" s="1245"/>
      <c r="AD439" s="1245"/>
      <c r="AE439" s="1245"/>
      <c r="AF439" s="1470"/>
      <c r="AG439" s="1439">
        <v>2718</v>
      </c>
      <c r="AH439" s="1439"/>
      <c r="AI439" s="1439"/>
      <c r="AJ439" s="1439"/>
    </row>
    <row r="440" spans="4:36" ht="12.95"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v>2524</v>
      </c>
      <c r="AH440" s="1439"/>
      <c r="AI440" s="1439"/>
      <c r="AJ440" s="1439"/>
    </row>
    <row r="441" spans="4:36" ht="12.95" customHeight="1">
      <c r="D441" s="1489" t="s">
        <v>1812</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f>6919+2674</f>
        <v>9593</v>
      </c>
      <c r="AH441" s="1439"/>
      <c r="AI441" s="1439"/>
      <c r="AJ441" s="1439"/>
    </row>
    <row r="442" spans="4:36" ht="12.95" customHeight="1">
      <c r="D442" s="1402" t="s">
        <v>1435</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v>0</v>
      </c>
      <c r="AH442" s="1439"/>
      <c r="AI442" s="1439"/>
      <c r="AJ442" s="1439"/>
    </row>
    <row r="443" spans="4:36" ht="12.95" customHeight="1">
      <c r="D443" s="1402" t="s">
        <v>1437</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37093</v>
      </c>
      <c r="AH443" s="1464"/>
      <c r="AI443" s="1464"/>
      <c r="AJ443" s="1464"/>
    </row>
    <row r="444" spans="4:36" ht="12.95" customHeight="1">
      <c r="D444" s="1468" t="s">
        <v>1813</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1196636.3285603437</v>
      </c>
      <c r="AD447" s="1443"/>
      <c r="AE447" s="1443"/>
      <c r="AF447" s="1443"/>
      <c r="AG447" s="1430"/>
      <c r="AH447" s="1430"/>
      <c r="AI447" s="1430"/>
      <c r="AJ447" s="1430"/>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1138483.897776783</v>
      </c>
      <c r="AD448" s="1443"/>
      <c r="AE448" s="1443"/>
      <c r="AF448" s="1443"/>
      <c r="AG448" s="1430"/>
      <c r="AH448" s="1430"/>
      <c r="AI448" s="1430"/>
      <c r="AJ448" s="1430"/>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865801.07293616841</v>
      </c>
      <c r="AD449" s="1443"/>
      <c r="AE449" s="1443"/>
      <c r="AF449" s="14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1" t="s">
        <v>2208</v>
      </c>
      <c r="E458" s="1422"/>
      <c r="F458" s="1422"/>
      <c r="G458" s="1422"/>
      <c r="H458" s="1422"/>
      <c r="I458" s="1422"/>
      <c r="J458" s="1422"/>
      <c r="K458" s="1422"/>
      <c r="L458" s="1422"/>
      <c r="M458" s="1422"/>
      <c r="N458" s="1422"/>
      <c r="O458" s="1422"/>
      <c r="P458" s="1422"/>
      <c r="Q458" s="1422"/>
      <c r="R458" s="1422"/>
      <c r="S458" s="1422"/>
      <c r="T458" s="1422"/>
      <c r="U458" s="1422"/>
      <c r="V458" s="1423"/>
      <c r="W458" s="1395">
        <v>0</v>
      </c>
      <c r="X458" s="1396"/>
      <c r="Y458" s="1397"/>
      <c r="Z458" s="311"/>
      <c r="AA458" s="311"/>
      <c r="AB458" s="311"/>
      <c r="AC458" s="311"/>
      <c r="AD458" s="311"/>
      <c r="AE458" s="311"/>
      <c r="AF458" s="311"/>
      <c r="AG458" s="311"/>
      <c r="AH458" s="311"/>
      <c r="AI458" s="311"/>
      <c r="AJ458" s="41"/>
      <c r="AK458" s="41"/>
      <c r="AL458" s="41"/>
    </row>
    <row r="459" spans="1:38" ht="12.95"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v>0</v>
      </c>
      <c r="X459" s="1396"/>
      <c r="Y459" s="1397"/>
      <c r="Z459" s="311"/>
      <c r="AA459" s="311"/>
      <c r="AB459" s="311"/>
      <c r="AC459" s="311"/>
      <c r="AD459" s="311"/>
      <c r="AE459" s="311"/>
      <c r="AF459" s="311"/>
      <c r="AG459" s="311"/>
      <c r="AH459" s="311"/>
      <c r="AI459" s="311"/>
      <c r="AJ459" s="41"/>
      <c r="AK459" s="41"/>
      <c r="AL459" s="41"/>
    </row>
    <row r="460" spans="1:38" ht="12.95"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v>25</v>
      </c>
      <c r="X460" s="1396"/>
      <c r="Y460" s="1397"/>
      <c r="Z460" s="311"/>
      <c r="AA460" s="311"/>
      <c r="AB460" s="311"/>
      <c r="AC460" s="311"/>
      <c r="AD460" s="311"/>
      <c r="AE460" s="311"/>
      <c r="AF460" s="311"/>
      <c r="AG460" s="311"/>
      <c r="AH460" s="311"/>
      <c r="AI460" s="311"/>
      <c r="AJ460" s="41"/>
      <c r="AK460" s="41"/>
      <c r="AL460" s="41"/>
    </row>
    <row r="461" spans="1:38" ht="12.95"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v>0</v>
      </c>
      <c r="X461" s="1396"/>
      <c r="Y461" s="1397"/>
      <c r="Z461" s="311"/>
      <c r="AA461" s="311"/>
      <c r="AB461" s="311"/>
      <c r="AC461" s="311"/>
      <c r="AD461" s="311"/>
      <c r="AE461" s="311"/>
      <c r="AF461" s="311"/>
      <c r="AG461" s="311"/>
      <c r="AH461" s="311"/>
      <c r="AI461" s="311"/>
      <c r="AJ461" s="41"/>
      <c r="AK461" s="41"/>
      <c r="AL461" s="41"/>
    </row>
    <row r="462" spans="1:38" ht="12.95" customHeight="1">
      <c r="A462" s="41"/>
      <c r="B462" s="41"/>
      <c r="C462" s="41"/>
      <c r="D462" s="1431" t="s">
        <v>1156</v>
      </c>
      <c r="E462" s="1422"/>
      <c r="F462" s="1422"/>
      <c r="G462" s="1422"/>
      <c r="H462" s="1422"/>
      <c r="I462" s="1422"/>
      <c r="J462" s="1422"/>
      <c r="K462" s="1422"/>
      <c r="L462" s="1422"/>
      <c r="M462" s="1422"/>
      <c r="N462" s="1422"/>
      <c r="O462" s="1422"/>
      <c r="P462" s="1422"/>
      <c r="Q462" s="1422"/>
      <c r="R462" s="1422"/>
      <c r="S462" s="1422"/>
      <c r="T462" s="1422"/>
      <c r="U462" s="1422"/>
      <c r="V462" s="1423"/>
      <c r="W462" s="1395">
        <v>0</v>
      </c>
      <c r="X462" s="1396"/>
      <c r="Y462" s="1397"/>
      <c r="Z462" s="311"/>
      <c r="AA462" s="311"/>
      <c r="AB462" s="311"/>
      <c r="AC462" s="311"/>
      <c r="AD462" s="311"/>
      <c r="AE462" s="311"/>
      <c r="AF462" s="311"/>
      <c r="AG462" s="311"/>
      <c r="AH462" s="311"/>
      <c r="AI462" s="311"/>
      <c r="AJ462" s="41"/>
      <c r="AK462" s="41"/>
      <c r="AL462" s="41"/>
    </row>
    <row r="463" spans="1:38" ht="12.95"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v>0</v>
      </c>
      <c r="X463" s="1396"/>
      <c r="Y463" s="1397"/>
      <c r="Z463" s="311"/>
      <c r="AA463" s="311"/>
      <c r="AB463" s="311"/>
      <c r="AC463" s="311"/>
      <c r="AD463" s="311"/>
      <c r="AE463" s="311"/>
      <c r="AF463" s="311"/>
      <c r="AG463" s="311"/>
      <c r="AH463" s="311"/>
      <c r="AI463" s="311"/>
      <c r="AJ463" s="41"/>
      <c r="AK463" s="41"/>
      <c r="AL463" s="41"/>
    </row>
    <row r="464" spans="1:38" ht="12.95" customHeight="1">
      <c r="A464" s="572"/>
      <c r="B464" s="572"/>
      <c r="C464" s="572"/>
      <c r="D464" s="1431" t="s">
        <v>1360</v>
      </c>
      <c r="E464" s="1474"/>
      <c r="F464" s="1474"/>
      <c r="G464" s="1474"/>
      <c r="H464" s="1474"/>
      <c r="I464" s="1474"/>
      <c r="J464" s="1474"/>
      <c r="K464" s="1474"/>
      <c r="L464" s="1474"/>
      <c r="M464" s="1474"/>
      <c r="N464" s="1474"/>
      <c r="O464" s="1474"/>
      <c r="P464" s="1474"/>
      <c r="Q464" s="1474"/>
      <c r="R464" s="1474"/>
      <c r="S464" s="1474"/>
      <c r="T464" s="1474"/>
      <c r="U464" s="1474"/>
      <c r="V464" s="1475"/>
      <c r="W464" s="1435">
        <v>0</v>
      </c>
      <c r="X464" s="1436"/>
      <c r="Y464" s="143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5">
        <v>0</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1" t="s">
        <v>2236</v>
      </c>
      <c r="E470" s="1422"/>
      <c r="F470" s="1422"/>
      <c r="G470" s="1422"/>
      <c r="H470" s="1422"/>
      <c r="I470" s="1422"/>
      <c r="J470" s="1422"/>
      <c r="K470" s="1422"/>
      <c r="L470" s="1422"/>
      <c r="M470" s="1422"/>
      <c r="N470" s="1422"/>
      <c r="O470" s="1422"/>
      <c r="P470" s="1422"/>
      <c r="Q470" s="1422"/>
      <c r="R470" s="1422"/>
      <c r="S470" s="1422"/>
      <c r="T470" s="1422"/>
      <c r="U470" s="1422"/>
      <c r="V470" s="1423"/>
      <c r="W470" s="1395">
        <v>0</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4" t="s">
        <v>1073</v>
      </c>
      <c r="B473" s="1294"/>
      <c r="C473" s="1294"/>
      <c r="D473" s="1294"/>
      <c r="E473" s="1294"/>
      <c r="F473" s="1294"/>
      <c r="G473" s="1294"/>
      <c r="H473" s="1294"/>
      <c r="I473" s="1294"/>
      <c r="J473" s="1294"/>
      <c r="K473" s="1294"/>
      <c r="L473" s="1294"/>
      <c r="M473" s="1294"/>
      <c r="N473" s="1294"/>
      <c r="O473" s="1294"/>
      <c r="P473" s="1294"/>
      <c r="Q473" s="1294"/>
      <c r="R473" s="1294"/>
      <c r="S473" s="1294"/>
      <c r="T473" s="1294"/>
      <c r="U473" s="1294"/>
      <c r="V473" s="1294"/>
      <c r="W473" s="1294"/>
      <c r="X473" s="1294"/>
      <c r="Y473" s="1294"/>
      <c r="Z473" s="1294"/>
      <c r="AA473" s="1294"/>
      <c r="AB473" s="1294"/>
      <c r="AC473" s="1294"/>
      <c r="AD473" s="1294"/>
      <c r="AE473" s="1294"/>
      <c r="AF473" s="1294"/>
      <c r="AG473" s="1294"/>
      <c r="AH473" s="1294"/>
      <c r="AI473" s="1294"/>
      <c r="AJ473" s="1294"/>
      <c r="AK473" s="1294"/>
      <c r="AL473" s="129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5"/>
      <c r="B474" s="1295"/>
      <c r="C474" s="1295"/>
      <c r="D474" s="1295"/>
      <c r="E474" s="1295"/>
      <c r="F474" s="1295"/>
      <c r="G474" s="1295"/>
      <c r="H474" s="1295"/>
      <c r="I474" s="1295"/>
      <c r="J474" s="1295"/>
      <c r="K474" s="1295"/>
      <c r="L474" s="1295"/>
      <c r="M474" s="1295"/>
      <c r="N474" s="1295"/>
      <c r="O474" s="1295"/>
      <c r="P474" s="1295"/>
      <c r="Q474" s="1295"/>
      <c r="R474" s="1295"/>
      <c r="S474" s="1295"/>
      <c r="T474" s="1295"/>
      <c r="U474" s="1295"/>
      <c r="V474" s="1295"/>
      <c r="W474" s="1295"/>
      <c r="X474" s="1295"/>
      <c r="Y474" s="1295"/>
      <c r="Z474" s="1295"/>
      <c r="AA474" s="1295"/>
      <c r="AB474" s="1295"/>
      <c r="AC474" s="1295"/>
      <c r="AD474" s="1295"/>
      <c r="AE474" s="1295"/>
      <c r="AF474" s="1295"/>
      <c r="AG474" s="1295"/>
      <c r="AH474" s="1295"/>
      <c r="AI474" s="1295"/>
      <c r="AJ474" s="1295"/>
      <c r="AK474" s="1295"/>
      <c r="AL474" s="129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3" t="s">
        <v>2440</v>
      </c>
      <c r="R479" s="1096"/>
      <c r="S479" s="1096"/>
      <c r="T479" s="1096"/>
      <c r="U479" s="1096"/>
      <c r="V479" s="1096"/>
      <c r="W479" s="1096"/>
      <c r="X479" s="1096"/>
      <c r="Y479" s="1096"/>
      <c r="Z479" s="1096"/>
      <c r="AA479" s="1096"/>
      <c r="AB479" s="1096"/>
      <c r="AC479" s="1096"/>
      <c r="AD479" s="1096"/>
      <c r="AE479" s="1096"/>
      <c r="AF479" s="1096"/>
      <c r="AG479" s="1096"/>
      <c r="AH479" s="1096"/>
      <c r="AI479" s="1096"/>
      <c r="AJ479" s="1096"/>
      <c r="AK479" s="117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3" t="s">
        <v>2441</v>
      </c>
      <c r="R480" s="1096"/>
      <c r="S480" s="1096"/>
      <c r="T480" s="1096"/>
      <c r="U480" s="1096"/>
      <c r="V480" s="1096"/>
      <c r="W480" s="1096"/>
      <c r="X480" s="1096"/>
      <c r="Y480" s="1096"/>
      <c r="Z480" s="1096"/>
      <c r="AA480" s="1096"/>
      <c r="AB480" s="1096"/>
      <c r="AC480" s="1096"/>
      <c r="AD480" s="1096"/>
      <c r="AE480" s="1096"/>
      <c r="AF480" s="1096"/>
      <c r="AG480" s="1096"/>
      <c r="AH480" s="1096"/>
      <c r="AI480" s="1096"/>
      <c r="AJ480" s="1096"/>
      <c r="AK480" s="117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3" t="s">
        <v>2441</v>
      </c>
      <c r="R481" s="1096"/>
      <c r="S481" s="1096"/>
      <c r="T481" s="1096"/>
      <c r="U481" s="1096"/>
      <c r="V481" s="1096"/>
      <c r="W481" s="1096"/>
      <c r="X481" s="1096"/>
      <c r="Y481" s="1096"/>
      <c r="Z481" s="1096"/>
      <c r="AA481" s="1096"/>
      <c r="AB481" s="1096"/>
      <c r="AC481" s="1096"/>
      <c r="AD481" s="1096"/>
      <c r="AE481" s="1096"/>
      <c r="AF481" s="1096"/>
      <c r="AG481" s="1096"/>
      <c r="AH481" s="1096"/>
      <c r="AI481" s="1096"/>
      <c r="AJ481" s="1096"/>
      <c r="AK481" s="117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4" t="s">
        <v>257</v>
      </c>
      <c r="C482" s="1425"/>
      <c r="D482" s="1425"/>
      <c r="E482" s="1425"/>
      <c r="F482" s="1425"/>
      <c r="G482" s="1425"/>
      <c r="H482" s="1425"/>
      <c r="I482" s="1425"/>
      <c r="J482" s="1425"/>
      <c r="K482" s="1425"/>
      <c r="L482" s="1425"/>
      <c r="M482" s="1425"/>
      <c r="N482" s="1425"/>
      <c r="O482" s="1425"/>
      <c r="P482" s="1426"/>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3" t="s">
        <v>2442</v>
      </c>
      <c r="R485" s="1096"/>
      <c r="S485" s="1096"/>
      <c r="T485" s="1096"/>
      <c r="U485" s="1096"/>
      <c r="V485" s="1096"/>
      <c r="W485" s="1096"/>
      <c r="X485" s="1096"/>
      <c r="Y485" s="1096"/>
      <c r="Z485" s="1096"/>
      <c r="AA485" s="1096"/>
      <c r="AB485" s="1096"/>
      <c r="AC485" s="1096"/>
      <c r="AD485" s="1096"/>
      <c r="AE485" s="1096"/>
      <c r="AF485" s="1096"/>
      <c r="AG485" s="1096"/>
      <c r="AH485" s="1096"/>
      <c r="AI485" s="1096"/>
      <c r="AJ485" s="1096"/>
      <c r="AK485" s="117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3" t="s">
        <v>2443</v>
      </c>
      <c r="R486" s="1096"/>
      <c r="S486" s="1096"/>
      <c r="T486" s="1096"/>
      <c r="U486" s="1096"/>
      <c r="V486" s="1096"/>
      <c r="W486" s="1096"/>
      <c r="X486" s="1096"/>
      <c r="Y486" s="1096"/>
      <c r="Z486" s="1096"/>
      <c r="AA486" s="1096"/>
      <c r="AB486" s="1096"/>
      <c r="AC486" s="1096"/>
      <c r="AD486" s="1096"/>
      <c r="AE486" s="1096"/>
      <c r="AF486" s="1096"/>
      <c r="AG486" s="1096"/>
      <c r="AH486" s="1096"/>
      <c r="AI486" s="1096"/>
      <c r="AJ486" s="1096"/>
      <c r="AK486" s="117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173">
        <v>19</v>
      </c>
      <c r="R487" s="1096"/>
      <c r="S487" s="1096"/>
      <c r="T487" s="1096"/>
      <c r="U487" s="1096"/>
      <c r="V487" s="1096"/>
      <c r="W487" s="1096"/>
      <c r="X487" s="1096"/>
      <c r="Y487" s="1096"/>
      <c r="Z487" s="1096"/>
      <c r="AA487" s="1096"/>
      <c r="AB487" s="1096"/>
      <c r="AC487" s="1096"/>
      <c r="AD487" s="1096"/>
      <c r="AE487" s="1096"/>
      <c r="AF487" s="1096"/>
      <c r="AG487" s="1096"/>
      <c r="AH487" s="1096"/>
      <c r="AI487" s="1096"/>
      <c r="AJ487" s="1096"/>
      <c r="AK487" s="117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060">
        <v>5</v>
      </c>
      <c r="N488" s="1061"/>
      <c r="O488" s="1061"/>
      <c r="P488" s="1062"/>
      <c r="Q488" s="214" t="s">
        <v>2083</v>
      </c>
      <c r="R488" s="9"/>
      <c r="S488" s="9"/>
      <c r="T488" s="9"/>
      <c r="U488" s="9"/>
      <c r="V488" s="9"/>
      <c r="W488" s="9"/>
      <c r="X488" s="9"/>
      <c r="Y488" s="9"/>
      <c r="Z488" s="9"/>
      <c r="AA488" s="9"/>
      <c r="AB488" s="9"/>
      <c r="AC488" s="9"/>
      <c r="AD488" s="9"/>
      <c r="AE488" s="9"/>
      <c r="AF488" s="9"/>
      <c r="AG488" s="9"/>
      <c r="AH488" s="1060">
        <v>14</v>
      </c>
      <c r="AI488" s="1061"/>
      <c r="AJ488" s="1061"/>
      <c r="AK488" s="106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81" t="s">
        <v>265</v>
      </c>
      <c r="C494" s="1082"/>
      <c r="D494" s="1082"/>
      <c r="E494" s="1082"/>
      <c r="F494" s="1082"/>
      <c r="G494" s="1082"/>
      <c r="H494" s="1083"/>
      <c r="I494" s="7" t="s">
        <v>707</v>
      </c>
      <c r="J494" s="7"/>
      <c r="K494" s="7"/>
      <c r="L494" s="7"/>
      <c r="M494" s="7"/>
      <c r="N494" s="7"/>
      <c r="O494" s="7"/>
      <c r="P494" s="7"/>
      <c r="Q494" s="7"/>
      <c r="R494" s="7"/>
      <c r="S494" s="7"/>
      <c r="T494" s="7"/>
      <c r="U494" s="7"/>
      <c r="V494" s="7"/>
      <c r="W494" s="7"/>
      <c r="AC494" s="1398" t="s">
        <v>132</v>
      </c>
      <c r="AD494" s="1122"/>
      <c r="AE494" s="1122"/>
      <c r="AF494" s="1122"/>
      <c r="AG494" s="18" t="s">
        <v>263</v>
      </c>
      <c r="AH494" s="1110">
        <v>0</v>
      </c>
      <c r="AI494" s="1110"/>
      <c r="AJ494" s="1110"/>
      <c r="AK494" s="117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4"/>
      <c r="C495" s="1085"/>
      <c r="D495" s="1085"/>
      <c r="E495" s="1085"/>
      <c r="F495" s="1085"/>
      <c r="G495" s="1085"/>
      <c r="H495" s="1086"/>
      <c r="I495" s="54" t="s">
        <v>708</v>
      </c>
      <c r="J495" s="54"/>
      <c r="K495" s="54"/>
      <c r="L495" s="54"/>
      <c r="M495" s="54"/>
      <c r="N495" s="54"/>
      <c r="O495" s="54"/>
      <c r="P495" s="54"/>
      <c r="Q495" s="54"/>
      <c r="R495" s="54"/>
      <c r="S495" s="54"/>
      <c r="T495" s="54"/>
      <c r="U495" s="54"/>
      <c r="V495" s="54"/>
      <c r="W495" s="54"/>
      <c r="X495" s="54"/>
      <c r="Y495" s="54"/>
      <c r="Z495" s="54"/>
      <c r="AA495" s="54"/>
      <c r="AB495" s="54"/>
      <c r="AC495" s="1398">
        <v>6</v>
      </c>
      <c r="AD495" s="1122"/>
      <c r="AE495" s="1122"/>
      <c r="AF495" s="1122"/>
      <c r="AG495" s="47" t="s">
        <v>263</v>
      </c>
      <c r="AH495" s="1110">
        <v>2022</v>
      </c>
      <c r="AI495" s="1110"/>
      <c r="AJ495" s="1110"/>
      <c r="AK495" s="117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81" t="s">
        <v>709</v>
      </c>
      <c r="C496" s="1082"/>
      <c r="D496" s="1082"/>
      <c r="E496" s="1082"/>
      <c r="F496" s="1082"/>
      <c r="G496" s="1082"/>
      <c r="H496" s="1083"/>
      <c r="I496" s="7" t="s">
        <v>710</v>
      </c>
      <c r="J496" s="7"/>
      <c r="K496" s="7"/>
      <c r="L496" s="7"/>
      <c r="M496" s="7"/>
      <c r="N496" s="7"/>
      <c r="O496" s="7"/>
      <c r="P496" s="7"/>
      <c r="Q496" s="7"/>
      <c r="R496" s="7"/>
      <c r="S496" s="7"/>
      <c r="T496" s="7"/>
      <c r="U496" s="7"/>
      <c r="V496" s="7"/>
      <c r="W496" s="7"/>
      <c r="AC496" s="1398" t="s">
        <v>132</v>
      </c>
      <c r="AD496" s="1122"/>
      <c r="AE496" s="1122"/>
      <c r="AF496" s="1122"/>
      <c r="AG496" s="18" t="s">
        <v>263</v>
      </c>
      <c r="AH496" s="1110"/>
      <c r="AI496" s="1110"/>
      <c r="AJ496" s="1110"/>
      <c r="AK496" s="117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4"/>
      <c r="C497" s="1085"/>
      <c r="D497" s="1085"/>
      <c r="E497" s="1085"/>
      <c r="F497" s="1085"/>
      <c r="G497" s="1085"/>
      <c r="H497" s="1086"/>
      <c r="I497" t="s">
        <v>711</v>
      </c>
      <c r="AC497" s="1398" t="s">
        <v>132</v>
      </c>
      <c r="AD497" s="1122"/>
      <c r="AE497" s="1122"/>
      <c r="AF497" s="1122"/>
      <c r="AG497" s="18" t="s">
        <v>263</v>
      </c>
      <c r="AH497" s="1110"/>
      <c r="AI497" s="1110"/>
      <c r="AJ497" s="1110"/>
      <c r="AK497" s="117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4"/>
      <c r="C498" s="1085"/>
      <c r="D498" s="1085"/>
      <c r="E498" s="1085"/>
      <c r="F498" s="1085"/>
      <c r="G498" s="1085"/>
      <c r="H498" s="1086"/>
      <c r="I498" t="s">
        <v>712</v>
      </c>
      <c r="AC498" s="1398">
        <v>3</v>
      </c>
      <c r="AD498" s="1122"/>
      <c r="AE498" s="1122"/>
      <c r="AF498" s="1122"/>
      <c r="AG498" s="18" t="s">
        <v>263</v>
      </c>
      <c r="AH498" s="1110">
        <v>2022</v>
      </c>
      <c r="AI498" s="1110"/>
      <c r="AJ498" s="1110"/>
      <c r="AK498" s="117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4"/>
      <c r="C499" s="1085"/>
      <c r="D499" s="1085"/>
      <c r="E499" s="1085"/>
      <c r="F499" s="1085"/>
      <c r="G499" s="1085"/>
      <c r="H499" s="1086"/>
      <c r="I499" t="s">
        <v>713</v>
      </c>
      <c r="AC499" s="1442">
        <v>12</v>
      </c>
      <c r="AD499" s="1122"/>
      <c r="AE499" s="1122"/>
      <c r="AF499" s="1122"/>
      <c r="AG499" s="18" t="s">
        <v>263</v>
      </c>
      <c r="AH499" s="1110">
        <v>2023</v>
      </c>
      <c r="AI499" s="1110"/>
      <c r="AJ499" s="1110"/>
      <c r="AK499" s="117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4"/>
      <c r="C500" s="1085"/>
      <c r="D500" s="1085"/>
      <c r="E500" s="1085"/>
      <c r="F500" s="1085"/>
      <c r="G500" s="1085"/>
      <c r="H500" s="1086"/>
      <c r="I500" s="41" t="s">
        <v>714</v>
      </c>
      <c r="AC500" s="1230">
        <v>12</v>
      </c>
      <c r="AD500" s="1231"/>
      <c r="AE500" s="1231"/>
      <c r="AF500" s="1231"/>
      <c r="AG500" s="18" t="s">
        <v>263</v>
      </c>
      <c r="AH500" s="1110">
        <v>2023</v>
      </c>
      <c r="AI500" s="1110"/>
      <c r="AJ500" s="1110"/>
      <c r="AK500" s="117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4"/>
      <c r="C501" s="1085"/>
      <c r="D501" s="1085"/>
      <c r="E501" s="1085"/>
      <c r="F501" s="1085"/>
      <c r="G501" s="1085"/>
      <c r="H501" s="1086"/>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42" t="s">
        <v>132</v>
      </c>
      <c r="AD501" s="1300"/>
      <c r="AE501" s="1300"/>
      <c r="AF501" s="1300"/>
      <c r="AG501" s="47" t="s">
        <v>263</v>
      </c>
      <c r="AH501" s="1110"/>
      <c r="AI501" s="1110"/>
      <c r="AJ501" s="1110"/>
      <c r="AK501" s="117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4"/>
      <c r="C502" s="1085"/>
      <c r="D502" s="1085"/>
      <c r="E502" s="1085"/>
      <c r="F502" s="1085"/>
      <c r="G502" s="1085"/>
      <c r="H502" s="1086"/>
      <c r="I502" s="41" t="s">
        <v>2084</v>
      </c>
      <c r="AC502" s="1410" t="s">
        <v>116</v>
      </c>
      <c r="AD502" s="1410"/>
      <c r="AE502" s="1410"/>
      <c r="AF502" s="1410"/>
      <c r="AG502" s="18"/>
      <c r="AH502" s="1028"/>
      <c r="AI502" s="1028"/>
      <c r="AJ502" s="1028"/>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4"/>
      <c r="C503" s="1085"/>
      <c r="D503" s="1085"/>
      <c r="E503" s="1085"/>
      <c r="F503" s="1085"/>
      <c r="G503" s="1085"/>
      <c r="H503" s="1086"/>
      <c r="I503" t="s">
        <v>2085</v>
      </c>
      <c r="AC503" s="1230">
        <v>3</v>
      </c>
      <c r="AD503" s="1231"/>
      <c r="AE503" s="1231"/>
      <c r="AF503" s="1232"/>
      <c r="AG503" s="18"/>
      <c r="AH503" s="1028"/>
      <c r="AI503" s="1028"/>
      <c r="AJ503" s="1028"/>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4"/>
      <c r="C504" s="1085"/>
      <c r="D504" s="1085"/>
      <c r="E504" s="1085"/>
      <c r="F504" s="1085"/>
      <c r="G504" s="1085"/>
      <c r="H504" s="1086"/>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4"/>
      <c r="C505" s="1085"/>
      <c r="D505" s="1085"/>
      <c r="E505" s="1085"/>
      <c r="F505" s="1085"/>
      <c r="G505" s="1085"/>
      <c r="H505" s="1086"/>
      <c r="I505" s="858" t="s">
        <v>2087</v>
      </c>
      <c r="J505" s="54"/>
      <c r="K505" s="54"/>
      <c r="L505" s="54"/>
      <c r="M505" s="54"/>
      <c r="N505" s="54"/>
      <c r="O505" s="54"/>
      <c r="P505" s="54"/>
      <c r="Q505" s="54"/>
      <c r="R505" s="54"/>
      <c r="S505" s="54"/>
      <c r="T505" s="54"/>
      <c r="U505" s="54"/>
      <c r="V505" s="54"/>
      <c r="W505" s="54"/>
      <c r="X505" s="54"/>
      <c r="Y505" s="54"/>
      <c r="Z505" s="54"/>
      <c r="AA505" s="54"/>
      <c r="AB505" s="54"/>
      <c r="AC505" s="1490">
        <v>0.95</v>
      </c>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81" t="s">
        <v>715</v>
      </c>
      <c r="C506" s="1082"/>
      <c r="D506" s="1082"/>
      <c r="E506" s="1082"/>
      <c r="F506" s="1082"/>
      <c r="G506" s="1082"/>
      <c r="H506" s="1083"/>
      <c r="I506" s="7" t="s">
        <v>716</v>
      </c>
      <c r="J506" s="7"/>
      <c r="K506" s="7"/>
      <c r="L506" s="7"/>
      <c r="M506" s="7"/>
      <c r="N506" s="7"/>
      <c r="O506" s="7"/>
      <c r="P506" s="7"/>
      <c r="Q506" s="7"/>
      <c r="R506" s="7"/>
      <c r="S506" s="7"/>
      <c r="T506" s="7"/>
      <c r="U506" s="7"/>
      <c r="V506" s="7"/>
      <c r="W506" s="7"/>
      <c r="AC506" s="1398">
        <v>4</v>
      </c>
      <c r="AD506" s="1122"/>
      <c r="AE506" s="1122"/>
      <c r="AF506" s="1122"/>
      <c r="AG506" s="18" t="s">
        <v>263</v>
      </c>
      <c r="AH506" s="1110">
        <v>2023</v>
      </c>
      <c r="AI506" s="1110"/>
      <c r="AJ506" s="1110"/>
      <c r="AK506" s="117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4"/>
      <c r="C507" s="1085"/>
      <c r="D507" s="1085"/>
      <c r="E507" s="1085"/>
      <c r="F507" s="1085"/>
      <c r="G507" s="1085"/>
      <c r="H507" s="1086"/>
      <c r="I507" t="s">
        <v>717</v>
      </c>
      <c r="AC507" s="1398">
        <v>4</v>
      </c>
      <c r="AD507" s="1122"/>
      <c r="AE507" s="1122"/>
      <c r="AF507" s="1122"/>
      <c r="AG507" s="18" t="s">
        <v>263</v>
      </c>
      <c r="AH507" s="1110">
        <v>2023</v>
      </c>
      <c r="AI507" s="1110"/>
      <c r="AJ507" s="1110"/>
      <c r="AK507" s="117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4"/>
      <c r="C508" s="1085"/>
      <c r="D508" s="1085"/>
      <c r="E508" s="1085"/>
      <c r="F508" s="1085"/>
      <c r="G508" s="1085"/>
      <c r="H508" s="1086"/>
      <c r="I508" s="54" t="s">
        <v>718</v>
      </c>
      <c r="J508" s="54"/>
      <c r="K508" s="54"/>
      <c r="L508" s="54"/>
      <c r="M508" s="54"/>
      <c r="N508" s="54"/>
      <c r="O508" s="54"/>
      <c r="P508" s="54"/>
      <c r="Q508" s="54"/>
      <c r="R508" s="54"/>
      <c r="S508" s="54"/>
      <c r="T508" s="54"/>
      <c r="U508" s="54"/>
      <c r="V508" s="54"/>
      <c r="W508" s="54"/>
      <c r="X508" s="54"/>
      <c r="Y508" s="54"/>
      <c r="Z508" s="54"/>
      <c r="AA508" s="54"/>
      <c r="AB508" s="54"/>
      <c r="AC508" s="1398">
        <v>1</v>
      </c>
      <c r="AD508" s="1122"/>
      <c r="AE508" s="1122"/>
      <c r="AF508" s="1122"/>
      <c r="AG508" s="47" t="s">
        <v>263</v>
      </c>
      <c r="AH508" s="1110">
        <v>2024</v>
      </c>
      <c r="AI508" s="1110"/>
      <c r="AJ508" s="1110"/>
      <c r="AK508" s="117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81" t="s">
        <v>719</v>
      </c>
      <c r="C509" s="1082"/>
      <c r="D509" s="1082"/>
      <c r="E509" s="1082"/>
      <c r="F509" s="1082"/>
      <c r="G509" s="1082"/>
      <c r="H509" s="1083"/>
      <c r="I509" s="7" t="s">
        <v>716</v>
      </c>
      <c r="J509" s="7"/>
      <c r="K509" s="7"/>
      <c r="L509" s="7"/>
      <c r="M509" s="7"/>
      <c r="N509" s="7"/>
      <c r="O509" s="7"/>
      <c r="P509" s="7"/>
      <c r="Q509" s="7"/>
      <c r="R509" s="7"/>
      <c r="S509" s="7"/>
      <c r="T509" s="7"/>
      <c r="U509" s="7"/>
      <c r="V509" s="7"/>
      <c r="W509" s="7"/>
      <c r="X509" s="7"/>
      <c r="Y509" s="7"/>
      <c r="Z509" s="7"/>
      <c r="AA509" s="7"/>
      <c r="AB509" s="7"/>
      <c r="AC509" s="1284">
        <v>4</v>
      </c>
      <c r="AD509" s="1285"/>
      <c r="AE509" s="1285"/>
      <c r="AF509" s="1285"/>
      <c r="AG509" s="230" t="s">
        <v>263</v>
      </c>
      <c r="AH509" s="1110">
        <v>2023</v>
      </c>
      <c r="AI509" s="1110"/>
      <c r="AJ509" s="1110"/>
      <c r="AK509" s="117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4"/>
      <c r="C510" s="1085"/>
      <c r="D510" s="1085"/>
      <c r="E510" s="1085"/>
      <c r="F510" s="1085"/>
      <c r="G510" s="1085"/>
      <c r="H510" s="1086"/>
      <c r="I510" t="s">
        <v>717</v>
      </c>
      <c r="AC510" s="1398">
        <v>4</v>
      </c>
      <c r="AD510" s="1122"/>
      <c r="AE510" s="1122"/>
      <c r="AF510" s="1122"/>
      <c r="AG510" s="18" t="s">
        <v>263</v>
      </c>
      <c r="AH510" s="1110">
        <v>2023</v>
      </c>
      <c r="AI510" s="1110"/>
      <c r="AJ510" s="1110"/>
      <c r="AK510" s="117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7"/>
      <c r="C511" s="1088"/>
      <c r="D511" s="1088"/>
      <c r="E511" s="1088"/>
      <c r="F511" s="1088"/>
      <c r="G511" s="1088"/>
      <c r="H511" s="1089"/>
      <c r="I511" s="54" t="s">
        <v>718</v>
      </c>
      <c r="J511" s="54"/>
      <c r="K511" s="54"/>
      <c r="L511" s="54"/>
      <c r="M511" s="54"/>
      <c r="N511" s="54"/>
      <c r="O511" s="54"/>
      <c r="P511" s="54"/>
      <c r="Q511" s="54"/>
      <c r="R511" s="54"/>
      <c r="S511" s="54"/>
      <c r="T511" s="54"/>
      <c r="U511" s="54"/>
      <c r="V511" s="54"/>
      <c r="W511" s="54"/>
      <c r="X511" s="54"/>
      <c r="Y511" s="54"/>
      <c r="Z511" s="54"/>
      <c r="AA511" s="54"/>
      <c r="AB511" s="54"/>
      <c r="AC511" s="1398">
        <v>10</v>
      </c>
      <c r="AD511" s="1122"/>
      <c r="AE511" s="1122"/>
      <c r="AF511" s="1122"/>
      <c r="AG511" s="47" t="s">
        <v>263</v>
      </c>
      <c r="AH511" s="1110">
        <v>2027</v>
      </c>
      <c r="AI511" s="1110"/>
      <c r="AJ511" s="1110"/>
      <c r="AK511" s="117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81" t="s">
        <v>720</v>
      </c>
      <c r="C512" s="1082"/>
      <c r="D512" s="1082"/>
      <c r="E512" s="1082"/>
      <c r="F512" s="1082"/>
      <c r="G512" s="1082"/>
      <c r="H512" s="1083"/>
      <c r="I512" s="6" t="s">
        <v>721</v>
      </c>
      <c r="J512" s="7"/>
      <c r="K512" s="7"/>
      <c r="L512" s="7"/>
      <c r="M512" s="7"/>
      <c r="N512" s="7"/>
      <c r="O512" s="1440" t="s">
        <v>2360</v>
      </c>
      <c r="P512" s="1441"/>
      <c r="Q512" s="1441"/>
      <c r="R512" s="1441"/>
      <c r="S512" s="1441"/>
      <c r="T512" s="1441"/>
      <c r="U512" s="1441"/>
      <c r="V512" s="1441"/>
      <c r="W512" s="1441"/>
      <c r="X512" s="1441"/>
      <c r="Y512" s="1441"/>
      <c r="Z512" s="1441"/>
      <c r="AA512" s="1441"/>
      <c r="AB512" s="64"/>
      <c r="AC512" s="1230" t="s">
        <v>132</v>
      </c>
      <c r="AD512" s="1285"/>
      <c r="AE512" s="1285"/>
      <c r="AF512" s="1285"/>
      <c r="AG512" s="230" t="s">
        <v>263</v>
      </c>
      <c r="AH512" s="1110"/>
      <c r="AI512" s="1110"/>
      <c r="AJ512" s="1110"/>
      <c r="AK512" s="117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4"/>
      <c r="C513" s="1085"/>
      <c r="D513" s="1085"/>
      <c r="E513" s="1085"/>
      <c r="F513" s="1085"/>
      <c r="G513" s="1085"/>
      <c r="H513" s="1086"/>
      <c r="I513" s="204" t="s">
        <v>722</v>
      </c>
      <c r="AB513" s="71"/>
      <c r="AC513" s="1398">
        <v>4</v>
      </c>
      <c r="AD513" s="1122"/>
      <c r="AE513" s="1122"/>
      <c r="AF513" s="1122"/>
      <c r="AG513" s="18" t="s">
        <v>263</v>
      </c>
      <c r="AH513" s="1110">
        <v>2022</v>
      </c>
      <c r="AI513" s="1110"/>
      <c r="AJ513" s="1110"/>
      <c r="AK513" s="117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4"/>
      <c r="C514" s="1085"/>
      <c r="D514" s="1085"/>
      <c r="E514" s="1085"/>
      <c r="F514" s="1085"/>
      <c r="G514" s="1085"/>
      <c r="H514" s="1086"/>
      <c r="I514" s="53" t="s">
        <v>723</v>
      </c>
      <c r="J514" s="54"/>
      <c r="K514" s="54"/>
      <c r="L514" s="54"/>
      <c r="M514" s="54"/>
      <c r="N514" s="54"/>
      <c r="O514" s="54"/>
      <c r="P514" s="54"/>
      <c r="Q514" s="54"/>
      <c r="R514" s="54"/>
      <c r="S514" s="54"/>
      <c r="T514" s="54"/>
      <c r="U514" s="54"/>
      <c r="V514" s="54"/>
      <c r="W514" s="54"/>
      <c r="X514" s="54"/>
      <c r="Y514" s="54"/>
      <c r="Z514" s="54"/>
      <c r="AA514" s="54"/>
      <c r="AB514" s="55"/>
      <c r="AC514" s="1398">
        <v>4</v>
      </c>
      <c r="AD514" s="1122"/>
      <c r="AE514" s="1122"/>
      <c r="AF514" s="1122"/>
      <c r="AG514" s="47" t="s">
        <v>263</v>
      </c>
      <c r="AH514" s="1110">
        <v>2023</v>
      </c>
      <c r="AI514" s="1110"/>
      <c r="AJ514" s="1110"/>
      <c r="AK514" s="1176"/>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4"/>
      <c r="C515" s="1085"/>
      <c r="D515" s="1085"/>
      <c r="E515" s="1085"/>
      <c r="F515" s="1085"/>
      <c r="G515" s="1085"/>
      <c r="H515" s="1086"/>
      <c r="I515" s="7" t="s">
        <v>724</v>
      </c>
      <c r="J515" s="7"/>
      <c r="K515" s="7"/>
      <c r="L515" s="7"/>
      <c r="M515" s="7"/>
      <c r="N515" s="7"/>
      <c r="O515" s="1440" t="s">
        <v>2444</v>
      </c>
      <c r="P515" s="1441"/>
      <c r="Q515" s="1441"/>
      <c r="R515" s="1441"/>
      <c r="S515" s="1441"/>
      <c r="T515" s="1441"/>
      <c r="U515" s="1441"/>
      <c r="V515" s="1441"/>
      <c r="W515" s="1441"/>
      <c r="X515" s="1441"/>
      <c r="Y515" s="1441"/>
      <c r="Z515" s="1441"/>
      <c r="AA515" s="1441"/>
      <c r="AC515" s="1398" t="s">
        <v>132</v>
      </c>
      <c r="AD515" s="1122"/>
      <c r="AE515" s="1122"/>
      <c r="AF515" s="1122"/>
      <c r="AG515" s="18" t="s">
        <v>263</v>
      </c>
      <c r="AH515" s="1110"/>
      <c r="AI515" s="1110"/>
      <c r="AJ515" s="1110"/>
      <c r="AK515" s="1176"/>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4"/>
      <c r="C516" s="1085"/>
      <c r="D516" s="1085"/>
      <c r="E516" s="1085"/>
      <c r="F516" s="1085"/>
      <c r="G516" s="1085"/>
      <c r="H516" s="1086"/>
      <c r="I516" t="s">
        <v>722</v>
      </c>
      <c r="AC516" s="1398">
        <v>4</v>
      </c>
      <c r="AD516" s="1122"/>
      <c r="AE516" s="1122"/>
      <c r="AF516" s="1122"/>
      <c r="AG516" s="18" t="s">
        <v>263</v>
      </c>
      <c r="AH516" s="1110">
        <v>2022</v>
      </c>
      <c r="AI516" s="1110"/>
      <c r="AJ516" s="1110"/>
      <c r="AK516" s="1176"/>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4"/>
      <c r="C517" s="1085"/>
      <c r="D517" s="1085"/>
      <c r="E517" s="1085"/>
      <c r="F517" s="1085"/>
      <c r="G517" s="1085"/>
      <c r="H517" s="1086"/>
      <c r="I517" s="54" t="s">
        <v>723</v>
      </c>
      <c r="J517" s="54"/>
      <c r="K517" s="54"/>
      <c r="L517" s="54"/>
      <c r="M517" s="54"/>
      <c r="N517" s="54"/>
      <c r="O517" s="54"/>
      <c r="P517" s="54"/>
      <c r="Q517" s="54"/>
      <c r="R517" s="54"/>
      <c r="S517" s="54"/>
      <c r="T517" s="54"/>
      <c r="U517" s="54"/>
      <c r="V517" s="54"/>
      <c r="W517" s="54"/>
      <c r="X517" s="54"/>
      <c r="Y517" s="54"/>
      <c r="Z517" s="54"/>
      <c r="AA517" s="54"/>
      <c r="AB517" s="54"/>
      <c r="AC517" s="1398">
        <v>3</v>
      </c>
      <c r="AD517" s="1122"/>
      <c r="AE517" s="1122"/>
      <c r="AF517" s="1122"/>
      <c r="AG517" s="47" t="s">
        <v>263</v>
      </c>
      <c r="AH517" s="1110">
        <v>2023</v>
      </c>
      <c r="AI517" s="1110"/>
      <c r="AJ517" s="1110"/>
      <c r="AK517" s="1176"/>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4"/>
      <c r="C518" s="1085"/>
      <c r="D518" s="1085"/>
      <c r="E518" s="1085"/>
      <c r="F518" s="1085"/>
      <c r="G518" s="1085"/>
      <c r="H518" s="1086"/>
      <c r="I518" s="7" t="s">
        <v>724</v>
      </c>
      <c r="J518" s="7"/>
      <c r="K518" s="7"/>
      <c r="L518" s="7"/>
      <c r="M518" s="7"/>
      <c r="N518" s="7"/>
      <c r="O518" s="1440" t="s">
        <v>2445</v>
      </c>
      <c r="P518" s="1441"/>
      <c r="Q518" s="1441"/>
      <c r="R518" s="1441"/>
      <c r="S518" s="1441"/>
      <c r="T518" s="1441"/>
      <c r="U518" s="1441"/>
      <c r="V518" s="1441"/>
      <c r="W518" s="1441"/>
      <c r="X518" s="1441"/>
      <c r="Y518" s="1441"/>
      <c r="Z518" s="1441"/>
      <c r="AA518" s="1441"/>
      <c r="AC518" s="1398" t="s">
        <v>132</v>
      </c>
      <c r="AD518" s="1122"/>
      <c r="AE518" s="1122"/>
      <c r="AF518" s="1122"/>
      <c r="AG518" s="18" t="s">
        <v>263</v>
      </c>
      <c r="AH518" s="1110"/>
      <c r="AI518" s="1110"/>
      <c r="AJ518" s="1110"/>
      <c r="AK518" s="1176"/>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4"/>
      <c r="C519" s="1085"/>
      <c r="D519" s="1085"/>
      <c r="E519" s="1085"/>
      <c r="F519" s="1085"/>
      <c r="G519" s="1085"/>
      <c r="H519" s="1086"/>
      <c r="I519" t="s">
        <v>722</v>
      </c>
      <c r="AC519" s="1398">
        <v>4</v>
      </c>
      <c r="AD519" s="1122"/>
      <c r="AE519" s="1122"/>
      <c r="AF519" s="1122"/>
      <c r="AG519" s="18" t="s">
        <v>263</v>
      </c>
      <c r="AH519" s="1110">
        <v>2022</v>
      </c>
      <c r="AI519" s="1110"/>
      <c r="AJ519" s="1110"/>
      <c r="AK519" s="1176"/>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4"/>
      <c r="C520" s="1085"/>
      <c r="D520" s="1085"/>
      <c r="E520" s="1085"/>
      <c r="F520" s="1085"/>
      <c r="G520" s="1085"/>
      <c r="H520" s="1086"/>
      <c r="I520" s="54" t="s">
        <v>723</v>
      </c>
      <c r="J520" s="54"/>
      <c r="K520" s="54"/>
      <c r="L520" s="54"/>
      <c r="M520" s="54"/>
      <c r="N520" s="54"/>
      <c r="O520" s="54"/>
      <c r="P520" s="54"/>
      <c r="Q520" s="54"/>
      <c r="R520" s="54"/>
      <c r="S520" s="54"/>
      <c r="T520" s="54"/>
      <c r="U520" s="54"/>
      <c r="V520" s="54"/>
      <c r="W520" s="54"/>
      <c r="X520" s="54"/>
      <c r="Y520" s="54"/>
      <c r="Z520" s="54"/>
      <c r="AA520" s="54"/>
      <c r="AB520" s="54"/>
      <c r="AC520" s="1398">
        <v>6</v>
      </c>
      <c r="AD520" s="1122"/>
      <c r="AE520" s="1122"/>
      <c r="AF520" s="1122"/>
      <c r="AG520" s="47" t="s">
        <v>263</v>
      </c>
      <c r="AH520" s="1110">
        <v>2022</v>
      </c>
      <c r="AI520" s="1110"/>
      <c r="AJ520" s="1110"/>
      <c r="AK520" s="1176"/>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4"/>
      <c r="C521" s="1085"/>
      <c r="D521" s="1085"/>
      <c r="E521" s="1085"/>
      <c r="F521" s="1085"/>
      <c r="G521" s="1085"/>
      <c r="H521" s="1086"/>
      <c r="I521" s="7" t="s">
        <v>724</v>
      </c>
      <c r="J521" s="7"/>
      <c r="K521" s="7"/>
      <c r="L521" s="7"/>
      <c r="M521" s="7"/>
      <c r="N521" s="7"/>
      <c r="O521" s="1440" t="s">
        <v>2536</v>
      </c>
      <c r="P521" s="1441"/>
      <c r="Q521" s="1441"/>
      <c r="R521" s="1441"/>
      <c r="S521" s="1441"/>
      <c r="T521" s="1441"/>
      <c r="U521" s="1441"/>
      <c r="V521" s="1441"/>
      <c r="W521" s="1441"/>
      <c r="X521" s="1441"/>
      <c r="Y521" s="1441"/>
      <c r="Z521" s="1441"/>
      <c r="AA521" s="1441"/>
      <c r="AC521" s="1398" t="s">
        <v>132</v>
      </c>
      <c r="AD521" s="1122"/>
      <c r="AE521" s="1122"/>
      <c r="AF521" s="1122"/>
      <c r="AG521" s="18" t="s">
        <v>263</v>
      </c>
      <c r="AH521" s="1110"/>
      <c r="AI521" s="1110"/>
      <c r="AJ521" s="1110"/>
      <c r="AK521" s="1176"/>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4"/>
      <c r="C522" s="1085"/>
      <c r="D522" s="1085"/>
      <c r="E522" s="1085"/>
      <c r="F522" s="1085"/>
      <c r="G522" s="1085"/>
      <c r="H522" s="1086"/>
      <c r="I522" t="s">
        <v>722</v>
      </c>
      <c r="AC522" s="1398">
        <v>1</v>
      </c>
      <c r="AD522" s="1122"/>
      <c r="AE522" s="1122"/>
      <c r="AF522" s="1122"/>
      <c r="AG522" s="18" t="s">
        <v>263</v>
      </c>
      <c r="AH522" s="1110">
        <v>2023</v>
      </c>
      <c r="AI522" s="1110"/>
      <c r="AJ522" s="1110"/>
      <c r="AK522" s="1176"/>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4"/>
      <c r="C523" s="1085"/>
      <c r="D523" s="1085"/>
      <c r="E523" s="1085"/>
      <c r="F523" s="1085"/>
      <c r="G523" s="1085"/>
      <c r="H523" s="1086"/>
      <c r="I523" s="54" t="s">
        <v>723</v>
      </c>
      <c r="J523" s="54"/>
      <c r="K523" s="54"/>
      <c r="L523" s="54"/>
      <c r="M523" s="54"/>
      <c r="N523" s="54"/>
      <c r="O523" s="54"/>
      <c r="P523" s="54"/>
      <c r="Q523" s="54"/>
      <c r="R523" s="54"/>
      <c r="S523" s="54"/>
      <c r="T523" s="54"/>
      <c r="U523" s="54"/>
      <c r="V523" s="54"/>
      <c r="W523" s="54"/>
      <c r="X523" s="54"/>
      <c r="Y523" s="54"/>
      <c r="Z523" s="54"/>
      <c r="AA523" s="54"/>
      <c r="AB523" s="54"/>
      <c r="AC523" s="1398">
        <v>4</v>
      </c>
      <c r="AD523" s="1122"/>
      <c r="AE523" s="1122"/>
      <c r="AF523" s="1122"/>
      <c r="AG523" s="47" t="s">
        <v>263</v>
      </c>
      <c r="AH523" s="1110">
        <v>2023</v>
      </c>
      <c r="AI523" s="1110"/>
      <c r="AJ523" s="1110"/>
      <c r="AK523" s="1176"/>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4"/>
      <c r="C524" s="1085"/>
      <c r="D524" s="1085"/>
      <c r="E524" s="1085"/>
      <c r="F524" s="1085"/>
      <c r="G524" s="1085"/>
      <c r="H524" s="1086"/>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8" t="s">
        <v>132</v>
      </c>
      <c r="AD524" s="1122"/>
      <c r="AE524" s="1122"/>
      <c r="AF524" s="1122"/>
      <c r="AG524" s="18" t="s">
        <v>263</v>
      </c>
      <c r="AH524" s="1110"/>
      <c r="AI524" s="1110"/>
      <c r="AJ524" s="1110"/>
      <c r="AK524" s="1176"/>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4"/>
      <c r="C525" s="1085"/>
      <c r="D525" s="1085"/>
      <c r="E525" s="1085"/>
      <c r="F525" s="1085"/>
      <c r="G525" s="1085"/>
      <c r="H525" s="1086"/>
      <c r="I525" t="s">
        <v>722</v>
      </c>
      <c r="AC525" s="1398" t="s">
        <v>132</v>
      </c>
      <c r="AD525" s="1122"/>
      <c r="AE525" s="1122"/>
      <c r="AF525" s="1122"/>
      <c r="AG525" s="47" t="s">
        <v>263</v>
      </c>
      <c r="AH525" s="1110"/>
      <c r="AI525" s="1110"/>
      <c r="AJ525" s="1110"/>
      <c r="AK525" s="1176"/>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4"/>
      <c r="C526" s="1085"/>
      <c r="D526" s="1085"/>
      <c r="E526" s="1085"/>
      <c r="F526" s="1085"/>
      <c r="G526" s="1085"/>
      <c r="H526" s="1086"/>
      <c r="I526" s="54" t="s">
        <v>723</v>
      </c>
      <c r="J526" s="54"/>
      <c r="K526" s="54"/>
      <c r="L526" s="54"/>
      <c r="M526" s="54"/>
      <c r="N526" s="54"/>
      <c r="O526" s="54"/>
      <c r="P526" s="54"/>
      <c r="Q526" s="54"/>
      <c r="R526" s="54"/>
      <c r="S526" s="54"/>
      <c r="T526" s="54"/>
      <c r="U526" s="54"/>
      <c r="V526" s="54"/>
      <c r="W526" s="54"/>
      <c r="X526" s="54"/>
      <c r="Y526" s="54"/>
      <c r="Z526" s="54"/>
      <c r="AA526" s="54"/>
      <c r="AB526" s="54"/>
      <c r="AC526" s="1398" t="s">
        <v>132</v>
      </c>
      <c r="AD526" s="1122"/>
      <c r="AE526" s="1122"/>
      <c r="AF526" s="1122"/>
      <c r="AG526" s="18" t="s">
        <v>263</v>
      </c>
      <c r="AH526" s="1110"/>
      <c r="AI526" s="1110"/>
      <c r="AJ526" s="1110"/>
      <c r="AK526" s="1176"/>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4"/>
      <c r="C527" s="1085"/>
      <c r="D527" s="1085"/>
      <c r="E527" s="1085"/>
      <c r="F527" s="1085"/>
      <c r="G527" s="1085"/>
      <c r="H527" s="1086"/>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8" t="s">
        <v>132</v>
      </c>
      <c r="AD527" s="1122"/>
      <c r="AE527" s="1122"/>
      <c r="AF527" s="1122"/>
      <c r="AG527" s="47" t="s">
        <v>263</v>
      </c>
      <c r="AH527" s="1110"/>
      <c r="AI527" s="1110"/>
      <c r="AJ527" s="1110"/>
      <c r="AK527" s="1176"/>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4"/>
      <c r="C528" s="1085"/>
      <c r="D528" s="1085"/>
      <c r="E528" s="1085"/>
      <c r="F528" s="1085"/>
      <c r="G528" s="1085"/>
      <c r="H528" s="1086"/>
      <c r="I528" t="s">
        <v>722</v>
      </c>
      <c r="AC528" s="1398" t="s">
        <v>132</v>
      </c>
      <c r="AD528" s="1122"/>
      <c r="AE528" s="1122"/>
      <c r="AF528" s="1122"/>
      <c r="AG528" s="18" t="s">
        <v>263</v>
      </c>
      <c r="AH528" s="1110"/>
      <c r="AI528" s="1110"/>
      <c r="AJ528" s="1110"/>
      <c r="AK528" s="1176"/>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4"/>
      <c r="C529" s="1085"/>
      <c r="D529" s="1085"/>
      <c r="E529" s="1085"/>
      <c r="F529" s="1085"/>
      <c r="G529" s="1085"/>
      <c r="H529" s="1086"/>
      <c r="I529" s="54" t="s">
        <v>723</v>
      </c>
      <c r="J529" s="54"/>
      <c r="K529" s="54"/>
      <c r="L529" s="54"/>
      <c r="M529" s="54"/>
      <c r="N529" s="54"/>
      <c r="O529" s="54"/>
      <c r="P529" s="54"/>
      <c r="Q529" s="54"/>
      <c r="R529" s="54"/>
      <c r="S529" s="54"/>
      <c r="T529" s="54"/>
      <c r="U529" s="54"/>
      <c r="V529" s="54"/>
      <c r="W529" s="54"/>
      <c r="X529" s="54"/>
      <c r="Y529" s="54"/>
      <c r="Z529" s="54"/>
      <c r="AA529" s="54"/>
      <c r="AB529" s="54"/>
      <c r="AC529" s="1398" t="s">
        <v>132</v>
      </c>
      <c r="AD529" s="1122"/>
      <c r="AE529" s="1122"/>
      <c r="AF529" s="1122"/>
      <c r="AG529" s="47" t="s">
        <v>263</v>
      </c>
      <c r="AH529" s="1110"/>
      <c r="AI529" s="1110"/>
      <c r="AJ529" s="1110"/>
      <c r="AK529" s="1176"/>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4"/>
      <c r="C530" s="1085"/>
      <c r="D530" s="1085"/>
      <c r="E530" s="1085"/>
      <c r="F530" s="1085"/>
      <c r="G530" s="1085"/>
      <c r="H530" s="1086"/>
      <c r="I530" s="7" t="s">
        <v>771</v>
      </c>
      <c r="J530" s="7"/>
      <c r="K530" s="7"/>
      <c r="L530" s="7"/>
      <c r="M530" s="7"/>
      <c r="N530" s="7"/>
      <c r="O530" s="7"/>
      <c r="P530" s="7"/>
      <c r="Q530" s="7"/>
      <c r="R530" s="7"/>
      <c r="S530" s="7"/>
      <c r="T530" s="7"/>
      <c r="U530" s="7"/>
      <c r="V530" s="7"/>
      <c r="W530" s="7"/>
      <c r="AC530" s="1398" t="s">
        <v>132</v>
      </c>
      <c r="AD530" s="1122"/>
      <c r="AE530" s="1122"/>
      <c r="AF530" s="1122"/>
      <c r="AG530" s="47" t="s">
        <v>263</v>
      </c>
      <c r="AH530" s="1110"/>
      <c r="AI530" s="1110"/>
      <c r="AJ530" s="1110"/>
      <c r="AK530" s="1176"/>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4"/>
      <c r="C531" s="1085"/>
      <c r="D531" s="1085"/>
      <c r="E531" s="1085"/>
      <c r="F531" s="1085"/>
      <c r="G531" s="1085"/>
      <c r="H531" s="1086"/>
      <c r="I531" t="s">
        <v>772</v>
      </c>
      <c r="AC531" s="1398">
        <v>12</v>
      </c>
      <c r="AD531" s="1122"/>
      <c r="AE531" s="1122"/>
      <c r="AF531" s="1122"/>
      <c r="AG531" s="18" t="s">
        <v>263</v>
      </c>
      <c r="AH531" s="1110">
        <v>2023</v>
      </c>
      <c r="AI531" s="1110"/>
      <c r="AJ531" s="1110"/>
      <c r="AK531" s="1176"/>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4"/>
      <c r="C532" s="1085"/>
      <c r="D532" s="1085"/>
      <c r="E532" s="1085"/>
      <c r="F532" s="1085"/>
      <c r="G532" s="1085"/>
      <c r="H532" s="1086"/>
      <c r="I532" t="s">
        <v>773</v>
      </c>
      <c r="AC532" s="1398">
        <v>10</v>
      </c>
      <c r="AD532" s="1122"/>
      <c r="AE532" s="1122"/>
      <c r="AF532" s="1122"/>
      <c r="AG532" s="47" t="s">
        <v>263</v>
      </c>
      <c r="AH532" s="1110">
        <v>2025</v>
      </c>
      <c r="AI532" s="1110"/>
      <c r="AJ532" s="1110"/>
      <c r="AK532" s="1176"/>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4"/>
      <c r="C533" s="1085"/>
      <c r="D533" s="1085"/>
      <c r="E533" s="1085"/>
      <c r="F533" s="1085"/>
      <c r="G533" s="1085"/>
      <c r="H533" s="1086"/>
      <c r="I533" t="s">
        <v>774</v>
      </c>
      <c r="AC533" s="1398">
        <v>10</v>
      </c>
      <c r="AD533" s="1122"/>
      <c r="AE533" s="1122"/>
      <c r="AF533" s="1122"/>
      <c r="AG533" s="47" t="s">
        <v>263</v>
      </c>
      <c r="AH533" s="1110">
        <v>2025</v>
      </c>
      <c r="AI533" s="1110"/>
      <c r="AJ533" s="1110"/>
      <c r="AK533" s="1176"/>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7"/>
      <c r="C534" s="1088"/>
      <c r="D534" s="1088"/>
      <c r="E534" s="1088"/>
      <c r="F534" s="1088"/>
      <c r="G534" s="1088"/>
      <c r="H534" s="1089"/>
      <c r="I534" s="54" t="s">
        <v>1427</v>
      </c>
      <c r="J534" s="54"/>
      <c r="K534" s="54"/>
      <c r="L534" s="54"/>
      <c r="M534" s="54"/>
      <c r="N534" s="54"/>
      <c r="O534" s="54"/>
      <c r="P534" s="54"/>
      <c r="Q534" s="54"/>
      <c r="R534" s="54"/>
      <c r="S534" s="54"/>
      <c r="T534" s="54"/>
      <c r="U534" s="54"/>
      <c r="V534" s="54"/>
      <c r="W534" s="54"/>
      <c r="X534" s="54"/>
      <c r="Y534" s="54"/>
      <c r="Z534" s="54"/>
      <c r="AA534" s="54"/>
      <c r="AB534" s="54"/>
      <c r="AC534" s="1398">
        <v>4</v>
      </c>
      <c r="AD534" s="1122"/>
      <c r="AE534" s="1122"/>
      <c r="AF534" s="1122"/>
      <c r="AG534" s="47" t="s">
        <v>263</v>
      </c>
      <c r="AH534" s="1110">
        <v>2026</v>
      </c>
      <c r="AI534" s="1110"/>
      <c r="AJ534" s="1110"/>
      <c r="AK534" s="1176"/>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6" t="s">
        <v>527</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81" t="s">
        <v>2324</v>
      </c>
      <c r="C543" s="1082"/>
      <c r="D543" s="1082"/>
      <c r="E543" s="1082"/>
      <c r="F543" s="1082"/>
      <c r="G543" s="1082"/>
      <c r="H543" s="1082"/>
      <c r="I543" s="1082"/>
      <c r="J543" s="1082"/>
      <c r="K543" s="1082"/>
      <c r="L543" s="1082"/>
      <c r="M543" s="1131" t="s">
        <v>2298</v>
      </c>
      <c r="N543" s="1131"/>
      <c r="O543" s="1131"/>
      <c r="P543" s="1131"/>
      <c r="Q543" s="1081" t="s">
        <v>469</v>
      </c>
      <c r="R543" s="1082"/>
      <c r="S543" s="1083"/>
      <c r="T543" s="1081" t="s">
        <v>2088</v>
      </c>
      <c r="U543" s="1082"/>
      <c r="V543" s="1083"/>
      <c r="W543" s="1081" t="s">
        <v>776</v>
      </c>
      <c r="X543" s="1082"/>
      <c r="Y543" s="1083"/>
      <c r="Z543" s="1081" t="s">
        <v>2090</v>
      </c>
      <c r="AA543" s="1082"/>
      <c r="AB543" s="1082"/>
      <c r="AC543" s="1082"/>
      <c r="AD543" s="1083"/>
      <c r="AE543" s="1081" t="s">
        <v>2089</v>
      </c>
      <c r="AF543" s="1082"/>
      <c r="AG543" s="1082"/>
      <c r="AH543" s="1083"/>
      <c r="AI543" s="1081" t="s">
        <v>2091</v>
      </c>
      <c r="AJ543" s="1082"/>
      <c r="AK543" s="1082"/>
      <c r="AL543" s="1083"/>
      <c r="AM543" s="1081" t="s">
        <v>777</v>
      </c>
      <c r="AN543" s="1082"/>
      <c r="AO543" s="1082"/>
      <c r="AP543" s="1082"/>
      <c r="AQ543" s="1082"/>
      <c r="AR543" s="1082"/>
      <c r="AS543" s="108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4"/>
      <c r="C544" s="1085"/>
      <c r="D544" s="1085"/>
      <c r="E544" s="1085"/>
      <c r="F544" s="1085"/>
      <c r="G544" s="1085"/>
      <c r="H544" s="1085"/>
      <c r="I544" s="1085"/>
      <c r="J544" s="1085"/>
      <c r="K544" s="1085"/>
      <c r="L544" s="1085"/>
      <c r="M544" s="1131"/>
      <c r="N544" s="1131"/>
      <c r="O544" s="1131"/>
      <c r="P544" s="1131"/>
      <c r="Q544" s="1084"/>
      <c r="R544" s="1085"/>
      <c r="S544" s="1086"/>
      <c r="T544" s="1084"/>
      <c r="U544" s="1085"/>
      <c r="V544" s="1086"/>
      <c r="W544" s="1084"/>
      <c r="X544" s="1085"/>
      <c r="Y544" s="1086"/>
      <c r="Z544" s="1084"/>
      <c r="AA544" s="1085"/>
      <c r="AB544" s="1085"/>
      <c r="AC544" s="1085"/>
      <c r="AD544" s="1086"/>
      <c r="AE544" s="1084"/>
      <c r="AF544" s="1085"/>
      <c r="AG544" s="1085"/>
      <c r="AH544" s="1086"/>
      <c r="AI544" s="1084"/>
      <c r="AJ544" s="1085"/>
      <c r="AK544" s="1085"/>
      <c r="AL544" s="1086"/>
      <c r="AM544" s="1084"/>
      <c r="AN544" s="1085"/>
      <c r="AO544" s="1085"/>
      <c r="AP544" s="1085"/>
      <c r="AQ544" s="1085"/>
      <c r="AR544" s="1085"/>
      <c r="AS544" s="108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7"/>
      <c r="C545" s="1088"/>
      <c r="D545" s="1088"/>
      <c r="E545" s="1088"/>
      <c r="F545" s="1088"/>
      <c r="G545" s="1088"/>
      <c r="H545" s="1088"/>
      <c r="I545" s="1088"/>
      <c r="J545" s="1088"/>
      <c r="K545" s="1088"/>
      <c r="L545" s="1088"/>
      <c r="M545" s="1131"/>
      <c r="N545" s="1131"/>
      <c r="O545" s="1131"/>
      <c r="P545" s="1131"/>
      <c r="Q545" s="1087"/>
      <c r="R545" s="1088"/>
      <c r="S545" s="1089"/>
      <c r="T545" s="1087"/>
      <c r="U545" s="1088"/>
      <c r="V545" s="1089"/>
      <c r="W545" s="1087"/>
      <c r="X545" s="1088"/>
      <c r="Y545" s="1089"/>
      <c r="Z545" s="1087"/>
      <c r="AA545" s="1088"/>
      <c r="AB545" s="1088"/>
      <c r="AC545" s="1088"/>
      <c r="AD545" s="1089"/>
      <c r="AE545" s="1087"/>
      <c r="AF545" s="1088"/>
      <c r="AG545" s="1088"/>
      <c r="AH545" s="1089"/>
      <c r="AI545" s="1087"/>
      <c r="AJ545" s="1088"/>
      <c r="AK545" s="1088"/>
      <c r="AL545" s="1089"/>
      <c r="AM545" s="1087"/>
      <c r="AN545" s="1088"/>
      <c r="AO545" s="1088"/>
      <c r="AP545" s="1088"/>
      <c r="AQ545" s="1088"/>
      <c r="AR545" s="1088"/>
      <c r="AS545" s="108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93" t="s">
        <v>2520</v>
      </c>
      <c r="D546" s="1093"/>
      <c r="E546" s="1093"/>
      <c r="F546" s="1093"/>
      <c r="G546" s="1093"/>
      <c r="H546" s="1093"/>
      <c r="I546" s="1093"/>
      <c r="J546" s="1093"/>
      <c r="K546" s="1093"/>
      <c r="L546" s="1093"/>
      <c r="M546" s="1094" t="s">
        <v>2313</v>
      </c>
      <c r="N546" s="1094"/>
      <c r="O546" s="1094"/>
      <c r="P546" s="1094"/>
      <c r="Q546" s="1098">
        <f>21+12</f>
        <v>33</v>
      </c>
      <c r="R546" s="1098"/>
      <c r="S546" s="1099"/>
      <c r="T546" s="1097"/>
      <c r="U546" s="1098"/>
      <c r="V546" s="1099"/>
      <c r="W546" s="1447">
        <v>8.2500000000000004E-2</v>
      </c>
      <c r="X546" s="1448"/>
      <c r="Y546" s="1449"/>
      <c r="Z546" s="1450" t="s">
        <v>2467</v>
      </c>
      <c r="AA546" s="1450"/>
      <c r="AB546" s="1450"/>
      <c r="AC546" s="1450"/>
      <c r="AD546" s="1450"/>
      <c r="AE546" s="1451">
        <v>1</v>
      </c>
      <c r="AF546" s="1452"/>
      <c r="AG546" s="1452"/>
      <c r="AH546" s="1453"/>
      <c r="AI546" s="1444"/>
      <c r="AJ546" s="1445"/>
      <c r="AK546" s="1445"/>
      <c r="AL546" s="1446"/>
      <c r="AM546" s="1153">
        <f>[4]EVERYTHING!$D$22</f>
        <v>29897833.938690476</v>
      </c>
      <c r="AN546" s="1154"/>
      <c r="AO546" s="1154"/>
      <c r="AP546" s="1154"/>
      <c r="AQ546" s="1154"/>
      <c r="AR546" s="1154"/>
      <c r="AS546" s="1155"/>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93" t="s">
        <v>2453</v>
      </c>
      <c r="D547" s="1093"/>
      <c r="E547" s="1093"/>
      <c r="F547" s="1093"/>
      <c r="G547" s="1093"/>
      <c r="H547" s="1093"/>
      <c r="I547" s="1093"/>
      <c r="J547" s="1093"/>
      <c r="K547" s="1093"/>
      <c r="L547" s="1093"/>
      <c r="M547" s="1094" t="s">
        <v>2310</v>
      </c>
      <c r="N547" s="1094"/>
      <c r="O547" s="1094"/>
      <c r="P547" s="1094"/>
      <c r="Q547" s="1097">
        <v>660</v>
      </c>
      <c r="R547" s="1098"/>
      <c r="S547" s="1099"/>
      <c r="T547" s="1097"/>
      <c r="U547" s="1098"/>
      <c r="V547" s="1099"/>
      <c r="W547" s="1447">
        <v>0.03</v>
      </c>
      <c r="X547" s="1448"/>
      <c r="Y547" s="1449"/>
      <c r="Z547" s="1450" t="s">
        <v>2468</v>
      </c>
      <c r="AA547" s="1450"/>
      <c r="AB547" s="1450"/>
      <c r="AC547" s="1450"/>
      <c r="AD547" s="1450"/>
      <c r="AE547" s="1451">
        <v>2</v>
      </c>
      <c r="AF547" s="1452"/>
      <c r="AG547" s="1452"/>
      <c r="AH547" s="1453"/>
      <c r="AI547" s="1444"/>
      <c r="AJ547" s="1445"/>
      <c r="AK547" s="1445"/>
      <c r="AL547" s="1446"/>
      <c r="AM547" s="1153">
        <v>12000000</v>
      </c>
      <c r="AN547" s="1154"/>
      <c r="AO547" s="1154"/>
      <c r="AP547" s="1154"/>
      <c r="AQ547" s="1154"/>
      <c r="AR547" s="1154"/>
      <c r="AS547" s="1155"/>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93" t="s">
        <v>2360</v>
      </c>
      <c r="D548" s="1093"/>
      <c r="E548" s="1093"/>
      <c r="F548" s="1093"/>
      <c r="G548" s="1093"/>
      <c r="H548" s="1093"/>
      <c r="I548" s="1093"/>
      <c r="J548" s="1093"/>
      <c r="K548" s="1093"/>
      <c r="L548" s="1093"/>
      <c r="M548" s="1094" t="s">
        <v>2310</v>
      </c>
      <c r="N548" s="1094"/>
      <c r="O548" s="1094"/>
      <c r="P548" s="1094"/>
      <c r="Q548" s="1097">
        <v>660</v>
      </c>
      <c r="R548" s="1098"/>
      <c r="S548" s="1099"/>
      <c r="T548" s="1097"/>
      <c r="U548" s="1098"/>
      <c r="V548" s="1099"/>
      <c r="W548" s="1447">
        <v>0.03</v>
      </c>
      <c r="X548" s="1448"/>
      <c r="Y548" s="1449"/>
      <c r="Z548" s="1450" t="s">
        <v>2468</v>
      </c>
      <c r="AA548" s="1450"/>
      <c r="AB548" s="1450"/>
      <c r="AC548" s="1450"/>
      <c r="AD548" s="1450"/>
      <c r="AE548" s="1451">
        <v>3</v>
      </c>
      <c r="AF548" s="1452"/>
      <c r="AG548" s="1452"/>
      <c r="AH548" s="1453"/>
      <c r="AI548" s="1444"/>
      <c r="AJ548" s="1445"/>
      <c r="AK548" s="1445"/>
      <c r="AL548" s="1446"/>
      <c r="AM548" s="1153">
        <v>3356330</v>
      </c>
      <c r="AN548" s="1154"/>
      <c r="AO548" s="1154"/>
      <c r="AP548" s="1154"/>
      <c r="AQ548" s="1154"/>
      <c r="AR548" s="1154"/>
      <c r="AS548" s="1155"/>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3" t="s">
        <v>2452</v>
      </c>
      <c r="D549" s="1093"/>
      <c r="E549" s="1093"/>
      <c r="F549" s="1093"/>
      <c r="G549" s="1093"/>
      <c r="H549" s="1093"/>
      <c r="I549" s="1093"/>
      <c r="J549" s="1093"/>
      <c r="K549" s="1093"/>
      <c r="L549" s="1093"/>
      <c r="M549" s="1094" t="s">
        <v>2321</v>
      </c>
      <c r="N549" s="1094"/>
      <c r="O549" s="1094"/>
      <c r="P549" s="1094"/>
      <c r="Q549" s="1097"/>
      <c r="R549" s="1098"/>
      <c r="S549" s="1099"/>
      <c r="T549" s="1097"/>
      <c r="U549" s="1098"/>
      <c r="V549" s="1099"/>
      <c r="W549" s="1447"/>
      <c r="X549" s="1448"/>
      <c r="Y549" s="1449"/>
      <c r="Z549" s="1450" t="s">
        <v>2076</v>
      </c>
      <c r="AA549" s="1450"/>
      <c r="AB549" s="1450"/>
      <c r="AC549" s="1450"/>
      <c r="AD549" s="1450"/>
      <c r="AE549" s="1451">
        <v>4</v>
      </c>
      <c r="AF549" s="1452"/>
      <c r="AG549" s="1452"/>
      <c r="AH549" s="1453"/>
      <c r="AI549" s="1444"/>
      <c r="AJ549" s="1445"/>
      <c r="AK549" s="1445"/>
      <c r="AL549" s="1446"/>
      <c r="AM549" s="1153">
        <f>6000000</f>
        <v>6000000</v>
      </c>
      <c r="AN549" s="1154"/>
      <c r="AO549" s="1154"/>
      <c r="AP549" s="1154"/>
      <c r="AQ549" s="1154"/>
      <c r="AR549" s="1154"/>
      <c r="AS549" s="1155"/>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3" t="s">
        <v>2549</v>
      </c>
      <c r="D550" s="1093"/>
      <c r="E550" s="1093"/>
      <c r="F550" s="1093"/>
      <c r="G550" s="1093"/>
      <c r="H550" s="1093"/>
      <c r="I550" s="1093"/>
      <c r="J550" s="1093"/>
      <c r="K550" s="1093"/>
      <c r="L550" s="1093"/>
      <c r="M550" s="1094" t="s">
        <v>2304</v>
      </c>
      <c r="N550" s="1094"/>
      <c r="O550" s="1094"/>
      <c r="P550" s="1094"/>
      <c r="Q550" s="1097"/>
      <c r="R550" s="1098"/>
      <c r="S550" s="1099"/>
      <c r="T550" s="1097"/>
      <c r="U550" s="1098"/>
      <c r="V550" s="1099"/>
      <c r="W550" s="1447"/>
      <c r="X550" s="1448"/>
      <c r="Y550" s="1449"/>
      <c r="Z550" s="1450" t="s">
        <v>2076</v>
      </c>
      <c r="AA550" s="1450"/>
      <c r="AB550" s="1450"/>
      <c r="AC550" s="1450"/>
      <c r="AD550" s="1450"/>
      <c r="AE550" s="1451"/>
      <c r="AF550" s="1452"/>
      <c r="AG550" s="1452"/>
      <c r="AH550" s="1453"/>
      <c r="AI550" s="1444"/>
      <c r="AJ550" s="1445"/>
      <c r="AK550" s="1445"/>
      <c r="AL550" s="1446"/>
      <c r="AM550" s="1153">
        <v>100</v>
      </c>
      <c r="AN550" s="1154"/>
      <c r="AO550" s="1154"/>
      <c r="AP550" s="1154"/>
      <c r="AQ550" s="1154"/>
      <c r="AR550" s="1154"/>
      <c r="AS550" s="1155"/>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3" t="s">
        <v>2454</v>
      </c>
      <c r="D551" s="1093"/>
      <c r="E551" s="1093"/>
      <c r="F551" s="1093"/>
      <c r="G551" s="1093"/>
      <c r="H551" s="1093"/>
      <c r="I551" s="1093"/>
      <c r="J551" s="1093"/>
      <c r="K551" s="1093"/>
      <c r="L551" s="1093"/>
      <c r="M551" s="1094" t="s">
        <v>2306</v>
      </c>
      <c r="N551" s="1094"/>
      <c r="O551" s="1094"/>
      <c r="P551" s="1094"/>
      <c r="Q551" s="1097"/>
      <c r="R551" s="1098"/>
      <c r="S551" s="1099"/>
      <c r="T551" s="1097"/>
      <c r="U551" s="1098"/>
      <c r="V551" s="1099"/>
      <c r="W551" s="1447"/>
      <c r="X551" s="1448"/>
      <c r="Y551" s="1449"/>
      <c r="Z551" s="1450" t="s">
        <v>2076</v>
      </c>
      <c r="AA551" s="1450"/>
      <c r="AB551" s="1450"/>
      <c r="AC551" s="1450"/>
      <c r="AD551" s="1450"/>
      <c r="AE551" s="1451"/>
      <c r="AF551" s="1452"/>
      <c r="AG551" s="1452"/>
      <c r="AH551" s="1453"/>
      <c r="AI551" s="1444"/>
      <c r="AJ551" s="1445"/>
      <c r="AK551" s="1445"/>
      <c r="AL551" s="1446"/>
      <c r="AM551" s="1153">
        <f>[4]EVERYTHING!$H$17</f>
        <v>2787764.8820767193</v>
      </c>
      <c r="AN551" s="1154"/>
      <c r="AO551" s="1154"/>
      <c r="AP551" s="1154"/>
      <c r="AQ551" s="1154"/>
      <c r="AR551" s="1154"/>
      <c r="AS551" s="1155"/>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93" t="s">
        <v>2527</v>
      </c>
      <c r="D552" s="1093"/>
      <c r="E552" s="1093"/>
      <c r="F552" s="1093"/>
      <c r="G552" s="1093"/>
      <c r="H552" s="1093"/>
      <c r="I552" s="1093"/>
      <c r="J552" s="1093"/>
      <c r="K552" s="1093"/>
      <c r="L552" s="1093"/>
      <c r="M552" s="1094" t="s">
        <v>2299</v>
      </c>
      <c r="N552" s="1094"/>
      <c r="O552" s="1094"/>
      <c r="P552" s="1094"/>
      <c r="Q552" s="1097"/>
      <c r="R552" s="1098"/>
      <c r="S552" s="1099"/>
      <c r="T552" s="1097"/>
      <c r="U552" s="1098"/>
      <c r="V552" s="1099"/>
      <c r="W552" s="1447"/>
      <c r="X552" s="1448"/>
      <c r="Y552" s="1449"/>
      <c r="Z552" s="1450" t="s">
        <v>2076</v>
      </c>
      <c r="AA552" s="1450"/>
      <c r="AB552" s="1450"/>
      <c r="AC552" s="1450"/>
      <c r="AD552" s="1450"/>
      <c r="AE552" s="1451"/>
      <c r="AF552" s="1452"/>
      <c r="AG552" s="1452"/>
      <c r="AH552" s="1453"/>
      <c r="AI552" s="1444"/>
      <c r="AJ552" s="1445"/>
      <c r="AK552" s="1445"/>
      <c r="AL552" s="1446"/>
      <c r="AM552" s="1153">
        <f>[4]EVERYTHING!$H$13</f>
        <v>481037.03724999999</v>
      </c>
      <c r="AN552" s="1154"/>
      <c r="AO552" s="1154"/>
      <c r="AP552" s="1154"/>
      <c r="AQ552" s="1154"/>
      <c r="AR552" s="1154"/>
      <c r="AS552" s="1155"/>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93" t="s">
        <v>2548</v>
      </c>
      <c r="D553" s="1093"/>
      <c r="E553" s="1093"/>
      <c r="F553" s="1093"/>
      <c r="G553" s="1093"/>
      <c r="H553" s="1093"/>
      <c r="I553" s="1093"/>
      <c r="J553" s="1093"/>
      <c r="K553" s="1093"/>
      <c r="L553" s="1093"/>
      <c r="M553" s="1094" t="s">
        <v>2323</v>
      </c>
      <c r="N553" s="1094"/>
      <c r="O553" s="1094"/>
      <c r="P553" s="1094"/>
      <c r="Q553" s="1097"/>
      <c r="R553" s="1098"/>
      <c r="S553" s="1099"/>
      <c r="T553" s="1097"/>
      <c r="U553" s="1098"/>
      <c r="V553" s="1099"/>
      <c r="W553" s="1447"/>
      <c r="X553" s="1448"/>
      <c r="Y553" s="1449"/>
      <c r="Z553" s="1450" t="s">
        <v>2076</v>
      </c>
      <c r="AA553" s="1450"/>
      <c r="AB553" s="1450"/>
      <c r="AC553" s="1450"/>
      <c r="AD553" s="1450"/>
      <c r="AE553" s="1451"/>
      <c r="AF553" s="1452"/>
      <c r="AG553" s="1452"/>
      <c r="AH553" s="1453"/>
      <c r="AI553" s="1444"/>
      <c r="AJ553" s="1445"/>
      <c r="AK553" s="1445"/>
      <c r="AL553" s="1446"/>
      <c r="AM553" s="1153">
        <f>[4]EVERYTHING!$H$14</f>
        <v>3826700.57</v>
      </c>
      <c r="AN553" s="1154"/>
      <c r="AO553" s="1154"/>
      <c r="AP553" s="1154"/>
      <c r="AQ553" s="1154"/>
      <c r="AR553" s="1154"/>
      <c r="AS553" s="1155"/>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93"/>
      <c r="D554" s="1093"/>
      <c r="E554" s="1093"/>
      <c r="F554" s="1093"/>
      <c r="G554" s="1093"/>
      <c r="H554" s="1093"/>
      <c r="I554" s="1093"/>
      <c r="J554" s="1093"/>
      <c r="K554" s="1093"/>
      <c r="L554" s="1093"/>
      <c r="M554" s="1094" t="s">
        <v>2076</v>
      </c>
      <c r="N554" s="1094"/>
      <c r="O554" s="1094"/>
      <c r="P554" s="1094"/>
      <c r="Q554" s="1097"/>
      <c r="R554" s="1098"/>
      <c r="S554" s="1099"/>
      <c r="T554" s="1097"/>
      <c r="U554" s="1098"/>
      <c r="V554" s="1099"/>
      <c r="W554" s="1447"/>
      <c r="X554" s="1448"/>
      <c r="Y554" s="1449"/>
      <c r="Z554" s="1450" t="s">
        <v>2076</v>
      </c>
      <c r="AA554" s="1450"/>
      <c r="AB554" s="1450"/>
      <c r="AC554" s="1450"/>
      <c r="AD554" s="1450"/>
      <c r="AE554" s="1451"/>
      <c r="AF554" s="1452"/>
      <c r="AG554" s="1452"/>
      <c r="AH554" s="1453"/>
      <c r="AI554" s="1444"/>
      <c r="AJ554" s="1445"/>
      <c r="AK554" s="1445"/>
      <c r="AL554" s="1446"/>
      <c r="AM554" s="1153"/>
      <c r="AN554" s="1154"/>
      <c r="AO554" s="1154"/>
      <c r="AP554" s="1154"/>
      <c r="AQ554" s="1154"/>
      <c r="AR554" s="1154"/>
      <c r="AS554" s="1155"/>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3"/>
      <c r="D555" s="1093"/>
      <c r="E555" s="1093"/>
      <c r="F555" s="1093"/>
      <c r="G555" s="1093"/>
      <c r="H555" s="1093"/>
      <c r="I555" s="1093"/>
      <c r="J555" s="1093"/>
      <c r="K555" s="1093"/>
      <c r="L555" s="1093"/>
      <c r="M555" s="1094" t="s">
        <v>2076</v>
      </c>
      <c r="N555" s="1094"/>
      <c r="O555" s="1094"/>
      <c r="P555" s="1094"/>
      <c r="Q555" s="1097"/>
      <c r="R555" s="1098"/>
      <c r="S555" s="1099"/>
      <c r="T555" s="1097"/>
      <c r="U555" s="1098"/>
      <c r="V555" s="1099"/>
      <c r="W555" s="1447"/>
      <c r="X555" s="1448"/>
      <c r="Y555" s="1449"/>
      <c r="Z555" s="1450" t="s">
        <v>2076</v>
      </c>
      <c r="AA555" s="1450"/>
      <c r="AB555" s="1450"/>
      <c r="AC555" s="1450"/>
      <c r="AD555" s="1450"/>
      <c r="AE555" s="1451"/>
      <c r="AF555" s="1452"/>
      <c r="AG555" s="1452"/>
      <c r="AH555" s="1453"/>
      <c r="AI555" s="1444"/>
      <c r="AJ555" s="1445"/>
      <c r="AK555" s="1445"/>
      <c r="AL555" s="1446"/>
      <c r="AM555" s="1153"/>
      <c r="AN555" s="1154"/>
      <c r="AO555" s="1154"/>
      <c r="AP555" s="1154"/>
      <c r="AQ555" s="1154"/>
      <c r="AR555" s="1154"/>
      <c r="AS555" s="1155"/>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3"/>
      <c r="D556" s="1093"/>
      <c r="E556" s="1093"/>
      <c r="F556" s="1093"/>
      <c r="G556" s="1093"/>
      <c r="H556" s="1093"/>
      <c r="I556" s="1093"/>
      <c r="J556" s="1093"/>
      <c r="K556" s="1093"/>
      <c r="L556" s="1093"/>
      <c r="M556" s="1094" t="s">
        <v>2076</v>
      </c>
      <c r="N556" s="1094"/>
      <c r="O556" s="1094"/>
      <c r="P556" s="1094"/>
      <c r="Q556" s="1097"/>
      <c r="R556" s="1098"/>
      <c r="S556" s="1099"/>
      <c r="T556" s="1097"/>
      <c r="U556" s="1098"/>
      <c r="V556" s="1099"/>
      <c r="W556" s="1447"/>
      <c r="X556" s="1448"/>
      <c r="Y556" s="1449"/>
      <c r="Z556" s="1450" t="s">
        <v>2076</v>
      </c>
      <c r="AA556" s="1450"/>
      <c r="AB556" s="1450"/>
      <c r="AC556" s="1450"/>
      <c r="AD556" s="1450"/>
      <c r="AE556" s="1451"/>
      <c r="AF556" s="1452"/>
      <c r="AG556" s="1452"/>
      <c r="AH556" s="1453"/>
      <c r="AI556" s="1444"/>
      <c r="AJ556" s="1445"/>
      <c r="AK556" s="1445"/>
      <c r="AL556" s="1446"/>
      <c r="AM556" s="1153"/>
      <c r="AN556" s="1154"/>
      <c r="AO556" s="1154"/>
      <c r="AP556" s="1154"/>
      <c r="AQ556" s="1154"/>
      <c r="AR556" s="1154"/>
      <c r="AS556" s="1155"/>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3"/>
      <c r="D557" s="1093"/>
      <c r="E557" s="1093"/>
      <c r="F557" s="1093"/>
      <c r="G557" s="1093"/>
      <c r="H557" s="1093"/>
      <c r="I557" s="1093"/>
      <c r="J557" s="1093"/>
      <c r="K557" s="1093"/>
      <c r="L557" s="1093"/>
      <c r="M557" s="1094" t="s">
        <v>2076</v>
      </c>
      <c r="N557" s="1094"/>
      <c r="O557" s="1094"/>
      <c r="P557" s="1094"/>
      <c r="Q557" s="1097"/>
      <c r="R557" s="1098"/>
      <c r="S557" s="1099"/>
      <c r="T557" s="1097"/>
      <c r="U557" s="1098"/>
      <c r="V557" s="1099"/>
      <c r="W557" s="1447"/>
      <c r="X557" s="1448"/>
      <c r="Y557" s="1449"/>
      <c r="Z557" s="1450" t="s">
        <v>2076</v>
      </c>
      <c r="AA557" s="1450"/>
      <c r="AB557" s="1450"/>
      <c r="AC557" s="1450"/>
      <c r="AD557" s="1450"/>
      <c r="AE557" s="1451"/>
      <c r="AF557" s="1452"/>
      <c r="AG557" s="1452"/>
      <c r="AH557" s="1453"/>
      <c r="AI557" s="1444"/>
      <c r="AJ557" s="1445"/>
      <c r="AK557" s="1445"/>
      <c r="AL557" s="1446"/>
      <c r="AM557" s="1153"/>
      <c r="AN557" s="1154"/>
      <c r="AO557" s="1154"/>
      <c r="AP557" s="1154"/>
      <c r="AQ557" s="1154"/>
      <c r="AR557" s="1154"/>
      <c r="AS557" s="1155"/>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00" t="s">
        <v>382</v>
      </c>
      <c r="C558" s="1101"/>
      <c r="D558" s="1101"/>
      <c r="E558" s="1101"/>
      <c r="F558" s="1101"/>
      <c r="G558" s="1101"/>
      <c r="H558" s="1101"/>
      <c r="I558" s="1101"/>
      <c r="J558" s="1101"/>
      <c r="K558" s="1101"/>
      <c r="L558" s="1101"/>
      <c r="M558" s="1101"/>
      <c r="N558" s="1101"/>
      <c r="O558" s="1101"/>
      <c r="P558" s="1101"/>
      <c r="Q558" s="1101"/>
      <c r="R558" s="1101"/>
      <c r="S558" s="1101"/>
      <c r="T558" s="1101"/>
      <c r="U558" s="1102"/>
      <c r="V558" s="1101"/>
      <c r="W558" s="1101"/>
      <c r="X558" s="1101"/>
      <c r="Y558" s="1101"/>
      <c r="Z558" s="1101"/>
      <c r="AA558" s="1101"/>
      <c r="AB558" s="1101"/>
      <c r="AC558" s="1101"/>
      <c r="AD558" s="1101"/>
      <c r="AE558" s="1101"/>
      <c r="AF558" s="1101"/>
      <c r="AG558" s="1101"/>
      <c r="AH558" s="1101"/>
      <c r="AI558" s="1101"/>
      <c r="AJ558" s="1101"/>
      <c r="AK558" s="1101"/>
      <c r="AL558" s="1103"/>
      <c r="AM558" s="1159">
        <f>SUM(AM546:AS557)</f>
        <v>58349766.428017192</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302" t="str">
        <f>C546</f>
        <v xml:space="preserve">First Republic Bank Construction Loan </v>
      </c>
      <c r="H560" s="1302"/>
      <c r="I560" s="1302"/>
      <c r="J560" s="1302"/>
      <c r="K560" s="1302"/>
      <c r="L560" s="1302"/>
      <c r="M560" s="1302"/>
      <c r="N560" s="1302"/>
      <c r="O560" s="1302"/>
      <c r="P560" s="1302"/>
      <c r="Q560" s="1302"/>
      <c r="R560" s="1302"/>
      <c r="S560" s="12"/>
      <c r="T560" s="61" t="s">
        <v>945</v>
      </c>
      <c r="U560" t="s">
        <v>90</v>
      </c>
      <c r="Z560" s="1302" t="str">
        <f>C547</f>
        <v xml:space="preserve">County of Santa Clara </v>
      </c>
      <c r="AA560" s="1302"/>
      <c r="AB560" s="1302"/>
      <c r="AC560" s="1302"/>
      <c r="AD560" s="1302"/>
      <c r="AE560" s="1302"/>
      <c r="AF560" s="1302"/>
      <c r="AG560" s="1302"/>
      <c r="AH560" s="1302"/>
      <c r="AI560" s="1302"/>
      <c r="AJ560" s="1302"/>
      <c r="AK560" s="130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92" t="s">
        <v>2515</v>
      </c>
      <c r="H561" s="1095"/>
      <c r="I561" s="1095"/>
      <c r="J561" s="1095"/>
      <c r="K561" s="1095"/>
      <c r="L561" s="1095"/>
      <c r="M561" s="1095"/>
      <c r="N561" s="1095"/>
      <c r="O561" s="1095"/>
      <c r="P561" s="1095"/>
      <c r="Q561" s="1095"/>
      <c r="R561" s="1095"/>
      <c r="S561" s="12"/>
      <c r="T561" s="4"/>
      <c r="U561" t="s">
        <v>397</v>
      </c>
      <c r="Z561" s="1095" t="s">
        <v>2455</v>
      </c>
      <c r="AA561" s="1095"/>
      <c r="AB561" s="1095"/>
      <c r="AC561" s="1095"/>
      <c r="AD561" s="1095"/>
      <c r="AE561" s="1095"/>
      <c r="AF561" s="1095"/>
      <c r="AG561" s="1095"/>
      <c r="AH561" s="1095"/>
      <c r="AI561" s="1095"/>
      <c r="AJ561" s="1095"/>
      <c r="AK561" s="109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92" t="s">
        <v>2516</v>
      </c>
      <c r="H562" s="1095"/>
      <c r="I562" s="1095"/>
      <c r="J562" s="1095"/>
      <c r="K562" s="1095"/>
      <c r="L562" s="1095"/>
      <c r="M562" s="1095"/>
      <c r="N562" s="1095"/>
      <c r="O562" s="1095"/>
      <c r="P562" s="1095"/>
      <c r="Q562" s="1095"/>
      <c r="R562" s="1095"/>
      <c r="T562" s="4"/>
      <c r="U562" t="s">
        <v>459</v>
      </c>
      <c r="Z562" s="1096" t="s">
        <v>2456</v>
      </c>
      <c r="AA562" s="1096"/>
      <c r="AB562" s="1096"/>
      <c r="AC562" s="1096"/>
      <c r="AD562" s="1096"/>
      <c r="AE562" s="1096"/>
      <c r="AF562" s="1096"/>
      <c r="AG562" s="1096"/>
      <c r="AH562" s="1096"/>
      <c r="AI562" s="1096"/>
      <c r="AJ562" s="1096"/>
      <c r="AK562" s="109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92" t="s">
        <v>2513</v>
      </c>
      <c r="H563" s="1095"/>
      <c r="I563" s="1095"/>
      <c r="J563" s="1095"/>
      <c r="K563" s="1095"/>
      <c r="L563" s="1095"/>
      <c r="M563" s="1095"/>
      <c r="N563" s="1095"/>
      <c r="O563" s="1095"/>
      <c r="P563" s="1095"/>
      <c r="Q563" s="1095"/>
      <c r="R563" s="1095"/>
      <c r="S563" s="12"/>
      <c r="T563" s="4"/>
      <c r="U563" t="s">
        <v>874</v>
      </c>
      <c r="Z563" s="1096" t="s">
        <v>2457</v>
      </c>
      <c r="AA563" s="1096"/>
      <c r="AB563" s="1096"/>
      <c r="AC563" s="1096"/>
      <c r="AD563" s="1096"/>
      <c r="AE563" s="1096"/>
      <c r="AF563" s="1096"/>
      <c r="AG563" s="1096"/>
      <c r="AH563" s="1096"/>
      <c r="AI563" s="1096"/>
      <c r="AJ563" s="1096"/>
      <c r="AK563" s="109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29" t="s">
        <v>2517</v>
      </c>
      <c r="H564" s="1119"/>
      <c r="I564" s="1119"/>
      <c r="J564" s="1119"/>
      <c r="K564" s="1119"/>
      <c r="L564" s="1119"/>
      <c r="O564" s="42" t="s">
        <v>859</v>
      </c>
      <c r="P564" s="1291"/>
      <c r="Q564" s="1291"/>
      <c r="R564" s="1291"/>
      <c r="S564" s="14"/>
      <c r="T564" s="4"/>
      <c r="U564" t="s">
        <v>686</v>
      </c>
      <c r="Z564" s="1129" t="s">
        <v>2458</v>
      </c>
      <c r="AA564" s="1119"/>
      <c r="AB564" s="1119"/>
      <c r="AC564" s="1119"/>
      <c r="AD564" s="1119"/>
      <c r="AE564" s="1119"/>
      <c r="AH564" s="42" t="s">
        <v>859</v>
      </c>
      <c r="AI564" s="1291"/>
      <c r="AJ564" s="1291"/>
      <c r="AK564" s="129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292" t="s">
        <v>2514</v>
      </c>
      <c r="I565" s="1095"/>
      <c r="J565" s="1095"/>
      <c r="K565" s="1095"/>
      <c r="L565" s="1095"/>
      <c r="M565" s="1095"/>
      <c r="N565" s="1095"/>
      <c r="O565" s="1095"/>
      <c r="P565" s="1095"/>
      <c r="Q565" s="1095"/>
      <c r="R565" s="1095"/>
      <c r="S565" s="12"/>
      <c r="T565" s="4"/>
      <c r="U565" t="s">
        <v>875</v>
      </c>
      <c r="AA565" s="1095" t="s">
        <v>2459</v>
      </c>
      <c r="AB565" s="1095"/>
      <c r="AC565" s="1095"/>
      <c r="AD565" s="1095"/>
      <c r="AE565" s="1095"/>
      <c r="AF565" s="1095"/>
      <c r="AG565" s="1095"/>
      <c r="AH565" s="1095"/>
      <c r="AI565" s="1095"/>
      <c r="AJ565" s="1095"/>
      <c r="AK565" s="109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20" t="s">
        <v>116</v>
      </c>
      <c r="O566" s="1120"/>
      <c r="T566" s="4"/>
      <c r="U566" t="s">
        <v>877</v>
      </c>
      <c r="AG566" s="1120" t="s">
        <v>116</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302" t="str">
        <f>C548</f>
        <v xml:space="preserve">City of Palo Alto </v>
      </c>
      <c r="H568" s="1302"/>
      <c r="I568" s="1302"/>
      <c r="J568" s="1302"/>
      <c r="K568" s="1302"/>
      <c r="L568" s="1302"/>
      <c r="M568" s="1302"/>
      <c r="N568" s="1302"/>
      <c r="O568" s="1302"/>
      <c r="P568" s="1302"/>
      <c r="Q568" s="1302"/>
      <c r="R568" s="1302"/>
      <c r="T568" s="61" t="s">
        <v>460</v>
      </c>
      <c r="U568" t="s">
        <v>90</v>
      </c>
      <c r="Z568" s="1302" t="str">
        <f>C549</f>
        <v>Value of Donated Land (GP equity or deferred fee or sponsor loan TBD based on investor negotiations)</v>
      </c>
      <c r="AA568" s="1302"/>
      <c r="AB568" s="1302"/>
      <c r="AC568" s="1302"/>
      <c r="AD568" s="1302"/>
      <c r="AE568" s="1302"/>
      <c r="AF568" s="1302"/>
      <c r="AG568" s="1302"/>
      <c r="AH568" s="1302"/>
      <c r="AI568" s="1302"/>
      <c r="AJ568" s="1302"/>
      <c r="AK568" s="130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5" t="s">
        <v>2460</v>
      </c>
      <c r="H569" s="1095"/>
      <c r="I569" s="1095"/>
      <c r="J569" s="1095"/>
      <c r="K569" s="1095"/>
      <c r="L569" s="1095"/>
      <c r="M569" s="1095"/>
      <c r="N569" s="1095"/>
      <c r="O569" s="1095"/>
      <c r="P569" s="1095"/>
      <c r="Q569" s="1095"/>
      <c r="R569" s="1095"/>
      <c r="T569" s="4"/>
      <c r="U569" t="s">
        <v>397</v>
      </c>
      <c r="Z569" s="1095" t="s">
        <v>2455</v>
      </c>
      <c r="AA569" s="1095"/>
      <c r="AB569" s="1095"/>
      <c r="AC569" s="1095"/>
      <c r="AD569" s="1095"/>
      <c r="AE569" s="1095"/>
      <c r="AF569" s="1095"/>
      <c r="AG569" s="1095"/>
      <c r="AH569" s="1095"/>
      <c r="AI569" s="1095"/>
      <c r="AJ569" s="1095"/>
      <c r="AK569" s="109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6" t="s">
        <v>2461</v>
      </c>
      <c r="H570" s="1096"/>
      <c r="I570" s="1096"/>
      <c r="J570" s="1096"/>
      <c r="K570" s="1096"/>
      <c r="L570" s="1096"/>
      <c r="M570" s="1096"/>
      <c r="N570" s="1096"/>
      <c r="O570" s="1096"/>
      <c r="P570" s="1096"/>
      <c r="Q570" s="1096"/>
      <c r="R570" s="1096"/>
      <c r="T570" s="4"/>
      <c r="U570" t="s">
        <v>459</v>
      </c>
      <c r="Z570" s="1096" t="s">
        <v>2456</v>
      </c>
      <c r="AA570" s="1096"/>
      <c r="AB570" s="1096"/>
      <c r="AC570" s="1096"/>
      <c r="AD570" s="1096"/>
      <c r="AE570" s="1096"/>
      <c r="AF570" s="1096"/>
      <c r="AG570" s="1096"/>
      <c r="AH570" s="1096"/>
      <c r="AI570" s="1096"/>
      <c r="AJ570" s="1096"/>
      <c r="AK570" s="109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6" t="s">
        <v>2462</v>
      </c>
      <c r="H571" s="1096"/>
      <c r="I571" s="1096"/>
      <c r="J571" s="1096"/>
      <c r="K571" s="1096"/>
      <c r="L571" s="1096"/>
      <c r="M571" s="1096"/>
      <c r="N571" s="1096"/>
      <c r="O571" s="1096"/>
      <c r="P571" s="1096"/>
      <c r="Q571" s="1096"/>
      <c r="R571" s="1096"/>
      <c r="T571" s="4"/>
      <c r="U571" t="s">
        <v>874</v>
      </c>
      <c r="Z571" s="1096" t="s">
        <v>2457</v>
      </c>
      <c r="AA571" s="1096"/>
      <c r="AB571" s="1096"/>
      <c r="AC571" s="1096"/>
      <c r="AD571" s="1096"/>
      <c r="AE571" s="1096"/>
      <c r="AF571" s="1096"/>
      <c r="AG571" s="1096"/>
      <c r="AH571" s="1096"/>
      <c r="AI571" s="1096"/>
      <c r="AJ571" s="1096"/>
      <c r="AK571" s="109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29" t="s">
        <v>2463</v>
      </c>
      <c r="H572" s="1119"/>
      <c r="I572" s="1119"/>
      <c r="J572" s="1119"/>
      <c r="K572" s="1119"/>
      <c r="L572" s="1119"/>
      <c r="O572" s="42" t="s">
        <v>859</v>
      </c>
      <c r="P572" s="1291"/>
      <c r="Q572" s="1291"/>
      <c r="R572" s="1291"/>
      <c r="T572" s="4"/>
      <c r="U572" t="s">
        <v>686</v>
      </c>
      <c r="Z572" s="1119" t="s">
        <v>2458</v>
      </c>
      <c r="AA572" s="1119"/>
      <c r="AB572" s="1119"/>
      <c r="AC572" s="1119"/>
      <c r="AD572" s="1119"/>
      <c r="AE572" s="1119"/>
      <c r="AH572" s="42" t="s">
        <v>859</v>
      </c>
      <c r="AI572" s="1291"/>
      <c r="AJ572" s="1291"/>
      <c r="AK572" s="129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5" t="s">
        <v>2459</v>
      </c>
      <c r="I573" s="1095"/>
      <c r="J573" s="1095"/>
      <c r="K573" s="1095"/>
      <c r="L573" s="1095"/>
      <c r="M573" s="1095"/>
      <c r="N573" s="1095"/>
      <c r="O573" s="1095"/>
      <c r="P573" s="1095"/>
      <c r="Q573" s="1095"/>
      <c r="R573" s="1095"/>
      <c r="T573" s="4"/>
      <c r="U573" t="s">
        <v>875</v>
      </c>
      <c r="AA573" s="1095" t="s">
        <v>2471</v>
      </c>
      <c r="AB573" s="1095"/>
      <c r="AC573" s="1095"/>
      <c r="AD573" s="1095"/>
      <c r="AE573" s="1095"/>
      <c r="AF573" s="1095"/>
      <c r="AG573" s="1095"/>
      <c r="AH573" s="1095"/>
      <c r="AI573" s="1095"/>
      <c r="AJ573" s="1095"/>
      <c r="AK573" s="109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10" t="s">
        <v>116</v>
      </c>
      <c r="O574" s="1110"/>
      <c r="T574" s="4"/>
      <c r="U574" t="s">
        <v>877</v>
      </c>
      <c r="AG574" s="1110" t="s">
        <v>116</v>
      </c>
      <c r="AH574" s="111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302" t="str">
        <f>C550</f>
        <v>GP Equity (Eden Investments, Inc., an affiliate of Eden Housing, Inc.)</v>
      </c>
      <c r="H576" s="1302"/>
      <c r="I576" s="1302"/>
      <c r="J576" s="1302"/>
      <c r="K576" s="1302"/>
      <c r="L576" s="1302"/>
      <c r="M576" s="1302"/>
      <c r="N576" s="1302"/>
      <c r="O576" s="1302"/>
      <c r="P576" s="1302"/>
      <c r="Q576" s="1302"/>
      <c r="R576" s="1302"/>
      <c r="T576" s="61" t="s">
        <v>463</v>
      </c>
      <c r="U576" t="s">
        <v>90</v>
      </c>
      <c r="Z576" s="1302" t="str">
        <f>C551</f>
        <v xml:space="preserve">Investor Equity </v>
      </c>
      <c r="AA576" s="1302"/>
      <c r="AB576" s="1302"/>
      <c r="AC576" s="1302"/>
      <c r="AD576" s="1302"/>
      <c r="AE576" s="1302"/>
      <c r="AF576" s="1302"/>
      <c r="AG576" s="1302"/>
      <c r="AH576" s="1302"/>
      <c r="AI576" s="1302"/>
      <c r="AJ576" s="1302"/>
      <c r="AK576" s="130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5" t="s">
        <v>2464</v>
      </c>
      <c r="H577" s="1095"/>
      <c r="I577" s="1095"/>
      <c r="J577" s="1095"/>
      <c r="K577" s="1095"/>
      <c r="L577" s="1095"/>
      <c r="M577" s="1095"/>
      <c r="N577" s="1095"/>
      <c r="O577" s="1095"/>
      <c r="P577" s="1095"/>
      <c r="Q577" s="1095"/>
      <c r="R577" s="1095"/>
      <c r="T577" s="4"/>
      <c r="U577" t="s">
        <v>397</v>
      </c>
      <c r="Z577" s="1095"/>
      <c r="AA577" s="1095"/>
      <c r="AB577" s="1095"/>
      <c r="AC577" s="1095"/>
      <c r="AD577" s="1095"/>
      <c r="AE577" s="1095"/>
      <c r="AF577" s="1095"/>
      <c r="AG577" s="1095"/>
      <c r="AH577" s="1095"/>
      <c r="AI577" s="1095"/>
      <c r="AJ577" s="1095"/>
      <c r="AK577" s="109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5" t="s">
        <v>2371</v>
      </c>
      <c r="H578" s="1095"/>
      <c r="I578" s="1095"/>
      <c r="J578" s="1095"/>
      <c r="K578" s="1095"/>
      <c r="L578" s="1095"/>
      <c r="M578" s="1095"/>
      <c r="N578" s="1095"/>
      <c r="O578" s="1095"/>
      <c r="P578" s="1095"/>
      <c r="Q578" s="1095"/>
      <c r="R578" s="1095"/>
      <c r="T578" s="4"/>
      <c r="U578" t="s">
        <v>459</v>
      </c>
      <c r="Z578" s="1096"/>
      <c r="AA578" s="1096"/>
      <c r="AB578" s="1096"/>
      <c r="AC578" s="1096"/>
      <c r="AD578" s="1096"/>
      <c r="AE578" s="1096"/>
      <c r="AF578" s="1096"/>
      <c r="AG578" s="1096"/>
      <c r="AH578" s="1096"/>
      <c r="AI578" s="1096"/>
      <c r="AJ578" s="1096"/>
      <c r="AK578" s="109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5" t="s">
        <v>2379</v>
      </c>
      <c r="H579" s="1095"/>
      <c r="I579" s="1095"/>
      <c r="J579" s="1095"/>
      <c r="K579" s="1095"/>
      <c r="L579" s="1095"/>
      <c r="M579" s="1095"/>
      <c r="N579" s="1095"/>
      <c r="O579" s="1095"/>
      <c r="P579" s="1095"/>
      <c r="Q579" s="1095"/>
      <c r="R579" s="1095"/>
      <c r="T579" s="4"/>
      <c r="U579" t="s">
        <v>874</v>
      </c>
      <c r="Z579" s="1096"/>
      <c r="AA579" s="1096"/>
      <c r="AB579" s="1096"/>
      <c r="AC579" s="1096"/>
      <c r="AD579" s="1096"/>
      <c r="AE579" s="1096"/>
      <c r="AF579" s="1096"/>
      <c r="AG579" s="1096"/>
      <c r="AH579" s="1096"/>
      <c r="AI579" s="1096"/>
      <c r="AJ579" s="1096"/>
      <c r="AK579" s="109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29" t="s">
        <v>2380</v>
      </c>
      <c r="H580" s="1119"/>
      <c r="I580" s="1119"/>
      <c r="J580" s="1119"/>
      <c r="K580" s="1119"/>
      <c r="L580" s="1119"/>
      <c r="O580" s="42" t="s">
        <v>859</v>
      </c>
      <c r="P580" s="1291"/>
      <c r="Q580" s="1291"/>
      <c r="R580" s="1291"/>
      <c r="T580" s="4"/>
      <c r="U580" t="s">
        <v>686</v>
      </c>
      <c r="Z580" s="1119"/>
      <c r="AA580" s="1119"/>
      <c r="AB580" s="1119"/>
      <c r="AC580" s="1119"/>
      <c r="AD580" s="1119"/>
      <c r="AE580" s="1119"/>
      <c r="AH580" s="42" t="s">
        <v>859</v>
      </c>
      <c r="AI580" s="1291"/>
      <c r="AJ580" s="1291"/>
      <c r="AK580" s="129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5" t="s">
        <v>2465</v>
      </c>
      <c r="I581" s="1095"/>
      <c r="J581" s="1095"/>
      <c r="K581" s="1095"/>
      <c r="L581" s="1095"/>
      <c r="M581" s="1095"/>
      <c r="N581" s="1095"/>
      <c r="O581" s="1095"/>
      <c r="P581" s="1095"/>
      <c r="Q581" s="1095"/>
      <c r="R581" s="1095"/>
      <c r="T581" s="4"/>
      <c r="U581" t="s">
        <v>875</v>
      </c>
      <c r="AA581" s="1095" t="s">
        <v>2466</v>
      </c>
      <c r="AB581" s="1095"/>
      <c r="AC581" s="1095"/>
      <c r="AD581" s="1095"/>
      <c r="AE581" s="1095"/>
      <c r="AF581" s="1095"/>
      <c r="AG581" s="1095"/>
      <c r="AH581" s="1095"/>
      <c r="AI581" s="1095"/>
      <c r="AJ581" s="1095"/>
      <c r="AK581" s="109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10" t="s">
        <v>116</v>
      </c>
      <c r="O582" s="1110"/>
      <c r="T582" s="4"/>
      <c r="U582" t="s">
        <v>877</v>
      </c>
      <c r="AG582" s="1110" t="s">
        <v>511</v>
      </c>
      <c r="AH582" s="111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302" t="str">
        <f>C552</f>
        <v>Accrued interest on soft sources</v>
      </c>
      <c r="H584" s="1302"/>
      <c r="I584" s="1302"/>
      <c r="J584" s="1302"/>
      <c r="K584" s="1302"/>
      <c r="L584" s="1302"/>
      <c r="M584" s="1302"/>
      <c r="N584" s="1302"/>
      <c r="O584" s="1302"/>
      <c r="P584" s="1302"/>
      <c r="Q584" s="1302"/>
      <c r="R584" s="1302"/>
      <c r="T584" s="61" t="s">
        <v>779</v>
      </c>
      <c r="U584" t="s">
        <v>90</v>
      </c>
      <c r="Z584" s="1302" t="str">
        <f>C553</f>
        <v>Local Fee Waivers</v>
      </c>
      <c r="AA584" s="1302"/>
      <c r="AB584" s="1302"/>
      <c r="AC584" s="1302"/>
      <c r="AD584" s="1302"/>
      <c r="AE584" s="1302"/>
      <c r="AF584" s="1302"/>
      <c r="AG584" s="1302"/>
      <c r="AH584" s="1302"/>
      <c r="AI584" s="1302"/>
      <c r="AJ584" s="1302"/>
      <c r="AK584" s="130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5" t="s">
        <v>2539</v>
      </c>
      <c r="H585" s="1095"/>
      <c r="I585" s="1095"/>
      <c r="J585" s="1095"/>
      <c r="K585" s="1095"/>
      <c r="L585" s="1095"/>
      <c r="M585" s="1095"/>
      <c r="N585" s="1095"/>
      <c r="O585" s="1095"/>
      <c r="P585" s="1095"/>
      <c r="Q585" s="1095"/>
      <c r="R585" s="1095"/>
      <c r="T585" s="4"/>
      <c r="U585" t="s">
        <v>397</v>
      </c>
      <c r="Z585" s="1095" t="s">
        <v>2460</v>
      </c>
      <c r="AA585" s="1095"/>
      <c r="AB585" s="1095"/>
      <c r="AC585" s="1095"/>
      <c r="AD585" s="1095"/>
      <c r="AE585" s="1095"/>
      <c r="AF585" s="1095"/>
      <c r="AG585" s="1095"/>
      <c r="AH585" s="1095"/>
      <c r="AI585" s="1095"/>
      <c r="AJ585" s="1095"/>
      <c r="AK585" s="109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5" t="s">
        <v>2540</v>
      </c>
      <c r="H586" s="1095"/>
      <c r="I586" s="1095"/>
      <c r="J586" s="1095"/>
      <c r="K586" s="1095"/>
      <c r="L586" s="1095"/>
      <c r="M586" s="1095"/>
      <c r="N586" s="1095"/>
      <c r="O586" s="1095"/>
      <c r="P586" s="1095"/>
      <c r="Q586" s="1095"/>
      <c r="R586" s="1095"/>
      <c r="S586"/>
      <c r="T586" s="4"/>
      <c r="U586" t="s">
        <v>459</v>
      </c>
      <c r="V586"/>
      <c r="W586"/>
      <c r="X586"/>
      <c r="Y586"/>
      <c r="Z586" s="1096" t="s">
        <v>2461</v>
      </c>
      <c r="AA586" s="1096"/>
      <c r="AB586" s="1096"/>
      <c r="AC586" s="1096"/>
      <c r="AD586" s="1096"/>
      <c r="AE586" s="1096"/>
      <c r="AF586" s="1096"/>
      <c r="AG586" s="1096"/>
      <c r="AH586" s="1096"/>
      <c r="AI586" s="1096"/>
      <c r="AJ586" s="1096"/>
      <c r="AK586" s="109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5" t="s">
        <v>2541</v>
      </c>
      <c r="H587" s="1095"/>
      <c r="I587" s="1095"/>
      <c r="J587" s="1095"/>
      <c r="K587" s="1095"/>
      <c r="L587" s="1095"/>
      <c r="M587" s="1095"/>
      <c r="N587" s="1095"/>
      <c r="O587" s="1095"/>
      <c r="P587" s="1095"/>
      <c r="Q587" s="1095"/>
      <c r="R587" s="1095"/>
      <c r="S587"/>
      <c r="T587" s="4"/>
      <c r="U587" t="s">
        <v>874</v>
      </c>
      <c r="V587"/>
      <c r="W587"/>
      <c r="X587"/>
      <c r="Y587"/>
      <c r="Z587" s="1096" t="s">
        <v>2537</v>
      </c>
      <c r="AA587" s="1096"/>
      <c r="AB587" s="1096"/>
      <c r="AC587" s="1096"/>
      <c r="AD587" s="1096"/>
      <c r="AE587" s="1096"/>
      <c r="AF587" s="1096"/>
      <c r="AG587" s="1096"/>
      <c r="AH587" s="1096"/>
      <c r="AI587" s="1096"/>
      <c r="AJ587" s="1096"/>
      <c r="AK587" s="1096"/>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29" t="s">
        <v>2542</v>
      </c>
      <c r="H588" s="1119"/>
      <c r="I588" s="1119"/>
      <c r="J588" s="1119"/>
      <c r="K588" s="1119"/>
      <c r="L588" s="1119"/>
      <c r="M588"/>
      <c r="N588"/>
      <c r="O588" s="42" t="s">
        <v>859</v>
      </c>
      <c r="P588" s="1291"/>
      <c r="Q588" s="1291"/>
      <c r="R588" s="1291"/>
      <c r="S588"/>
      <c r="T588" s="4"/>
      <c r="U588" t="s">
        <v>686</v>
      </c>
      <c r="V588"/>
      <c r="W588"/>
      <c r="X588"/>
      <c r="Y588"/>
      <c r="Z588" s="1129" t="s">
        <v>2538</v>
      </c>
      <c r="AA588" s="1119"/>
      <c r="AB588" s="1119"/>
      <c r="AC588" s="1119"/>
      <c r="AD588" s="1119"/>
      <c r="AE588" s="1119"/>
      <c r="AF588"/>
      <c r="AG588"/>
      <c r="AH588" s="42" t="s">
        <v>859</v>
      </c>
      <c r="AI588" s="1291"/>
      <c r="AJ588" s="1291"/>
      <c r="AK588" s="1291"/>
      <c r="AL588"/>
      <c r="AZ588" s="5" t="s">
        <v>470</v>
      </c>
      <c r="BA588" s="41"/>
      <c r="BB588" s="41"/>
      <c r="BC588" s="41"/>
      <c r="BD588" s="41"/>
      <c r="BE588" s="214" t="s">
        <v>373</v>
      </c>
      <c r="BF588" s="215"/>
      <c r="BG588" s="1248"/>
      <c r="BH588" s="1251"/>
      <c r="BI588" s="214" t="s">
        <v>374</v>
      </c>
      <c r="BJ588" s="215"/>
      <c r="BK588" s="1248"/>
      <c r="BL588" s="1251"/>
      <c r="BN588" s="1248">
        <f t="shared" ref="BN588:BN612" si="1">IF(B692="SRO/Studio",G692,0)</f>
        <v>14</v>
      </c>
      <c r="BO588" s="1249"/>
      <c r="BP588" s="1249"/>
      <c r="BQ588" s="1249"/>
      <c r="BR588" s="1250"/>
      <c r="BS588" s="1248">
        <f t="shared" ref="BS588:BS612" si="2">IF(B692="1 Bedroom",G692,0)</f>
        <v>0</v>
      </c>
      <c r="BT588" s="1249"/>
      <c r="BU588" s="1249"/>
      <c r="BV588" s="1249"/>
      <c r="BW588" s="1251"/>
      <c r="BX588" s="1248">
        <f t="shared" ref="BX588:BX612" si="3">IF(B692="2 Bedrooms",G692,0)</f>
        <v>0</v>
      </c>
      <c r="BY588" s="1249"/>
      <c r="BZ588" s="1249"/>
      <c r="CA588" s="1249"/>
      <c r="CB588" s="1251"/>
      <c r="CC588" s="1248">
        <f t="shared" ref="CC588:CC612" si="4">IF(B692="3 Bedrooms",G692,0)</f>
        <v>0</v>
      </c>
      <c r="CD588" s="1249"/>
      <c r="CE588" s="1249"/>
      <c r="CF588" s="1249"/>
      <c r="CG588" s="1251"/>
      <c r="CH588" s="1248">
        <f t="shared" ref="CH588:CH612" si="5">IF(B692="4 Bedrooms",G692,0)</f>
        <v>0</v>
      </c>
      <c r="CI588" s="1249"/>
      <c r="CJ588" s="1249"/>
      <c r="CK588" s="1249"/>
      <c r="CL588" s="1251"/>
      <c r="CM588" s="1511">
        <f t="shared" ref="CM588:CM612" si="6">IF(B692="5 Bedrooms",G692,0)</f>
        <v>0</v>
      </c>
      <c r="CN588" s="1512"/>
      <c r="CO588" s="1512"/>
      <c r="CP588" s="1512"/>
      <c r="CQ588" s="1250"/>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5" t="s">
        <v>2299</v>
      </c>
      <c r="I589" s="1095"/>
      <c r="J589" s="1095"/>
      <c r="K589" s="1095"/>
      <c r="L589" s="1095"/>
      <c r="M589" s="1095"/>
      <c r="N589" s="1095"/>
      <c r="O589" s="1095"/>
      <c r="P589" s="1095"/>
      <c r="Q589" s="1095"/>
      <c r="R589" s="1095"/>
      <c r="S589"/>
      <c r="T589" s="4"/>
      <c r="U589" t="s">
        <v>875</v>
      </c>
      <c r="V589"/>
      <c r="W589"/>
      <c r="X589"/>
      <c r="Y589"/>
      <c r="Z589"/>
      <c r="AA589" s="1095" t="s">
        <v>2548</v>
      </c>
      <c r="AB589" s="1095"/>
      <c r="AC589" s="1095"/>
      <c r="AD589" s="1095"/>
      <c r="AE589" s="1095"/>
      <c r="AF589" s="1095"/>
      <c r="AG589" s="1095"/>
      <c r="AH589" s="1095"/>
      <c r="AI589" s="1095"/>
      <c r="AJ589" s="1095"/>
      <c r="AK589" s="1095"/>
      <c r="AL589"/>
      <c r="AZ589" s="5" t="s">
        <v>471</v>
      </c>
      <c r="BA589" s="41"/>
      <c r="BB589" s="41"/>
      <c r="BC589" s="41"/>
      <c r="BD589" s="41"/>
      <c r="BE589" s="1252">
        <f>IF(AND(AH692&lt;=0.5,AH692&gt;=0.36),1,0)</f>
        <v>0</v>
      </c>
      <c r="BF589" s="1253"/>
      <c r="BG589" s="1248">
        <f t="shared" ref="BG589:BG613" si="7">IF(BE589=1,G692,0)</f>
        <v>0</v>
      </c>
      <c r="BH589" s="1251"/>
      <c r="BI589" s="1252">
        <f>IF(AND(AH692&lt;=0.35,AH692&gt;0),1,0)</f>
        <v>1</v>
      </c>
      <c r="BJ589" s="1253"/>
      <c r="BK589" s="1248">
        <f t="shared" ref="BK589:BK613" si="8">IF(BI589=1,G692,0)</f>
        <v>14</v>
      </c>
      <c r="BL589" s="1251"/>
      <c r="BN589" s="1248">
        <f t="shared" si="1"/>
        <v>7</v>
      </c>
      <c r="BO589" s="1249"/>
      <c r="BP589" s="1249"/>
      <c r="BQ589" s="1249"/>
      <c r="BR589" s="1250"/>
      <c r="BS589" s="1248">
        <f t="shared" si="2"/>
        <v>0</v>
      </c>
      <c r="BT589" s="1249"/>
      <c r="BU589" s="1249"/>
      <c r="BV589" s="1249"/>
      <c r="BW589" s="1251"/>
      <c r="BX589" s="1248">
        <f t="shared" si="3"/>
        <v>0</v>
      </c>
      <c r="BY589" s="1249"/>
      <c r="BZ589" s="1249"/>
      <c r="CA589" s="1249"/>
      <c r="CB589" s="1251"/>
      <c r="CC589" s="1248">
        <f t="shared" si="4"/>
        <v>0</v>
      </c>
      <c r="CD589" s="1249"/>
      <c r="CE589" s="1249"/>
      <c r="CF589" s="1249"/>
      <c r="CG589" s="1251"/>
      <c r="CH589" s="1248">
        <f t="shared" si="5"/>
        <v>0</v>
      </c>
      <c r="CI589" s="1249"/>
      <c r="CJ589" s="1249"/>
      <c r="CK589" s="1249"/>
      <c r="CL589" s="1251"/>
      <c r="CM589" s="1248">
        <f t="shared" si="6"/>
        <v>0</v>
      </c>
      <c r="CN589" s="1249"/>
      <c r="CO589" s="1249"/>
      <c r="CP589" s="1249"/>
      <c r="CQ589" s="1251"/>
      <c r="CS589" s="1508">
        <f>IF(AND(B692="SRO/Studio",AH692&lt;=0.3),G692,0)</f>
        <v>14</v>
      </c>
      <c r="CT589" s="1509"/>
      <c r="CU589" s="1509"/>
      <c r="CV589" s="1509"/>
      <c r="CW589" s="1510"/>
      <c r="CX589" s="1508">
        <f>IF(AND(B692="1 Bedroom",AH692&lt;=0.3),G692,0)</f>
        <v>0</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2.95" customHeight="1">
      <c r="A590" s="4"/>
      <c r="B590" t="s">
        <v>877</v>
      </c>
      <c r="C590"/>
      <c r="D590"/>
      <c r="E590"/>
      <c r="F590"/>
      <c r="G590"/>
      <c r="H590"/>
      <c r="I590"/>
      <c r="J590"/>
      <c r="K590"/>
      <c r="L590"/>
      <c r="M590"/>
      <c r="N590" s="1110" t="s">
        <v>116</v>
      </c>
      <c r="O590" s="1110"/>
      <c r="P590"/>
      <c r="Q590"/>
      <c r="R590"/>
      <c r="S590"/>
      <c r="T590" s="4"/>
      <c r="U590" t="s">
        <v>877</v>
      </c>
      <c r="V590"/>
      <c r="W590"/>
      <c r="X590"/>
      <c r="Y590"/>
      <c r="Z590"/>
      <c r="AA590"/>
      <c r="AB590"/>
      <c r="AC590"/>
      <c r="AD590"/>
      <c r="AE590"/>
      <c r="AF590"/>
      <c r="AG590" s="1110" t="s">
        <v>116</v>
      </c>
      <c r="AH590" s="1110"/>
      <c r="AI590"/>
      <c r="AJ590"/>
      <c r="AK590"/>
      <c r="AL590"/>
      <c r="AZ590" s="5" t="s">
        <v>817</v>
      </c>
      <c r="BA590" s="41"/>
      <c r="BB590" s="41"/>
      <c r="BC590" s="41"/>
      <c r="BD590" s="41"/>
      <c r="BE590" s="1252">
        <f t="shared" ref="BE590:BE613" si="9">IF(AND(AH693&lt;=0.5,AH693&gt;=0.36),1,0)</f>
        <v>1</v>
      </c>
      <c r="BF590" s="1253"/>
      <c r="BG590" s="1248">
        <f t="shared" si="7"/>
        <v>7</v>
      </c>
      <c r="BH590" s="1251"/>
      <c r="BI590" s="1252">
        <f t="shared" ref="BI590:BI613" si="10">IF(AND(AH693&lt;=0.35,AH693&gt;0),1,0)</f>
        <v>0</v>
      </c>
      <c r="BJ590" s="1253"/>
      <c r="BK590" s="1248">
        <f t="shared" si="8"/>
        <v>0</v>
      </c>
      <c r="BL590" s="1251"/>
      <c r="BN590" s="1248">
        <f t="shared" si="1"/>
        <v>16</v>
      </c>
      <c r="BO590" s="1249"/>
      <c r="BP590" s="1249"/>
      <c r="BQ590" s="1249"/>
      <c r="BR590" s="1250"/>
      <c r="BS590" s="1248">
        <f t="shared" si="2"/>
        <v>0</v>
      </c>
      <c r="BT590" s="1249"/>
      <c r="BU590" s="1249"/>
      <c r="BV590" s="1249"/>
      <c r="BW590" s="1251"/>
      <c r="BX590" s="1248">
        <f t="shared" si="3"/>
        <v>0</v>
      </c>
      <c r="BY590" s="1249"/>
      <c r="BZ590" s="1249"/>
      <c r="CA590" s="1249"/>
      <c r="CB590" s="1251"/>
      <c r="CC590" s="1248">
        <f t="shared" si="4"/>
        <v>0</v>
      </c>
      <c r="CD590" s="1249"/>
      <c r="CE590" s="1249"/>
      <c r="CF590" s="1249"/>
      <c r="CG590" s="1251"/>
      <c r="CH590" s="1248">
        <f t="shared" si="5"/>
        <v>0</v>
      </c>
      <c r="CI590" s="1249"/>
      <c r="CJ590" s="1249"/>
      <c r="CK590" s="1249"/>
      <c r="CL590" s="1251"/>
      <c r="CM590" s="1248">
        <f t="shared" si="6"/>
        <v>0</v>
      </c>
      <c r="CN590" s="1249"/>
      <c r="CO590" s="1249"/>
      <c r="CP590" s="1249"/>
      <c r="CQ590" s="1251"/>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2.95" customHeight="1">
      <c r="AZ591" s="5" t="s">
        <v>818</v>
      </c>
      <c r="BA591" s="41"/>
      <c r="BB591" s="41"/>
      <c r="BC591" s="41"/>
      <c r="BD591" s="41"/>
      <c r="BE591" s="1252">
        <f t="shared" si="9"/>
        <v>1</v>
      </c>
      <c r="BF591" s="1253"/>
      <c r="BG591" s="1248">
        <f t="shared" si="7"/>
        <v>16</v>
      </c>
      <c r="BH591" s="1251"/>
      <c r="BI591" s="1252">
        <f t="shared" si="10"/>
        <v>0</v>
      </c>
      <c r="BJ591" s="1253"/>
      <c r="BK591" s="1248">
        <f t="shared" si="8"/>
        <v>0</v>
      </c>
      <c r="BL591" s="1251"/>
      <c r="BN591" s="1248">
        <f t="shared" si="1"/>
        <v>0</v>
      </c>
      <c r="BO591" s="1249"/>
      <c r="BP591" s="1249"/>
      <c r="BQ591" s="1249"/>
      <c r="BR591" s="1250"/>
      <c r="BS591" s="1248">
        <f t="shared" si="2"/>
        <v>1</v>
      </c>
      <c r="BT591" s="1249"/>
      <c r="BU591" s="1249"/>
      <c r="BV591" s="1249"/>
      <c r="BW591" s="1251"/>
      <c r="BX591" s="1248">
        <f t="shared" si="3"/>
        <v>0</v>
      </c>
      <c r="BY591" s="1249"/>
      <c r="BZ591" s="1249"/>
      <c r="CA591" s="1249"/>
      <c r="CB591" s="1251"/>
      <c r="CC591" s="1248">
        <f t="shared" si="4"/>
        <v>0</v>
      </c>
      <c r="CD591" s="1249"/>
      <c r="CE591" s="1249"/>
      <c r="CF591" s="1249"/>
      <c r="CG591" s="1251"/>
      <c r="CH591" s="1248">
        <f t="shared" si="5"/>
        <v>0</v>
      </c>
      <c r="CI591" s="1249"/>
      <c r="CJ591" s="1249"/>
      <c r="CK591" s="1249"/>
      <c r="CL591" s="1251"/>
      <c r="CM591" s="1248">
        <f t="shared" si="6"/>
        <v>0</v>
      </c>
      <c r="CN591" s="1249"/>
      <c r="CO591" s="1249"/>
      <c r="CP591" s="1249"/>
      <c r="CQ591" s="1251"/>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2.95" customHeight="1">
      <c r="A592" s="61" t="s">
        <v>577</v>
      </c>
      <c r="B592" t="s">
        <v>90</v>
      </c>
      <c r="G592" s="1302">
        <f>C554</f>
        <v>0</v>
      </c>
      <c r="H592" s="1302"/>
      <c r="I592" s="1302"/>
      <c r="J592" s="1302"/>
      <c r="K592" s="1302"/>
      <c r="L592" s="1302"/>
      <c r="M592" s="1302"/>
      <c r="N592" s="1302"/>
      <c r="O592" s="1302"/>
      <c r="P592" s="1302"/>
      <c r="Q592" s="1302"/>
      <c r="R592" s="1302"/>
      <c r="T592" s="61" t="s">
        <v>185</v>
      </c>
      <c r="U592" t="s">
        <v>90</v>
      </c>
      <c r="Z592" s="1302">
        <f>C555</f>
        <v>0</v>
      </c>
      <c r="AA592" s="1302"/>
      <c r="AB592" s="1302"/>
      <c r="AC592" s="1302"/>
      <c r="AD592" s="1302"/>
      <c r="AE592" s="1302"/>
      <c r="AF592" s="1302"/>
      <c r="AG592" s="1302"/>
      <c r="AH592" s="1302"/>
      <c r="AI592" s="1302"/>
      <c r="AJ592" s="1302"/>
      <c r="AK592" s="1302"/>
      <c r="AZ592" s="5" t="s">
        <v>819</v>
      </c>
      <c r="BA592" s="41"/>
      <c r="BB592" s="41"/>
      <c r="BC592" s="41"/>
      <c r="BD592" s="41"/>
      <c r="BE592" s="1252">
        <f t="shared" si="9"/>
        <v>0</v>
      </c>
      <c r="BF592" s="1253"/>
      <c r="BG592" s="1248">
        <f t="shared" si="7"/>
        <v>0</v>
      </c>
      <c r="BH592" s="1251"/>
      <c r="BI592" s="1252">
        <f t="shared" si="10"/>
        <v>1</v>
      </c>
      <c r="BJ592" s="1253"/>
      <c r="BK592" s="1248">
        <f t="shared" si="8"/>
        <v>1</v>
      </c>
      <c r="BL592" s="1251"/>
      <c r="BN592" s="1248">
        <f t="shared" si="1"/>
        <v>0</v>
      </c>
      <c r="BO592" s="1249"/>
      <c r="BP592" s="1249"/>
      <c r="BQ592" s="1249"/>
      <c r="BR592" s="1250"/>
      <c r="BS592" s="1248">
        <f t="shared" si="2"/>
        <v>2</v>
      </c>
      <c r="BT592" s="1249"/>
      <c r="BU592" s="1249"/>
      <c r="BV592" s="1249"/>
      <c r="BW592" s="1251"/>
      <c r="BX592" s="1248">
        <f t="shared" si="3"/>
        <v>0</v>
      </c>
      <c r="BY592" s="1249"/>
      <c r="BZ592" s="1249"/>
      <c r="CA592" s="1249"/>
      <c r="CB592" s="1251"/>
      <c r="CC592" s="1248">
        <f t="shared" si="4"/>
        <v>0</v>
      </c>
      <c r="CD592" s="1249"/>
      <c r="CE592" s="1249"/>
      <c r="CF592" s="1249"/>
      <c r="CG592" s="1251"/>
      <c r="CH592" s="1248">
        <f t="shared" si="5"/>
        <v>0</v>
      </c>
      <c r="CI592" s="1249"/>
      <c r="CJ592" s="1249"/>
      <c r="CK592" s="1249"/>
      <c r="CL592" s="1251"/>
      <c r="CM592" s="1248">
        <f t="shared" si="6"/>
        <v>0</v>
      </c>
      <c r="CN592" s="1249"/>
      <c r="CO592" s="1249"/>
      <c r="CP592" s="1249"/>
      <c r="CQ592" s="1251"/>
      <c r="CS592" s="1508">
        <f t="shared" si="11"/>
        <v>0</v>
      </c>
      <c r="CT592" s="1509"/>
      <c r="CU592" s="1509"/>
      <c r="CV592" s="1509"/>
      <c r="CW592" s="1510"/>
      <c r="CX592" s="1508">
        <f t="shared" si="12"/>
        <v>1</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2.95" customHeight="1">
      <c r="A593" s="4"/>
      <c r="B593" t="s">
        <v>397</v>
      </c>
      <c r="G593" s="1095"/>
      <c r="H593" s="1095"/>
      <c r="I593" s="1095"/>
      <c r="J593" s="1095"/>
      <c r="K593" s="1095"/>
      <c r="L593" s="1095"/>
      <c r="M593" s="1095"/>
      <c r="N593" s="1095"/>
      <c r="O593" s="1095"/>
      <c r="P593" s="1095"/>
      <c r="Q593" s="1095"/>
      <c r="R593" s="1095"/>
      <c r="T593" s="4"/>
      <c r="U593" t="s">
        <v>397</v>
      </c>
      <c r="Z593" s="1095"/>
      <c r="AA593" s="1095"/>
      <c r="AB593" s="1095"/>
      <c r="AC593" s="1095"/>
      <c r="AD593" s="1095"/>
      <c r="AE593" s="1095"/>
      <c r="AF593" s="1095"/>
      <c r="AG593" s="1095"/>
      <c r="AH593" s="1095"/>
      <c r="AI593" s="1095"/>
      <c r="AJ593" s="1095"/>
      <c r="AK593" s="1095"/>
      <c r="AZ593" s="5" t="s">
        <v>366</v>
      </c>
      <c r="BA593" s="41"/>
      <c r="BB593" s="41"/>
      <c r="BC593" s="41"/>
      <c r="BD593" s="41"/>
      <c r="BE593" s="1252">
        <f t="shared" si="9"/>
        <v>1</v>
      </c>
      <c r="BF593" s="1253"/>
      <c r="BG593" s="1248">
        <f t="shared" si="7"/>
        <v>2</v>
      </c>
      <c r="BH593" s="1251"/>
      <c r="BI593" s="1252">
        <f t="shared" si="10"/>
        <v>0</v>
      </c>
      <c r="BJ593" s="1253"/>
      <c r="BK593" s="1248">
        <f t="shared" si="8"/>
        <v>0</v>
      </c>
      <c r="BL593" s="1251"/>
      <c r="BN593" s="1248">
        <f t="shared" si="1"/>
        <v>0</v>
      </c>
      <c r="BO593" s="1249"/>
      <c r="BP593" s="1249"/>
      <c r="BQ593" s="1249"/>
      <c r="BR593" s="1250"/>
      <c r="BS593" s="1248">
        <f t="shared" si="2"/>
        <v>5</v>
      </c>
      <c r="BT593" s="1249"/>
      <c r="BU593" s="1249"/>
      <c r="BV593" s="1249"/>
      <c r="BW593" s="1251"/>
      <c r="BX593" s="1248">
        <f t="shared" si="3"/>
        <v>0</v>
      </c>
      <c r="BY593" s="1249"/>
      <c r="BZ593" s="1249"/>
      <c r="CA593" s="1249"/>
      <c r="CB593" s="1251"/>
      <c r="CC593" s="1248">
        <f t="shared" si="4"/>
        <v>0</v>
      </c>
      <c r="CD593" s="1249"/>
      <c r="CE593" s="1249"/>
      <c r="CF593" s="1249"/>
      <c r="CG593" s="1251"/>
      <c r="CH593" s="1248">
        <f t="shared" si="5"/>
        <v>0</v>
      </c>
      <c r="CI593" s="1249"/>
      <c r="CJ593" s="1249"/>
      <c r="CK593" s="1249"/>
      <c r="CL593" s="1251"/>
      <c r="CM593" s="1248">
        <f t="shared" si="6"/>
        <v>0</v>
      </c>
      <c r="CN593" s="1249"/>
      <c r="CO593" s="1249"/>
      <c r="CP593" s="1249"/>
      <c r="CQ593" s="1251"/>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2.95" customHeight="1">
      <c r="A594" s="4"/>
      <c r="B594" t="s">
        <v>459</v>
      </c>
      <c r="G594" s="1095"/>
      <c r="H594" s="1095"/>
      <c r="I594" s="1095"/>
      <c r="J594" s="1095"/>
      <c r="K594" s="1095"/>
      <c r="L594" s="1095"/>
      <c r="M594" s="1095"/>
      <c r="N594" s="1095"/>
      <c r="O594" s="1095"/>
      <c r="P594" s="1095"/>
      <c r="Q594" s="1095"/>
      <c r="R594" s="1095"/>
      <c r="T594" s="4"/>
      <c r="U594" t="s">
        <v>459</v>
      </c>
      <c r="Z594" s="1096"/>
      <c r="AA594" s="1096"/>
      <c r="AB594" s="1096"/>
      <c r="AC594" s="1096"/>
      <c r="AD594" s="1096"/>
      <c r="AE594" s="1096"/>
      <c r="AF594" s="1096"/>
      <c r="AG594" s="1096"/>
      <c r="AH594" s="1096"/>
      <c r="AI594" s="1096"/>
      <c r="AJ594" s="1096"/>
      <c r="AK594" s="1096"/>
      <c r="AZ594" s="41"/>
      <c r="BA594" s="41"/>
      <c r="BB594" s="41"/>
      <c r="BC594" s="41"/>
      <c r="BD594" s="41"/>
      <c r="BE594" s="1252">
        <f t="shared" si="9"/>
        <v>0</v>
      </c>
      <c r="BF594" s="1253"/>
      <c r="BG594" s="1248">
        <f t="shared" si="7"/>
        <v>0</v>
      </c>
      <c r="BH594" s="1251"/>
      <c r="BI594" s="1252">
        <f t="shared" si="10"/>
        <v>0</v>
      </c>
      <c r="BJ594" s="1253"/>
      <c r="BK594" s="1248">
        <f t="shared" si="8"/>
        <v>0</v>
      </c>
      <c r="BL594" s="1251"/>
      <c r="BN594" s="1248">
        <f t="shared" si="1"/>
        <v>0</v>
      </c>
      <c r="BO594" s="1249"/>
      <c r="BP594" s="1249"/>
      <c r="BQ594" s="1249"/>
      <c r="BR594" s="1250"/>
      <c r="BS594" s="1248">
        <f t="shared" si="2"/>
        <v>0</v>
      </c>
      <c r="BT594" s="1249"/>
      <c r="BU594" s="1249"/>
      <c r="BV594" s="1249"/>
      <c r="BW594" s="1251"/>
      <c r="BX594" s="1248">
        <f t="shared" si="3"/>
        <v>1</v>
      </c>
      <c r="BY594" s="1249"/>
      <c r="BZ594" s="1249"/>
      <c r="CA594" s="1249"/>
      <c r="CB594" s="1251"/>
      <c r="CC594" s="1248">
        <f t="shared" si="4"/>
        <v>0</v>
      </c>
      <c r="CD594" s="1249"/>
      <c r="CE594" s="1249"/>
      <c r="CF594" s="1249"/>
      <c r="CG594" s="1251"/>
      <c r="CH594" s="1248">
        <f t="shared" si="5"/>
        <v>0</v>
      </c>
      <c r="CI594" s="1249"/>
      <c r="CJ594" s="1249"/>
      <c r="CK594" s="1249"/>
      <c r="CL594" s="1251"/>
      <c r="CM594" s="1248">
        <f t="shared" si="6"/>
        <v>0</v>
      </c>
      <c r="CN594" s="1249"/>
      <c r="CO594" s="1249"/>
      <c r="CP594" s="1249"/>
      <c r="CQ594" s="1251"/>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2.95" customHeight="1">
      <c r="A595" s="4"/>
      <c r="B595" t="s">
        <v>874</v>
      </c>
      <c r="G595" s="1095"/>
      <c r="H595" s="1095"/>
      <c r="I595" s="1095"/>
      <c r="J595" s="1095"/>
      <c r="K595" s="1095"/>
      <c r="L595" s="1095"/>
      <c r="M595" s="1095"/>
      <c r="N595" s="1095"/>
      <c r="O595" s="1095"/>
      <c r="P595" s="1095"/>
      <c r="Q595" s="1095"/>
      <c r="R595" s="1095"/>
      <c r="T595" s="4"/>
      <c r="U595" t="s">
        <v>874</v>
      </c>
      <c r="Z595" s="1096"/>
      <c r="AA595" s="1096"/>
      <c r="AB595" s="1096"/>
      <c r="AC595" s="1096"/>
      <c r="AD595" s="1096"/>
      <c r="AE595" s="1096"/>
      <c r="AF595" s="1096"/>
      <c r="AG595" s="1096"/>
      <c r="AH595" s="1096"/>
      <c r="AI595" s="1096"/>
      <c r="AJ595" s="1096"/>
      <c r="AK595" s="1096"/>
      <c r="AZ595" s="41"/>
      <c r="BA595" s="41"/>
      <c r="BB595" s="41"/>
      <c r="BC595" s="41"/>
      <c r="BD595" s="41"/>
      <c r="BE595" s="1252">
        <f t="shared" si="9"/>
        <v>0</v>
      </c>
      <c r="BF595" s="1253"/>
      <c r="BG595" s="1248">
        <f t="shared" si="7"/>
        <v>0</v>
      </c>
      <c r="BH595" s="1251"/>
      <c r="BI595" s="1252">
        <f t="shared" si="10"/>
        <v>1</v>
      </c>
      <c r="BJ595" s="1253"/>
      <c r="BK595" s="1248">
        <f t="shared" si="8"/>
        <v>1</v>
      </c>
      <c r="BL595" s="1251"/>
      <c r="BN595" s="1248">
        <f t="shared" si="1"/>
        <v>0</v>
      </c>
      <c r="BO595" s="1249"/>
      <c r="BP595" s="1249"/>
      <c r="BQ595" s="1249"/>
      <c r="BR595" s="1250"/>
      <c r="BS595" s="1248">
        <f t="shared" si="2"/>
        <v>0</v>
      </c>
      <c r="BT595" s="1249"/>
      <c r="BU595" s="1249"/>
      <c r="BV595" s="1249"/>
      <c r="BW595" s="1251"/>
      <c r="BX595" s="1248">
        <f t="shared" si="3"/>
        <v>3</v>
      </c>
      <c r="BY595" s="1249"/>
      <c r="BZ595" s="1249"/>
      <c r="CA595" s="1249"/>
      <c r="CB595" s="1251"/>
      <c r="CC595" s="1248">
        <f t="shared" si="4"/>
        <v>0</v>
      </c>
      <c r="CD595" s="1249"/>
      <c r="CE595" s="1249"/>
      <c r="CF595" s="1249"/>
      <c r="CG595" s="1251"/>
      <c r="CH595" s="1248">
        <f t="shared" si="5"/>
        <v>0</v>
      </c>
      <c r="CI595" s="1249"/>
      <c r="CJ595" s="1249"/>
      <c r="CK595" s="1249"/>
      <c r="CL595" s="1251"/>
      <c r="CM595" s="1248">
        <f t="shared" si="6"/>
        <v>0</v>
      </c>
      <c r="CN595" s="1249"/>
      <c r="CO595" s="1249"/>
      <c r="CP595" s="1249"/>
      <c r="CQ595" s="1251"/>
      <c r="CS595" s="1508">
        <f t="shared" si="11"/>
        <v>0</v>
      </c>
      <c r="CT595" s="1509"/>
      <c r="CU595" s="1509"/>
      <c r="CV595" s="1509"/>
      <c r="CW595" s="1510"/>
      <c r="CX595" s="1508">
        <f t="shared" si="12"/>
        <v>0</v>
      </c>
      <c r="CY595" s="1509"/>
      <c r="CZ595" s="1509"/>
      <c r="DA595" s="1509"/>
      <c r="DB595" s="1510"/>
      <c r="DC595" s="1508">
        <f t="shared" si="13"/>
        <v>1</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2.95" customHeight="1">
      <c r="A596" s="4"/>
      <c r="B596" t="s">
        <v>686</v>
      </c>
      <c r="G596" s="1119"/>
      <c r="H596" s="1119"/>
      <c r="I596" s="1119"/>
      <c r="J596" s="1119"/>
      <c r="K596" s="1119"/>
      <c r="L596" s="1119"/>
      <c r="O596" s="42" t="s">
        <v>859</v>
      </c>
      <c r="P596" s="1291"/>
      <c r="Q596" s="1291"/>
      <c r="R596" s="1291"/>
      <c r="T596" s="4"/>
      <c r="U596" t="s">
        <v>686</v>
      </c>
      <c r="Z596" s="1119"/>
      <c r="AA596" s="1119"/>
      <c r="AB596" s="1119"/>
      <c r="AC596" s="1119"/>
      <c r="AD596" s="1119"/>
      <c r="AE596" s="1119"/>
      <c r="AH596" s="42" t="s">
        <v>859</v>
      </c>
      <c r="AI596" s="1291"/>
      <c r="AJ596" s="1291"/>
      <c r="AK596" s="1291"/>
      <c r="AZ596" s="41"/>
      <c r="BA596" s="41"/>
      <c r="BB596" s="41"/>
      <c r="BC596" s="41"/>
      <c r="BD596" s="41"/>
      <c r="BE596" s="1252">
        <f t="shared" si="9"/>
        <v>0</v>
      </c>
      <c r="BF596" s="1253"/>
      <c r="BG596" s="1248">
        <f t="shared" si="7"/>
        <v>0</v>
      </c>
      <c r="BH596" s="1251"/>
      <c r="BI596" s="1252">
        <f t="shared" si="10"/>
        <v>0</v>
      </c>
      <c r="BJ596" s="1253"/>
      <c r="BK596" s="1248">
        <f t="shared" si="8"/>
        <v>0</v>
      </c>
      <c r="BL596" s="1251"/>
      <c r="BN596" s="1248">
        <f t="shared" si="1"/>
        <v>0</v>
      </c>
      <c r="BO596" s="1249"/>
      <c r="BP596" s="1249"/>
      <c r="BQ596" s="1249"/>
      <c r="BR596" s="1250"/>
      <c r="BS596" s="1248">
        <f t="shared" si="2"/>
        <v>0</v>
      </c>
      <c r="BT596" s="1249"/>
      <c r="BU596" s="1249"/>
      <c r="BV596" s="1249"/>
      <c r="BW596" s="1251"/>
      <c r="BX596" s="1248">
        <f t="shared" si="3"/>
        <v>0</v>
      </c>
      <c r="BY596" s="1249"/>
      <c r="BZ596" s="1249"/>
      <c r="CA596" s="1249"/>
      <c r="CB596" s="1251"/>
      <c r="CC596" s="1248">
        <f t="shared" si="4"/>
        <v>0</v>
      </c>
      <c r="CD596" s="1249"/>
      <c r="CE596" s="1249"/>
      <c r="CF596" s="1249"/>
      <c r="CG596" s="1251"/>
      <c r="CH596" s="1248">
        <f t="shared" si="5"/>
        <v>0</v>
      </c>
      <c r="CI596" s="1249"/>
      <c r="CJ596" s="1249"/>
      <c r="CK596" s="1249"/>
      <c r="CL596" s="1251"/>
      <c r="CM596" s="1248">
        <f t="shared" si="6"/>
        <v>0</v>
      </c>
      <c r="CN596" s="1249"/>
      <c r="CO596" s="1249"/>
      <c r="CP596" s="1249"/>
      <c r="CQ596" s="1251"/>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2.95" customHeight="1">
      <c r="A597" s="4"/>
      <c r="B597" t="s">
        <v>875</v>
      </c>
      <c r="C597"/>
      <c r="D597"/>
      <c r="E597"/>
      <c r="F597"/>
      <c r="G597"/>
      <c r="H597" s="1095"/>
      <c r="I597" s="1095"/>
      <c r="J597" s="1095"/>
      <c r="K597" s="1095"/>
      <c r="L597" s="1095"/>
      <c r="M597" s="1095"/>
      <c r="N597" s="1095"/>
      <c r="O597" s="1095"/>
      <c r="P597" s="1095"/>
      <c r="Q597" s="1095"/>
      <c r="R597" s="1095"/>
      <c r="S597"/>
      <c r="T597" s="4"/>
      <c r="U597" t="s">
        <v>875</v>
      </c>
      <c r="V597"/>
      <c r="W597"/>
      <c r="X597"/>
      <c r="Y597"/>
      <c r="Z597"/>
      <c r="AA597" s="1095"/>
      <c r="AB597" s="1095"/>
      <c r="AC597" s="1095"/>
      <c r="AD597" s="1095"/>
      <c r="AE597" s="1095"/>
      <c r="AF597" s="1095"/>
      <c r="AG597" s="1095"/>
      <c r="AH597" s="1095"/>
      <c r="AI597" s="1095"/>
      <c r="AJ597" s="1095"/>
      <c r="AK597" s="1095"/>
      <c r="AL597"/>
      <c r="AZ597" s="41"/>
      <c r="BA597" s="41"/>
      <c r="BB597" s="41"/>
      <c r="BC597" s="41"/>
      <c r="BD597" s="41"/>
      <c r="BE597" s="1252">
        <f t="shared" si="9"/>
        <v>0</v>
      </c>
      <c r="BF597" s="1253"/>
      <c r="BG597" s="1248">
        <f t="shared" si="7"/>
        <v>0</v>
      </c>
      <c r="BH597" s="1251"/>
      <c r="BI597" s="1252">
        <f t="shared" si="10"/>
        <v>0</v>
      </c>
      <c r="BJ597" s="1253"/>
      <c r="BK597" s="1248">
        <f t="shared" si="8"/>
        <v>0</v>
      </c>
      <c r="BL597" s="1251"/>
      <c r="BN597" s="1248">
        <f t="shared" si="1"/>
        <v>0</v>
      </c>
      <c r="BO597" s="1249"/>
      <c r="BP597" s="1249"/>
      <c r="BQ597" s="1249"/>
      <c r="BR597" s="1250"/>
      <c r="BS597" s="1248">
        <f t="shared" si="2"/>
        <v>0</v>
      </c>
      <c r="BT597" s="1249"/>
      <c r="BU597" s="1249"/>
      <c r="BV597" s="1249"/>
      <c r="BW597" s="1251"/>
      <c r="BX597" s="1248">
        <f t="shared" si="3"/>
        <v>0</v>
      </c>
      <c r="BY597" s="1249"/>
      <c r="BZ597" s="1249"/>
      <c r="CA597" s="1249"/>
      <c r="CB597" s="1251"/>
      <c r="CC597" s="1248">
        <f t="shared" si="4"/>
        <v>0</v>
      </c>
      <c r="CD597" s="1249"/>
      <c r="CE597" s="1249"/>
      <c r="CF597" s="1249"/>
      <c r="CG597" s="1251"/>
      <c r="CH597" s="1248">
        <f t="shared" si="5"/>
        <v>0</v>
      </c>
      <c r="CI597" s="1249"/>
      <c r="CJ597" s="1249"/>
      <c r="CK597" s="1249"/>
      <c r="CL597" s="1251"/>
      <c r="CM597" s="1248">
        <f t="shared" si="6"/>
        <v>0</v>
      </c>
      <c r="CN597" s="1249"/>
      <c r="CO597" s="1249"/>
      <c r="CP597" s="1249"/>
      <c r="CQ597" s="1251"/>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2.95" customHeight="1">
      <c r="A598" s="4"/>
      <c r="B598" t="s">
        <v>877</v>
      </c>
      <c r="C598"/>
      <c r="D598"/>
      <c r="E598"/>
      <c r="F598"/>
      <c r="G598"/>
      <c r="H598"/>
      <c r="I598"/>
      <c r="J598"/>
      <c r="K598"/>
      <c r="L598"/>
      <c r="M598"/>
      <c r="N598" s="1110" t="s">
        <v>511</v>
      </c>
      <c r="O598" s="1110"/>
      <c r="P598"/>
      <c r="Q598"/>
      <c r="R598"/>
      <c r="S598"/>
      <c r="T598" s="4"/>
      <c r="U598" t="s">
        <v>877</v>
      </c>
      <c r="V598"/>
      <c r="W598"/>
      <c r="X598"/>
      <c r="Y598"/>
      <c r="Z598"/>
      <c r="AA598"/>
      <c r="AB598"/>
      <c r="AC598"/>
      <c r="AD598"/>
      <c r="AE598"/>
      <c r="AF598"/>
      <c r="AG598" s="1110" t="s">
        <v>511</v>
      </c>
      <c r="AH598" s="1110"/>
      <c r="AI598"/>
      <c r="AJ598"/>
      <c r="AK598"/>
      <c r="AL598"/>
      <c r="AZ598" s="41"/>
      <c r="BA598" s="41"/>
      <c r="BB598" s="41"/>
      <c r="BC598" s="41"/>
      <c r="BD598" s="41"/>
      <c r="BE598" s="1252">
        <f t="shared" si="9"/>
        <v>0</v>
      </c>
      <c r="BF598" s="1253"/>
      <c r="BG598" s="1248">
        <f t="shared" si="7"/>
        <v>0</v>
      </c>
      <c r="BH598" s="1251"/>
      <c r="BI598" s="1252">
        <f t="shared" si="10"/>
        <v>0</v>
      </c>
      <c r="BJ598" s="1253"/>
      <c r="BK598" s="1248">
        <f t="shared" si="8"/>
        <v>0</v>
      </c>
      <c r="BL598" s="1251"/>
      <c r="BN598" s="1248">
        <f t="shared" si="1"/>
        <v>0</v>
      </c>
      <c r="BO598" s="1249"/>
      <c r="BP598" s="1249"/>
      <c r="BQ598" s="1249"/>
      <c r="BR598" s="1250"/>
      <c r="BS598" s="1248">
        <f t="shared" si="2"/>
        <v>0</v>
      </c>
      <c r="BT598" s="1249"/>
      <c r="BU598" s="1249"/>
      <c r="BV598" s="1249"/>
      <c r="BW598" s="1251"/>
      <c r="BX598" s="1248">
        <f t="shared" si="3"/>
        <v>0</v>
      </c>
      <c r="BY598" s="1249"/>
      <c r="BZ598" s="1249"/>
      <c r="CA598" s="1249"/>
      <c r="CB598" s="1251"/>
      <c r="CC598" s="1248">
        <f t="shared" si="4"/>
        <v>0</v>
      </c>
      <c r="CD598" s="1249"/>
      <c r="CE598" s="1249"/>
      <c r="CF598" s="1249"/>
      <c r="CG598" s="1251"/>
      <c r="CH598" s="1248">
        <f t="shared" si="5"/>
        <v>0</v>
      </c>
      <c r="CI598" s="1249"/>
      <c r="CJ598" s="1249"/>
      <c r="CK598" s="1249"/>
      <c r="CL598" s="1251"/>
      <c r="CM598" s="1248">
        <f t="shared" si="6"/>
        <v>0</v>
      </c>
      <c r="CN598" s="1249"/>
      <c r="CO598" s="1249"/>
      <c r="CP598" s="1249"/>
      <c r="CQ598" s="1251"/>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2">
        <f t="shared" si="9"/>
        <v>0</v>
      </c>
      <c r="BF599" s="1253"/>
      <c r="BG599" s="1248">
        <f t="shared" si="7"/>
        <v>0</v>
      </c>
      <c r="BH599" s="1251"/>
      <c r="BI599" s="1252">
        <f t="shared" si="10"/>
        <v>0</v>
      </c>
      <c r="BJ599" s="1253"/>
      <c r="BK599" s="1248">
        <f t="shared" si="8"/>
        <v>0</v>
      </c>
      <c r="BL599" s="1251"/>
      <c r="BN599" s="1248">
        <f t="shared" si="1"/>
        <v>0</v>
      </c>
      <c r="BO599" s="1249"/>
      <c r="BP599" s="1249"/>
      <c r="BQ599" s="1249"/>
      <c r="BR599" s="1250"/>
      <c r="BS599" s="1248">
        <f t="shared" si="2"/>
        <v>0</v>
      </c>
      <c r="BT599" s="1249"/>
      <c r="BU599" s="1249"/>
      <c r="BV599" s="1249"/>
      <c r="BW599" s="1251"/>
      <c r="BX599" s="1248">
        <f t="shared" si="3"/>
        <v>0</v>
      </c>
      <c r="BY599" s="1249"/>
      <c r="BZ599" s="1249"/>
      <c r="CA599" s="1249"/>
      <c r="CB599" s="1251"/>
      <c r="CC599" s="1248">
        <f t="shared" si="4"/>
        <v>0</v>
      </c>
      <c r="CD599" s="1249"/>
      <c r="CE599" s="1249"/>
      <c r="CF599" s="1249"/>
      <c r="CG599" s="1251"/>
      <c r="CH599" s="1248">
        <f t="shared" si="5"/>
        <v>0</v>
      </c>
      <c r="CI599" s="1249"/>
      <c r="CJ599" s="1249"/>
      <c r="CK599" s="1249"/>
      <c r="CL599" s="1251"/>
      <c r="CM599" s="1248">
        <f t="shared" si="6"/>
        <v>0</v>
      </c>
      <c r="CN599" s="1249"/>
      <c r="CO599" s="1249"/>
      <c r="CP599" s="1249"/>
      <c r="CQ599" s="1251"/>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2.95" customHeight="1">
      <c r="A600" s="61" t="s">
        <v>36</v>
      </c>
      <c r="B600" t="s">
        <v>90</v>
      </c>
      <c r="G600" s="1302">
        <f>C556</f>
        <v>0</v>
      </c>
      <c r="H600" s="1302"/>
      <c r="I600" s="1302"/>
      <c r="J600" s="1302"/>
      <c r="K600" s="1302"/>
      <c r="L600" s="1302"/>
      <c r="M600" s="1302"/>
      <c r="N600" s="1302"/>
      <c r="O600" s="1302"/>
      <c r="P600" s="1302"/>
      <c r="Q600" s="1302"/>
      <c r="R600" s="1302"/>
      <c r="T600" s="61" t="s">
        <v>37</v>
      </c>
      <c r="U600" t="s">
        <v>90</v>
      </c>
      <c r="Z600" s="1302">
        <f>C557</f>
        <v>0</v>
      </c>
      <c r="AA600" s="1302"/>
      <c r="AB600" s="1302"/>
      <c r="AC600" s="1302"/>
      <c r="AD600" s="1302"/>
      <c r="AE600" s="1302"/>
      <c r="AF600" s="1302"/>
      <c r="AG600" s="1302"/>
      <c r="AH600" s="1302"/>
      <c r="AI600" s="1302"/>
      <c r="AJ600" s="1302"/>
      <c r="AK600" s="1302"/>
      <c r="AZ600" s="41"/>
      <c r="BA600" s="41"/>
      <c r="BB600" s="41"/>
      <c r="BC600" s="41"/>
      <c r="BD600" s="41"/>
      <c r="BE600" s="1252">
        <f t="shared" si="9"/>
        <v>0</v>
      </c>
      <c r="BF600" s="1253"/>
      <c r="BG600" s="1248">
        <f t="shared" si="7"/>
        <v>0</v>
      </c>
      <c r="BH600" s="1251"/>
      <c r="BI600" s="1252">
        <f t="shared" si="10"/>
        <v>0</v>
      </c>
      <c r="BJ600" s="1253"/>
      <c r="BK600" s="1248">
        <f t="shared" si="8"/>
        <v>0</v>
      </c>
      <c r="BL600" s="1251"/>
      <c r="BN600" s="1248">
        <f t="shared" si="1"/>
        <v>0</v>
      </c>
      <c r="BO600" s="1249"/>
      <c r="BP600" s="1249"/>
      <c r="BQ600" s="1249"/>
      <c r="BR600" s="1250"/>
      <c r="BS600" s="1248">
        <f t="shared" si="2"/>
        <v>0</v>
      </c>
      <c r="BT600" s="1249"/>
      <c r="BU600" s="1249"/>
      <c r="BV600" s="1249"/>
      <c r="BW600" s="1251"/>
      <c r="BX600" s="1248">
        <f t="shared" si="3"/>
        <v>0</v>
      </c>
      <c r="BY600" s="1249"/>
      <c r="BZ600" s="1249"/>
      <c r="CA600" s="1249"/>
      <c r="CB600" s="1251"/>
      <c r="CC600" s="1248">
        <f t="shared" si="4"/>
        <v>0</v>
      </c>
      <c r="CD600" s="1249"/>
      <c r="CE600" s="1249"/>
      <c r="CF600" s="1249"/>
      <c r="CG600" s="1251"/>
      <c r="CH600" s="1248">
        <f t="shared" si="5"/>
        <v>0</v>
      </c>
      <c r="CI600" s="1249"/>
      <c r="CJ600" s="1249"/>
      <c r="CK600" s="1249"/>
      <c r="CL600" s="1251"/>
      <c r="CM600" s="1248">
        <f t="shared" si="6"/>
        <v>0</v>
      </c>
      <c r="CN600" s="1249"/>
      <c r="CO600" s="1249"/>
      <c r="CP600" s="1249"/>
      <c r="CQ600" s="1251"/>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2.95" customHeight="1">
      <c r="B601" t="s">
        <v>397</v>
      </c>
      <c r="G601" s="1095"/>
      <c r="H601" s="1095"/>
      <c r="I601" s="1095"/>
      <c r="J601" s="1095"/>
      <c r="K601" s="1095"/>
      <c r="L601" s="1095"/>
      <c r="M601" s="1095"/>
      <c r="N601" s="1095"/>
      <c r="O601" s="1095"/>
      <c r="P601" s="1095"/>
      <c r="Q601" s="1095"/>
      <c r="R601" s="1095"/>
      <c r="U601" t="s">
        <v>397</v>
      </c>
      <c r="Z601" s="1095"/>
      <c r="AA601" s="1095"/>
      <c r="AB601" s="1095"/>
      <c r="AC601" s="1095"/>
      <c r="AD601" s="1095"/>
      <c r="AE601" s="1095"/>
      <c r="AF601" s="1095"/>
      <c r="AG601" s="1095"/>
      <c r="AH601" s="1095"/>
      <c r="AI601" s="1095"/>
      <c r="AJ601" s="1095"/>
      <c r="AK601" s="1095"/>
      <c r="AZ601" s="41"/>
      <c r="BA601" s="41"/>
      <c r="BB601" s="41"/>
      <c r="BC601" s="41"/>
      <c r="BD601" s="41"/>
      <c r="BE601" s="1252">
        <f t="shared" si="9"/>
        <v>0</v>
      </c>
      <c r="BF601" s="1253"/>
      <c r="BG601" s="1248">
        <f t="shared" si="7"/>
        <v>0</v>
      </c>
      <c r="BH601" s="1251"/>
      <c r="BI601" s="1252">
        <f t="shared" si="10"/>
        <v>0</v>
      </c>
      <c r="BJ601" s="1253"/>
      <c r="BK601" s="1248">
        <f t="shared" si="8"/>
        <v>0</v>
      </c>
      <c r="BL601" s="1251"/>
      <c r="BN601" s="1248">
        <f t="shared" si="1"/>
        <v>0</v>
      </c>
      <c r="BO601" s="1249"/>
      <c r="BP601" s="1249"/>
      <c r="BQ601" s="1249"/>
      <c r="BR601" s="1250"/>
      <c r="BS601" s="1248">
        <f t="shared" si="2"/>
        <v>0</v>
      </c>
      <c r="BT601" s="1249"/>
      <c r="BU601" s="1249"/>
      <c r="BV601" s="1249"/>
      <c r="BW601" s="1251"/>
      <c r="BX601" s="1248">
        <f t="shared" si="3"/>
        <v>0</v>
      </c>
      <c r="BY601" s="1249"/>
      <c r="BZ601" s="1249"/>
      <c r="CA601" s="1249"/>
      <c r="CB601" s="1251"/>
      <c r="CC601" s="1248">
        <f t="shared" si="4"/>
        <v>0</v>
      </c>
      <c r="CD601" s="1249"/>
      <c r="CE601" s="1249"/>
      <c r="CF601" s="1249"/>
      <c r="CG601" s="1251"/>
      <c r="CH601" s="1248">
        <f t="shared" si="5"/>
        <v>0</v>
      </c>
      <c r="CI601" s="1249"/>
      <c r="CJ601" s="1249"/>
      <c r="CK601" s="1249"/>
      <c r="CL601" s="1251"/>
      <c r="CM601" s="1248">
        <f t="shared" si="6"/>
        <v>0</v>
      </c>
      <c r="CN601" s="1249"/>
      <c r="CO601" s="1249"/>
      <c r="CP601" s="1249"/>
      <c r="CQ601" s="1251"/>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2.95" customHeight="1">
      <c r="B602" t="s">
        <v>459</v>
      </c>
      <c r="G602" s="1095"/>
      <c r="H602" s="1095"/>
      <c r="I602" s="1095"/>
      <c r="J602" s="1095"/>
      <c r="K602" s="1095"/>
      <c r="L602" s="1095"/>
      <c r="M602" s="1095"/>
      <c r="N602" s="1095"/>
      <c r="O602" s="1095"/>
      <c r="P602" s="1095"/>
      <c r="Q602" s="1095"/>
      <c r="R602" s="1095"/>
      <c r="U602" t="s">
        <v>459</v>
      </c>
      <c r="Z602" s="1096"/>
      <c r="AA602" s="1096"/>
      <c r="AB602" s="1096"/>
      <c r="AC602" s="1096"/>
      <c r="AD602" s="1096"/>
      <c r="AE602" s="1096"/>
      <c r="AF602" s="1096"/>
      <c r="AG602" s="1096"/>
      <c r="AH602" s="1096"/>
      <c r="AI602" s="1096"/>
      <c r="AJ602" s="1096"/>
      <c r="AK602" s="1096"/>
      <c r="AL602" s="306"/>
      <c r="BA602" s="41"/>
      <c r="BB602" s="41"/>
      <c r="BC602" s="41"/>
      <c r="BD602" s="41"/>
      <c r="BE602" s="1252">
        <f t="shared" si="9"/>
        <v>0</v>
      </c>
      <c r="BF602" s="1253"/>
      <c r="BG602" s="1248">
        <f t="shared" si="7"/>
        <v>0</v>
      </c>
      <c r="BH602" s="1251"/>
      <c r="BI602" s="1252">
        <f t="shared" si="10"/>
        <v>0</v>
      </c>
      <c r="BJ602" s="1253"/>
      <c r="BK602" s="1248">
        <f t="shared" si="8"/>
        <v>0</v>
      </c>
      <c r="BL602" s="1251"/>
      <c r="BN602" s="1248">
        <f t="shared" si="1"/>
        <v>0</v>
      </c>
      <c r="BO602" s="1249"/>
      <c r="BP602" s="1249"/>
      <c r="BQ602" s="1249"/>
      <c r="BR602" s="1250"/>
      <c r="BS602" s="1248">
        <f t="shared" si="2"/>
        <v>0</v>
      </c>
      <c r="BT602" s="1249"/>
      <c r="BU602" s="1249"/>
      <c r="BV602" s="1249"/>
      <c r="BW602" s="1251"/>
      <c r="BX602" s="1248">
        <f t="shared" si="3"/>
        <v>0</v>
      </c>
      <c r="BY602" s="1249"/>
      <c r="BZ602" s="1249"/>
      <c r="CA602" s="1249"/>
      <c r="CB602" s="1251"/>
      <c r="CC602" s="1248">
        <f t="shared" si="4"/>
        <v>0</v>
      </c>
      <c r="CD602" s="1249"/>
      <c r="CE602" s="1249"/>
      <c r="CF602" s="1249"/>
      <c r="CG602" s="1251"/>
      <c r="CH602" s="1248">
        <f t="shared" si="5"/>
        <v>0</v>
      </c>
      <c r="CI602" s="1249"/>
      <c r="CJ602" s="1249"/>
      <c r="CK602" s="1249"/>
      <c r="CL602" s="1251"/>
      <c r="CM602" s="1248">
        <f t="shared" si="6"/>
        <v>0</v>
      </c>
      <c r="CN602" s="1249"/>
      <c r="CO602" s="1249"/>
      <c r="CP602" s="1249"/>
      <c r="CQ602" s="1251"/>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2.95" customHeight="1">
      <c r="B603" t="s">
        <v>874</v>
      </c>
      <c r="G603" s="1095"/>
      <c r="H603" s="1095"/>
      <c r="I603" s="1095"/>
      <c r="J603" s="1095"/>
      <c r="K603" s="1095"/>
      <c r="L603" s="1095"/>
      <c r="M603" s="1095"/>
      <c r="N603" s="1095"/>
      <c r="O603" s="1095"/>
      <c r="P603" s="1095"/>
      <c r="Q603" s="1095"/>
      <c r="R603" s="1095"/>
      <c r="U603" t="s">
        <v>874</v>
      </c>
      <c r="Z603" s="1096"/>
      <c r="AA603" s="1096"/>
      <c r="AB603" s="1096"/>
      <c r="AC603" s="1096"/>
      <c r="AD603" s="1096"/>
      <c r="AE603" s="1096"/>
      <c r="AF603" s="1096"/>
      <c r="AG603" s="1096"/>
      <c r="AH603" s="1096"/>
      <c r="AI603" s="1096"/>
      <c r="AJ603" s="1096"/>
      <c r="AK603" s="1096"/>
      <c r="AL603" s="306"/>
      <c r="BA603" s="41"/>
      <c r="BB603" s="41"/>
      <c r="BC603" s="41"/>
      <c r="BD603" s="41"/>
      <c r="BE603" s="1252">
        <f t="shared" si="9"/>
        <v>0</v>
      </c>
      <c r="BF603" s="1253"/>
      <c r="BG603" s="1248">
        <f t="shared" si="7"/>
        <v>0</v>
      </c>
      <c r="BH603" s="1251"/>
      <c r="BI603" s="1252">
        <f t="shared" si="10"/>
        <v>0</v>
      </c>
      <c r="BJ603" s="1253"/>
      <c r="BK603" s="1248">
        <f t="shared" si="8"/>
        <v>0</v>
      </c>
      <c r="BL603" s="1251"/>
      <c r="BN603" s="1248">
        <f t="shared" si="1"/>
        <v>0</v>
      </c>
      <c r="BO603" s="1249"/>
      <c r="BP603" s="1249"/>
      <c r="BQ603" s="1249"/>
      <c r="BR603" s="1250"/>
      <c r="BS603" s="1248">
        <f t="shared" si="2"/>
        <v>0</v>
      </c>
      <c r="BT603" s="1249"/>
      <c r="BU603" s="1249"/>
      <c r="BV603" s="1249"/>
      <c r="BW603" s="1251"/>
      <c r="BX603" s="1248">
        <f t="shared" si="3"/>
        <v>0</v>
      </c>
      <c r="BY603" s="1249"/>
      <c r="BZ603" s="1249"/>
      <c r="CA603" s="1249"/>
      <c r="CB603" s="1251"/>
      <c r="CC603" s="1248">
        <f t="shared" si="4"/>
        <v>0</v>
      </c>
      <c r="CD603" s="1249"/>
      <c r="CE603" s="1249"/>
      <c r="CF603" s="1249"/>
      <c r="CG603" s="1251"/>
      <c r="CH603" s="1248">
        <f t="shared" si="5"/>
        <v>0</v>
      </c>
      <c r="CI603" s="1249"/>
      <c r="CJ603" s="1249"/>
      <c r="CK603" s="1249"/>
      <c r="CL603" s="1251"/>
      <c r="CM603" s="1248">
        <f t="shared" si="6"/>
        <v>0</v>
      </c>
      <c r="CN603" s="1249"/>
      <c r="CO603" s="1249"/>
      <c r="CP603" s="1249"/>
      <c r="CQ603" s="1251"/>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2.95" customHeight="1">
      <c r="B604" t="s">
        <v>686</v>
      </c>
      <c r="G604" s="1119"/>
      <c r="H604" s="1119"/>
      <c r="I604" s="1119"/>
      <c r="J604" s="1119"/>
      <c r="K604" s="1119"/>
      <c r="L604" s="1119"/>
      <c r="O604" s="42" t="s">
        <v>859</v>
      </c>
      <c r="P604" s="1291"/>
      <c r="Q604" s="1291"/>
      <c r="R604" s="1291"/>
      <c r="U604" t="s">
        <v>686</v>
      </c>
      <c r="Z604" s="1119"/>
      <c r="AA604" s="1119"/>
      <c r="AB604" s="1119"/>
      <c r="AC604" s="1119"/>
      <c r="AD604" s="1119"/>
      <c r="AE604" s="1119"/>
      <c r="AH604" s="42" t="s">
        <v>859</v>
      </c>
      <c r="AI604" s="1291"/>
      <c r="AJ604" s="1291"/>
      <c r="AK604" s="1291"/>
      <c r="AZ604" s="41"/>
      <c r="BA604" s="41"/>
      <c r="BB604" s="41"/>
      <c r="BC604" s="41"/>
      <c r="BD604" s="41"/>
      <c r="BE604" s="1252">
        <f t="shared" si="9"/>
        <v>0</v>
      </c>
      <c r="BF604" s="1253"/>
      <c r="BG604" s="1248">
        <f t="shared" si="7"/>
        <v>0</v>
      </c>
      <c r="BH604" s="1251"/>
      <c r="BI604" s="1252">
        <f t="shared" si="10"/>
        <v>0</v>
      </c>
      <c r="BJ604" s="1253"/>
      <c r="BK604" s="1248">
        <f t="shared" si="8"/>
        <v>0</v>
      </c>
      <c r="BL604" s="1251"/>
      <c r="BN604" s="1248">
        <f t="shared" si="1"/>
        <v>0</v>
      </c>
      <c r="BO604" s="1249"/>
      <c r="BP604" s="1249"/>
      <c r="BQ604" s="1249"/>
      <c r="BR604" s="1250"/>
      <c r="BS604" s="1248">
        <f t="shared" si="2"/>
        <v>0</v>
      </c>
      <c r="BT604" s="1249"/>
      <c r="BU604" s="1249"/>
      <c r="BV604" s="1249"/>
      <c r="BW604" s="1251"/>
      <c r="BX604" s="1248">
        <f t="shared" si="3"/>
        <v>0</v>
      </c>
      <c r="BY604" s="1249"/>
      <c r="BZ604" s="1249"/>
      <c r="CA604" s="1249"/>
      <c r="CB604" s="1251"/>
      <c r="CC604" s="1248">
        <f t="shared" si="4"/>
        <v>0</v>
      </c>
      <c r="CD604" s="1249"/>
      <c r="CE604" s="1249"/>
      <c r="CF604" s="1249"/>
      <c r="CG604" s="1251"/>
      <c r="CH604" s="1248">
        <f t="shared" si="5"/>
        <v>0</v>
      </c>
      <c r="CI604" s="1249"/>
      <c r="CJ604" s="1249"/>
      <c r="CK604" s="1249"/>
      <c r="CL604" s="1251"/>
      <c r="CM604" s="1248">
        <f t="shared" si="6"/>
        <v>0</v>
      </c>
      <c r="CN604" s="1249"/>
      <c r="CO604" s="1249"/>
      <c r="CP604" s="1249"/>
      <c r="CQ604" s="1251"/>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2.95" customHeight="1">
      <c r="B605" t="s">
        <v>875</v>
      </c>
      <c r="H605" s="1095"/>
      <c r="I605" s="1095"/>
      <c r="J605" s="1095"/>
      <c r="K605" s="1095"/>
      <c r="L605" s="1095"/>
      <c r="M605" s="1095"/>
      <c r="N605" s="1095"/>
      <c r="O605" s="1095"/>
      <c r="P605" s="1095"/>
      <c r="Q605" s="1095"/>
      <c r="R605" s="1095"/>
      <c r="U605" t="s">
        <v>875</v>
      </c>
      <c r="AA605" s="1095"/>
      <c r="AB605" s="1095"/>
      <c r="AC605" s="1095"/>
      <c r="AD605" s="1095"/>
      <c r="AE605" s="1095"/>
      <c r="AF605" s="1095"/>
      <c r="AG605" s="1095"/>
      <c r="AH605" s="1095"/>
      <c r="AI605" s="1095"/>
      <c r="AJ605" s="1095"/>
      <c r="AK605" s="1095"/>
      <c r="AZ605" s="41"/>
      <c r="BA605" s="41"/>
      <c r="BB605" s="41"/>
      <c r="BC605" s="41"/>
      <c r="BD605" s="41"/>
      <c r="BE605" s="1252">
        <f t="shared" si="9"/>
        <v>0</v>
      </c>
      <c r="BF605" s="1253"/>
      <c r="BG605" s="1248">
        <f t="shared" si="7"/>
        <v>0</v>
      </c>
      <c r="BH605" s="1251"/>
      <c r="BI605" s="1252">
        <f t="shared" si="10"/>
        <v>0</v>
      </c>
      <c r="BJ605" s="1253"/>
      <c r="BK605" s="1248">
        <f t="shared" si="8"/>
        <v>0</v>
      </c>
      <c r="BL605" s="1251"/>
      <c r="BN605" s="1248">
        <f t="shared" si="1"/>
        <v>0</v>
      </c>
      <c r="BO605" s="1249"/>
      <c r="BP605" s="1249"/>
      <c r="BQ605" s="1249"/>
      <c r="BR605" s="1250"/>
      <c r="BS605" s="1248">
        <f t="shared" si="2"/>
        <v>0</v>
      </c>
      <c r="BT605" s="1249"/>
      <c r="BU605" s="1249"/>
      <c r="BV605" s="1249"/>
      <c r="BW605" s="1251"/>
      <c r="BX605" s="1248">
        <f t="shared" si="3"/>
        <v>0</v>
      </c>
      <c r="BY605" s="1249"/>
      <c r="BZ605" s="1249"/>
      <c r="CA605" s="1249"/>
      <c r="CB605" s="1251"/>
      <c r="CC605" s="1248">
        <f t="shared" si="4"/>
        <v>0</v>
      </c>
      <c r="CD605" s="1249"/>
      <c r="CE605" s="1249"/>
      <c r="CF605" s="1249"/>
      <c r="CG605" s="1251"/>
      <c r="CH605" s="1248">
        <f t="shared" si="5"/>
        <v>0</v>
      </c>
      <c r="CI605" s="1249"/>
      <c r="CJ605" s="1249"/>
      <c r="CK605" s="1249"/>
      <c r="CL605" s="1251"/>
      <c r="CM605" s="1248">
        <f t="shared" si="6"/>
        <v>0</v>
      </c>
      <c r="CN605" s="1249"/>
      <c r="CO605" s="1249"/>
      <c r="CP605" s="1249"/>
      <c r="CQ605" s="1251"/>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2.95" customHeight="1">
      <c r="B606" t="s">
        <v>877</v>
      </c>
      <c r="N606" s="1120" t="s">
        <v>511</v>
      </c>
      <c r="O606" s="1120"/>
      <c r="U606" t="s">
        <v>877</v>
      </c>
      <c r="AG606" s="1120" t="s">
        <v>511</v>
      </c>
      <c r="AH606" s="1120"/>
      <c r="AZ606" s="41"/>
      <c r="BA606" s="41"/>
      <c r="BB606" s="41"/>
      <c r="BC606" s="41"/>
      <c r="BD606" s="41"/>
      <c r="BE606" s="1252">
        <f t="shared" si="9"/>
        <v>0</v>
      </c>
      <c r="BF606" s="1253"/>
      <c r="BG606" s="1248">
        <f t="shared" si="7"/>
        <v>0</v>
      </c>
      <c r="BH606" s="1251"/>
      <c r="BI606" s="1252">
        <f t="shared" si="10"/>
        <v>0</v>
      </c>
      <c r="BJ606" s="1253"/>
      <c r="BK606" s="1248">
        <f t="shared" si="8"/>
        <v>0</v>
      </c>
      <c r="BL606" s="1251"/>
      <c r="BN606" s="1248">
        <f t="shared" si="1"/>
        <v>0</v>
      </c>
      <c r="BO606" s="1249"/>
      <c r="BP606" s="1249"/>
      <c r="BQ606" s="1249"/>
      <c r="BR606" s="1250"/>
      <c r="BS606" s="1248">
        <f t="shared" si="2"/>
        <v>0</v>
      </c>
      <c r="BT606" s="1249"/>
      <c r="BU606" s="1249"/>
      <c r="BV606" s="1249"/>
      <c r="BW606" s="1251"/>
      <c r="BX606" s="1248">
        <f t="shared" si="3"/>
        <v>0</v>
      </c>
      <c r="BY606" s="1249"/>
      <c r="BZ606" s="1249"/>
      <c r="CA606" s="1249"/>
      <c r="CB606" s="1251"/>
      <c r="CC606" s="1248">
        <f t="shared" si="4"/>
        <v>0</v>
      </c>
      <c r="CD606" s="1249"/>
      <c r="CE606" s="1249"/>
      <c r="CF606" s="1249"/>
      <c r="CG606" s="1251"/>
      <c r="CH606" s="1248">
        <f t="shared" si="5"/>
        <v>0</v>
      </c>
      <c r="CI606" s="1249"/>
      <c r="CJ606" s="1249"/>
      <c r="CK606" s="1249"/>
      <c r="CL606" s="1251"/>
      <c r="CM606" s="1248">
        <f t="shared" si="6"/>
        <v>0</v>
      </c>
      <c r="CN606" s="1249"/>
      <c r="CO606" s="1249"/>
      <c r="CP606" s="1249"/>
      <c r="CQ606" s="1251"/>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2.95" customHeight="1">
      <c r="AZ607" s="41"/>
      <c r="BA607" s="41"/>
      <c r="BB607" s="41"/>
      <c r="BC607" s="41"/>
      <c r="BD607" s="41"/>
      <c r="BE607" s="1252">
        <f t="shared" si="9"/>
        <v>0</v>
      </c>
      <c r="BF607" s="1253"/>
      <c r="BG607" s="1248">
        <f t="shared" si="7"/>
        <v>0</v>
      </c>
      <c r="BH607" s="1251"/>
      <c r="BI607" s="1252">
        <f t="shared" si="10"/>
        <v>0</v>
      </c>
      <c r="BJ607" s="1253"/>
      <c r="BK607" s="1248">
        <f t="shared" si="8"/>
        <v>0</v>
      </c>
      <c r="BL607" s="1251"/>
      <c r="BN607" s="1248">
        <f t="shared" si="1"/>
        <v>0</v>
      </c>
      <c r="BO607" s="1249"/>
      <c r="BP607" s="1249"/>
      <c r="BQ607" s="1249"/>
      <c r="BR607" s="1250"/>
      <c r="BS607" s="1248">
        <f t="shared" si="2"/>
        <v>0</v>
      </c>
      <c r="BT607" s="1249"/>
      <c r="BU607" s="1249"/>
      <c r="BV607" s="1249"/>
      <c r="BW607" s="1251"/>
      <c r="BX607" s="1248">
        <f t="shared" si="3"/>
        <v>0</v>
      </c>
      <c r="BY607" s="1249"/>
      <c r="BZ607" s="1249"/>
      <c r="CA607" s="1249"/>
      <c r="CB607" s="1251"/>
      <c r="CC607" s="1248">
        <f t="shared" si="4"/>
        <v>0</v>
      </c>
      <c r="CD607" s="1249"/>
      <c r="CE607" s="1249"/>
      <c r="CF607" s="1249"/>
      <c r="CG607" s="1251"/>
      <c r="CH607" s="1248">
        <f t="shared" si="5"/>
        <v>0</v>
      </c>
      <c r="CI607" s="1249"/>
      <c r="CJ607" s="1249"/>
      <c r="CK607" s="1249"/>
      <c r="CL607" s="1251"/>
      <c r="CM607" s="1248">
        <f t="shared" si="6"/>
        <v>0</v>
      </c>
      <c r="CN607" s="1249"/>
      <c r="CO607" s="1249"/>
      <c r="CP607" s="1249"/>
      <c r="CQ607" s="1251"/>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2.95"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52">
        <f t="shared" si="9"/>
        <v>0</v>
      </c>
      <c r="BF608" s="1253"/>
      <c r="BG608" s="1248">
        <f t="shared" si="7"/>
        <v>0</v>
      </c>
      <c r="BH608" s="1251"/>
      <c r="BI608" s="1252">
        <f t="shared" si="10"/>
        <v>0</v>
      </c>
      <c r="BJ608" s="1253"/>
      <c r="BK608" s="1248">
        <f t="shared" si="8"/>
        <v>0</v>
      </c>
      <c r="BL608" s="1251"/>
      <c r="BN608" s="1248">
        <f t="shared" si="1"/>
        <v>0</v>
      </c>
      <c r="BO608" s="1249"/>
      <c r="BP608" s="1249"/>
      <c r="BQ608" s="1249"/>
      <c r="BR608" s="1250"/>
      <c r="BS608" s="1248">
        <f t="shared" si="2"/>
        <v>0</v>
      </c>
      <c r="BT608" s="1249"/>
      <c r="BU608" s="1249"/>
      <c r="BV608" s="1249"/>
      <c r="BW608" s="1251"/>
      <c r="BX608" s="1248">
        <f t="shared" si="3"/>
        <v>0</v>
      </c>
      <c r="BY608" s="1249"/>
      <c r="BZ608" s="1249"/>
      <c r="CA608" s="1249"/>
      <c r="CB608" s="1251"/>
      <c r="CC608" s="1248">
        <f t="shared" si="4"/>
        <v>0</v>
      </c>
      <c r="CD608" s="1249"/>
      <c r="CE608" s="1249"/>
      <c r="CF608" s="1249"/>
      <c r="CG608" s="1251"/>
      <c r="CH608" s="1248">
        <f t="shared" si="5"/>
        <v>0</v>
      </c>
      <c r="CI608" s="1249"/>
      <c r="CJ608" s="1249"/>
      <c r="CK608" s="1249"/>
      <c r="CL608" s="1251"/>
      <c r="CM608" s="1248">
        <f t="shared" si="6"/>
        <v>0</v>
      </c>
      <c r="CN608" s="1249"/>
      <c r="CO608" s="1249"/>
      <c r="CP608" s="1249"/>
      <c r="CQ608" s="1251"/>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2.95"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52">
        <f t="shared" si="9"/>
        <v>0</v>
      </c>
      <c r="BF609" s="1253"/>
      <c r="BG609" s="1248">
        <f t="shared" si="7"/>
        <v>0</v>
      </c>
      <c r="BH609" s="1251"/>
      <c r="BI609" s="1252">
        <f t="shared" si="10"/>
        <v>0</v>
      </c>
      <c r="BJ609" s="1253"/>
      <c r="BK609" s="1248">
        <f t="shared" si="8"/>
        <v>0</v>
      </c>
      <c r="BL609" s="1251"/>
      <c r="BN609" s="1248">
        <f t="shared" si="1"/>
        <v>0</v>
      </c>
      <c r="BO609" s="1249"/>
      <c r="BP609" s="1249"/>
      <c r="BQ609" s="1249"/>
      <c r="BR609" s="1250"/>
      <c r="BS609" s="1248">
        <f t="shared" si="2"/>
        <v>0</v>
      </c>
      <c r="BT609" s="1249"/>
      <c r="BU609" s="1249"/>
      <c r="BV609" s="1249"/>
      <c r="BW609" s="1251"/>
      <c r="BX609" s="1248">
        <f t="shared" si="3"/>
        <v>0</v>
      </c>
      <c r="BY609" s="1249"/>
      <c r="BZ609" s="1249"/>
      <c r="CA609" s="1249"/>
      <c r="CB609" s="1251"/>
      <c r="CC609" s="1248">
        <f t="shared" si="4"/>
        <v>0</v>
      </c>
      <c r="CD609" s="1249"/>
      <c r="CE609" s="1249"/>
      <c r="CF609" s="1249"/>
      <c r="CG609" s="1251"/>
      <c r="CH609" s="1248">
        <f t="shared" si="5"/>
        <v>0</v>
      </c>
      <c r="CI609" s="1249"/>
      <c r="CJ609" s="1249"/>
      <c r="CK609" s="1249"/>
      <c r="CL609" s="1251"/>
      <c r="CM609" s="1248">
        <f t="shared" si="6"/>
        <v>0</v>
      </c>
      <c r="CN609" s="1249"/>
      <c r="CO609" s="1249"/>
      <c r="CP609" s="1249"/>
      <c r="CQ609" s="1251"/>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2.95" customHeight="1">
      <c r="AZ610" s="41"/>
      <c r="BA610" s="41"/>
      <c r="BB610" s="41"/>
      <c r="BC610" s="41"/>
      <c r="BD610" s="41"/>
      <c r="BE610" s="1252">
        <f t="shared" si="9"/>
        <v>0</v>
      </c>
      <c r="BF610" s="1253"/>
      <c r="BG610" s="1248">
        <f t="shared" si="7"/>
        <v>0</v>
      </c>
      <c r="BH610" s="1251"/>
      <c r="BI610" s="1252">
        <f t="shared" si="10"/>
        <v>0</v>
      </c>
      <c r="BJ610" s="1253"/>
      <c r="BK610" s="1248">
        <f t="shared" si="8"/>
        <v>0</v>
      </c>
      <c r="BL610" s="1251"/>
      <c r="BN610" s="1248">
        <f t="shared" si="1"/>
        <v>0</v>
      </c>
      <c r="BO610" s="1249"/>
      <c r="BP610" s="1249"/>
      <c r="BQ610" s="1249"/>
      <c r="BR610" s="1250"/>
      <c r="BS610" s="1248">
        <f t="shared" si="2"/>
        <v>0</v>
      </c>
      <c r="BT610" s="1249"/>
      <c r="BU610" s="1249"/>
      <c r="BV610" s="1249"/>
      <c r="BW610" s="1251"/>
      <c r="BX610" s="1248">
        <f t="shared" si="3"/>
        <v>0</v>
      </c>
      <c r="BY610" s="1249"/>
      <c r="BZ610" s="1249"/>
      <c r="CA610" s="1249"/>
      <c r="CB610" s="1251"/>
      <c r="CC610" s="1248">
        <f t="shared" si="4"/>
        <v>0</v>
      </c>
      <c r="CD610" s="1249"/>
      <c r="CE610" s="1249"/>
      <c r="CF610" s="1249"/>
      <c r="CG610" s="1251"/>
      <c r="CH610" s="1248">
        <f t="shared" si="5"/>
        <v>0</v>
      </c>
      <c r="CI610" s="1249"/>
      <c r="CJ610" s="1249"/>
      <c r="CK610" s="1249"/>
      <c r="CL610" s="1251"/>
      <c r="CM610" s="1248">
        <f t="shared" si="6"/>
        <v>0</v>
      </c>
      <c r="CN610" s="1249"/>
      <c r="CO610" s="1249"/>
      <c r="CP610" s="1249"/>
      <c r="CQ610" s="1251"/>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2.95" customHeight="1">
      <c r="A611" s="3" t="s">
        <v>689</v>
      </c>
      <c r="B611" s="3"/>
      <c r="C611" s="3" t="s">
        <v>878</v>
      </c>
      <c r="AZ611" s="41"/>
      <c r="BA611" s="41"/>
      <c r="BB611" s="41"/>
      <c r="BC611" s="41"/>
      <c r="BD611" s="41"/>
      <c r="BE611" s="1252">
        <f t="shared" si="9"/>
        <v>0</v>
      </c>
      <c r="BF611" s="1253"/>
      <c r="BG611" s="1248">
        <f t="shared" si="7"/>
        <v>0</v>
      </c>
      <c r="BH611" s="1251"/>
      <c r="BI611" s="1252">
        <f t="shared" si="10"/>
        <v>0</v>
      </c>
      <c r="BJ611" s="1253"/>
      <c r="BK611" s="1248">
        <f t="shared" si="8"/>
        <v>0</v>
      </c>
      <c r="BL611" s="1251"/>
      <c r="BN611" s="1248">
        <f t="shared" si="1"/>
        <v>0</v>
      </c>
      <c r="BO611" s="1249"/>
      <c r="BP611" s="1249"/>
      <c r="BQ611" s="1249"/>
      <c r="BR611" s="1250"/>
      <c r="BS611" s="1248">
        <f t="shared" si="2"/>
        <v>0</v>
      </c>
      <c r="BT611" s="1249"/>
      <c r="BU611" s="1249"/>
      <c r="BV611" s="1249"/>
      <c r="BW611" s="1251"/>
      <c r="BX611" s="1248">
        <f t="shared" si="3"/>
        <v>0</v>
      </c>
      <c r="BY611" s="1249"/>
      <c r="BZ611" s="1249"/>
      <c r="CA611" s="1249"/>
      <c r="CB611" s="1251"/>
      <c r="CC611" s="1248">
        <f t="shared" si="4"/>
        <v>0</v>
      </c>
      <c r="CD611" s="1249"/>
      <c r="CE611" s="1249"/>
      <c r="CF611" s="1249"/>
      <c r="CG611" s="1251"/>
      <c r="CH611" s="1248">
        <f t="shared" si="5"/>
        <v>0</v>
      </c>
      <c r="CI611" s="1249"/>
      <c r="CJ611" s="1249"/>
      <c r="CK611" s="1249"/>
      <c r="CL611" s="1251"/>
      <c r="CM611" s="1248">
        <f t="shared" si="6"/>
        <v>0</v>
      </c>
      <c r="CN611" s="1249"/>
      <c r="CO611" s="1249"/>
      <c r="CP611" s="1249"/>
      <c r="CQ611" s="1251"/>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2.95" customHeight="1">
      <c r="A612" s="3"/>
      <c r="B612" s="3"/>
      <c r="C612" s="3"/>
      <c r="AZ612" s="41"/>
      <c r="BA612" s="41"/>
      <c r="BB612" s="41"/>
      <c r="BC612" s="41"/>
      <c r="BD612" s="41"/>
      <c r="BE612" s="1252">
        <f t="shared" si="9"/>
        <v>0</v>
      </c>
      <c r="BF612" s="1253"/>
      <c r="BG612" s="1248">
        <f t="shared" si="7"/>
        <v>0</v>
      </c>
      <c r="BH612" s="1251"/>
      <c r="BI612" s="1252">
        <f t="shared" si="10"/>
        <v>0</v>
      </c>
      <c r="BJ612" s="1253"/>
      <c r="BK612" s="1248">
        <f t="shared" si="8"/>
        <v>0</v>
      </c>
      <c r="BL612" s="1251"/>
      <c r="BN612" s="1248">
        <f t="shared" si="1"/>
        <v>0</v>
      </c>
      <c r="BO612" s="1249"/>
      <c r="BP612" s="1249"/>
      <c r="BQ612" s="1249"/>
      <c r="BR612" s="1250"/>
      <c r="BS612" s="1248">
        <f t="shared" si="2"/>
        <v>0</v>
      </c>
      <c r="BT612" s="1249"/>
      <c r="BU612" s="1249"/>
      <c r="BV612" s="1249"/>
      <c r="BW612" s="1251"/>
      <c r="BX612" s="1248">
        <f t="shared" si="3"/>
        <v>0</v>
      </c>
      <c r="BY612" s="1249"/>
      <c r="BZ612" s="1249"/>
      <c r="CA612" s="1249"/>
      <c r="CB612" s="1251"/>
      <c r="CC612" s="1248">
        <f t="shared" si="4"/>
        <v>0</v>
      </c>
      <c r="CD612" s="1249"/>
      <c r="CE612" s="1249"/>
      <c r="CF612" s="1249"/>
      <c r="CG612" s="1251"/>
      <c r="CH612" s="1248">
        <f t="shared" si="5"/>
        <v>0</v>
      </c>
      <c r="CI612" s="1249"/>
      <c r="CJ612" s="1249"/>
      <c r="CK612" s="1249"/>
      <c r="CL612" s="1251"/>
      <c r="CM612" s="1248">
        <f t="shared" si="6"/>
        <v>0</v>
      </c>
      <c r="CN612" s="1249"/>
      <c r="CO612" s="1249"/>
      <c r="CP612" s="1249"/>
      <c r="CQ612" s="1251"/>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2.95" customHeight="1">
      <c r="C613" s="3" t="s">
        <v>2254</v>
      </c>
      <c r="AZ613" s="41"/>
      <c r="BA613" s="41"/>
      <c r="BB613" s="41"/>
      <c r="BC613" s="41"/>
      <c r="BD613" s="41"/>
      <c r="BE613" s="1252">
        <f t="shared" si="9"/>
        <v>0</v>
      </c>
      <c r="BF613" s="1253"/>
      <c r="BG613" s="1248">
        <f t="shared" si="7"/>
        <v>0</v>
      </c>
      <c r="BH613" s="1251"/>
      <c r="BI613" s="1252">
        <f t="shared" si="10"/>
        <v>0</v>
      </c>
      <c r="BJ613" s="1253"/>
      <c r="BK613" s="1248">
        <f t="shared" si="8"/>
        <v>0</v>
      </c>
      <c r="BL613" s="1251"/>
      <c r="BN613" s="1252">
        <f>SUM(BN588:BR612)</f>
        <v>37</v>
      </c>
      <c r="BO613" s="1318"/>
      <c r="BP613" s="1318"/>
      <c r="BQ613" s="1318"/>
      <c r="BR613" s="1253"/>
      <c r="BS613" s="1252">
        <f>SUM(BS588:BW612)</f>
        <v>8</v>
      </c>
      <c r="BT613" s="1318"/>
      <c r="BU613" s="1318"/>
      <c r="BV613" s="1318"/>
      <c r="BW613" s="1253"/>
      <c r="BX613" s="1252">
        <f>SUM(BX588:CB612)</f>
        <v>4</v>
      </c>
      <c r="BY613" s="1318"/>
      <c r="BZ613" s="1318"/>
      <c r="CA613" s="1318"/>
      <c r="CB613" s="1253"/>
      <c r="CC613" s="1252">
        <f>SUM(CC588:CG612)</f>
        <v>0</v>
      </c>
      <c r="CD613" s="1318"/>
      <c r="CE613" s="1318"/>
      <c r="CF613" s="1318"/>
      <c r="CG613" s="1253"/>
      <c r="CH613" s="1252">
        <f>SUM(CH588:CL612)</f>
        <v>0</v>
      </c>
      <c r="CI613" s="1318"/>
      <c r="CJ613" s="1318"/>
      <c r="CK613" s="1318"/>
      <c r="CL613" s="1253"/>
      <c r="CM613" s="1252">
        <f>SUM(CM588:CQ612)</f>
        <v>0</v>
      </c>
      <c r="CN613" s="1318"/>
      <c r="CO613" s="1318"/>
      <c r="CP613" s="1318"/>
      <c r="CQ613" s="1253"/>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2.95" customHeight="1" thickBot="1">
      <c r="B614" s="859"/>
      <c r="C614" s="3"/>
      <c r="AZ614" s="41"/>
      <c r="BA614" s="41"/>
      <c r="BB614" s="41"/>
      <c r="BC614" s="41"/>
      <c r="BD614" s="41"/>
      <c r="BE614" s="41"/>
      <c r="BF614" s="41"/>
      <c r="BG614" s="1252">
        <f>SUM(BG589:BH613)</f>
        <v>25</v>
      </c>
      <c r="BH614" s="1253"/>
      <c r="BI614" s="41"/>
      <c r="BJ614" s="41"/>
      <c r="BK614" s="1252">
        <f>SUM(BK589:BL613)</f>
        <v>16</v>
      </c>
      <c r="BL614" s="1253"/>
      <c r="BN614" s="41" t="s">
        <v>1799</v>
      </c>
      <c r="BO614" s="41"/>
      <c r="BP614" s="41"/>
      <c r="BQ614" s="41"/>
      <c r="BR614" s="480">
        <f>BN613*1</f>
        <v>37</v>
      </c>
      <c r="BS614" s="41"/>
      <c r="BT614" s="41"/>
      <c r="BU614" s="41"/>
      <c r="BV614" s="41"/>
      <c r="BW614" s="480">
        <f>BS613*1</f>
        <v>8</v>
      </c>
      <c r="BX614" s="41"/>
      <c r="BY614" s="41"/>
      <c r="BZ614" s="41"/>
      <c r="CA614" s="41"/>
      <c r="CB614" s="480">
        <f>BX613*2</f>
        <v>8</v>
      </c>
      <c r="CC614" s="41"/>
      <c r="CD614" s="41"/>
      <c r="CE614" s="41"/>
      <c r="CF614" s="41"/>
      <c r="CG614" s="480">
        <f>CC613*3</f>
        <v>0</v>
      </c>
      <c r="CH614" s="41"/>
      <c r="CI614" s="41"/>
      <c r="CJ614" s="41"/>
      <c r="CK614" s="41"/>
      <c r="CL614" s="480">
        <f>CH613*4</f>
        <v>0</v>
      </c>
      <c r="CM614" s="41"/>
      <c r="CN614" s="41"/>
      <c r="CO614" s="41"/>
      <c r="CP614" s="41"/>
      <c r="CQ614" s="479">
        <f>CM613*5</f>
        <v>0</v>
      </c>
      <c r="CS614" s="1252">
        <f>SUM(CS589:CW613)</f>
        <v>14</v>
      </c>
      <c r="CT614" s="1318"/>
      <c r="CU614" s="1318"/>
      <c r="CV614" s="1318"/>
      <c r="CW614" s="1253"/>
      <c r="CX614" s="1252">
        <f>SUM(CX589:DB613)</f>
        <v>1</v>
      </c>
      <c r="CY614" s="1318"/>
      <c r="CZ614" s="1318"/>
      <c r="DA614" s="1318"/>
      <c r="DB614" s="1253"/>
      <c r="DC614" s="1252">
        <f>SUM(DC589:DG613)</f>
        <v>1</v>
      </c>
      <c r="DD614" s="1318"/>
      <c r="DE614" s="1318"/>
      <c r="DF614" s="1318"/>
      <c r="DG614" s="1253"/>
      <c r="DH614" s="1252">
        <f>SUM(DH589:DL613)</f>
        <v>0</v>
      </c>
      <c r="DI614" s="1318"/>
      <c r="DJ614" s="1318"/>
      <c r="DK614" s="1318"/>
      <c r="DL614" s="1253"/>
      <c r="DM614" s="1252">
        <f>SUM(DM589:DQ613)</f>
        <v>0</v>
      </c>
      <c r="DN614" s="1318"/>
      <c r="DO614" s="1318"/>
      <c r="DP614" s="1318"/>
      <c r="DQ614" s="1253"/>
      <c r="DR614" s="1252">
        <f>SUM(DR589:DV613)</f>
        <v>0</v>
      </c>
      <c r="DS614" s="1318"/>
      <c r="DT614" s="1318"/>
      <c r="DU614" s="1318"/>
      <c r="DV614" s="1253"/>
    </row>
    <row r="615" spans="1:126" ht="12.95" customHeight="1" thickBot="1">
      <c r="B615" s="1104" t="s">
        <v>2324</v>
      </c>
      <c r="C615" s="1105"/>
      <c r="D615" s="1105"/>
      <c r="E615" s="1105"/>
      <c r="F615" s="1105"/>
      <c r="G615" s="1105"/>
      <c r="H615" s="1105"/>
      <c r="I615" s="1105"/>
      <c r="J615" s="1105"/>
      <c r="K615" s="1105"/>
      <c r="L615" s="1105"/>
      <c r="M615" s="1131" t="s">
        <v>2298</v>
      </c>
      <c r="N615" s="1131"/>
      <c r="O615" s="1131"/>
      <c r="P615" s="1131"/>
      <c r="Q615" s="1081" t="s">
        <v>2328</v>
      </c>
      <c r="R615" s="1082"/>
      <c r="S615" s="1083"/>
      <c r="T615" s="1081" t="s">
        <v>2327</v>
      </c>
      <c r="U615" s="1082"/>
      <c r="V615" s="1083"/>
      <c r="W615" s="1111" t="s">
        <v>776</v>
      </c>
      <c r="X615" s="1111"/>
      <c r="Y615" s="1112"/>
      <c r="Z615" s="1131" t="s">
        <v>2325</v>
      </c>
      <c r="AA615" s="1131"/>
      <c r="AB615" s="1131"/>
      <c r="AC615" s="1072" t="s">
        <v>2089</v>
      </c>
      <c r="AD615" s="1073"/>
      <c r="AE615" s="1074"/>
      <c r="AF615" s="1081" t="s">
        <v>2255</v>
      </c>
      <c r="AG615" s="1082"/>
      <c r="AH615" s="1082"/>
      <c r="AI615" s="1082"/>
      <c r="AJ615" s="1083"/>
      <c r="AK615" s="1132" t="s">
        <v>2256</v>
      </c>
      <c r="AL615" s="1133"/>
      <c r="AM615" s="1133"/>
      <c r="AN615" s="1134"/>
      <c r="AO615" s="1131" t="s">
        <v>777</v>
      </c>
      <c r="AP615" s="1131"/>
      <c r="AQ615" s="1131"/>
      <c r="AR615" s="1131"/>
      <c r="AS615" s="1131"/>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53</v>
      </c>
      <c r="CR615" s="41"/>
      <c r="CS615" s="41"/>
    </row>
    <row r="616" spans="1:126" ht="12.95" customHeight="1">
      <c r="B616" s="1106"/>
      <c r="C616" s="1107"/>
      <c r="D616" s="1107"/>
      <c r="E616" s="1107"/>
      <c r="F616" s="1107"/>
      <c r="G616" s="1107"/>
      <c r="H616" s="1107"/>
      <c r="I616" s="1107"/>
      <c r="J616" s="1107"/>
      <c r="K616" s="1107"/>
      <c r="L616" s="1107"/>
      <c r="M616" s="1131"/>
      <c r="N616" s="1131"/>
      <c r="O616" s="1131"/>
      <c r="P616" s="1131"/>
      <c r="Q616" s="1084"/>
      <c r="R616" s="1085"/>
      <c r="S616" s="1086"/>
      <c r="T616" s="1084"/>
      <c r="U616" s="1085"/>
      <c r="V616" s="1086"/>
      <c r="W616" s="1113"/>
      <c r="X616" s="1113"/>
      <c r="Y616" s="1114"/>
      <c r="Z616" s="1131"/>
      <c r="AA616" s="1131"/>
      <c r="AB616" s="1131"/>
      <c r="AC616" s="1075"/>
      <c r="AD616" s="1076"/>
      <c r="AE616" s="1077"/>
      <c r="AF616" s="1084"/>
      <c r="AG616" s="1085"/>
      <c r="AH616" s="1085"/>
      <c r="AI616" s="1085"/>
      <c r="AJ616" s="1086"/>
      <c r="AK616" s="1135"/>
      <c r="AL616" s="1136"/>
      <c r="AM616" s="1136"/>
      <c r="AN616" s="1137"/>
      <c r="AO616" s="1131"/>
      <c r="AP616" s="1131"/>
      <c r="AQ616" s="1131"/>
      <c r="AR616" s="1131"/>
      <c r="AS616" s="1131"/>
      <c r="AT616" s="41"/>
      <c r="AU616" s="41"/>
      <c r="AV616" s="41"/>
      <c r="AW616" s="41"/>
      <c r="AX616" s="41"/>
      <c r="AY616" s="41"/>
      <c r="AZ616" s="41"/>
      <c r="BN616" s="1248">
        <f>IF(J738="SRO/Studio",O738,0)</f>
        <v>0</v>
      </c>
      <c r="BO616" s="1249"/>
      <c r="BP616" s="1249"/>
      <c r="BQ616" s="1249"/>
      <c r="BR616" s="1251"/>
      <c r="BS616" s="1248">
        <f>IF(J738="1 Bedroom",O738,0)</f>
        <v>0</v>
      </c>
      <c r="BT616" s="1249"/>
      <c r="BU616" s="1249"/>
      <c r="BV616" s="1249"/>
      <c r="BW616" s="1251"/>
      <c r="BX616" s="1248">
        <f>IF(J738="2 Bedrooms",O738,0)</f>
        <v>1</v>
      </c>
      <c r="BY616" s="1249"/>
      <c r="BZ616" s="1249"/>
      <c r="CA616" s="1249"/>
      <c r="CB616" s="1251"/>
      <c r="CC616" s="1248">
        <f>IF(J738="3 Bedrooms",O738,0)</f>
        <v>0</v>
      </c>
      <c r="CD616" s="1249"/>
      <c r="CE616" s="1249"/>
      <c r="CF616" s="1249"/>
      <c r="CG616" s="1251"/>
      <c r="CH616" s="1248">
        <f>IF(J738="4 Bedrooms",O738,0)</f>
        <v>0</v>
      </c>
      <c r="CI616" s="1249"/>
      <c r="CJ616" s="1249"/>
      <c r="CK616" s="1249"/>
      <c r="CL616" s="1251"/>
      <c r="CM616" s="1511">
        <f>IF(J738="5 Bedrooms",O738,0)</f>
        <v>0</v>
      </c>
      <c r="CN616" s="1512"/>
      <c r="CO616" s="1512"/>
      <c r="CP616" s="1512"/>
      <c r="CQ616" s="1250"/>
      <c r="CR616" s="41"/>
      <c r="CS616" s="41"/>
    </row>
    <row r="617" spans="1:126" ht="12.95" customHeight="1">
      <c r="B617" s="1108"/>
      <c r="C617" s="1109"/>
      <c r="D617" s="1109"/>
      <c r="E617" s="1109"/>
      <c r="F617" s="1109"/>
      <c r="G617" s="1109"/>
      <c r="H617" s="1109"/>
      <c r="I617" s="1109"/>
      <c r="J617" s="1109"/>
      <c r="K617" s="1109"/>
      <c r="L617" s="1109"/>
      <c r="M617" s="1131"/>
      <c r="N617" s="1131"/>
      <c r="O617" s="1131"/>
      <c r="P617" s="1131"/>
      <c r="Q617" s="1087"/>
      <c r="R617" s="1088"/>
      <c r="S617" s="1089"/>
      <c r="T617" s="1087"/>
      <c r="U617" s="1088"/>
      <c r="V617" s="1089"/>
      <c r="W617" s="1115"/>
      <c r="X617" s="1115"/>
      <c r="Y617" s="1116"/>
      <c r="Z617" s="1131"/>
      <c r="AA617" s="1131"/>
      <c r="AB617" s="1131"/>
      <c r="AC617" s="1078"/>
      <c r="AD617" s="1079"/>
      <c r="AE617" s="1080"/>
      <c r="AF617" s="1087"/>
      <c r="AG617" s="1088"/>
      <c r="AH617" s="1088"/>
      <c r="AI617" s="1088"/>
      <c r="AJ617" s="1089"/>
      <c r="AK617" s="1138"/>
      <c r="AL617" s="1139"/>
      <c r="AM617" s="1139"/>
      <c r="AN617" s="1140"/>
      <c r="AO617" s="1131"/>
      <c r="AP617" s="1131"/>
      <c r="AQ617" s="1131"/>
      <c r="AR617" s="1131"/>
      <c r="AS617" s="1131"/>
      <c r="AT617" s="43"/>
      <c r="AU617" s="43"/>
      <c r="AV617" s="43"/>
      <c r="AW617" s="43"/>
      <c r="AX617" s="43"/>
      <c r="AY617" s="43"/>
      <c r="AZ617" s="43"/>
      <c r="BN617" s="1248">
        <f>IF(J739="SRO/Studio",O739,0)</f>
        <v>0</v>
      </c>
      <c r="BO617" s="1249"/>
      <c r="BP617" s="1249"/>
      <c r="BQ617" s="1249"/>
      <c r="BR617" s="1251"/>
      <c r="BS617" s="1248">
        <f>IF(J739="1 Bedroom",O739,0)</f>
        <v>0</v>
      </c>
      <c r="BT617" s="1249"/>
      <c r="BU617" s="1249"/>
      <c r="BV617" s="1249"/>
      <c r="BW617" s="1251"/>
      <c r="BX617" s="1248">
        <f>IF(J739="2 Bedrooms",O739,0)</f>
        <v>0</v>
      </c>
      <c r="BY617" s="1249"/>
      <c r="BZ617" s="1249"/>
      <c r="CA617" s="1249"/>
      <c r="CB617" s="1251"/>
      <c r="CC617" s="1248">
        <f>IF(J739="3 Bedrooms",O739,0)</f>
        <v>0</v>
      </c>
      <c r="CD617" s="1249"/>
      <c r="CE617" s="1249"/>
      <c r="CF617" s="1249"/>
      <c r="CG617" s="1251"/>
      <c r="CH617" s="1248">
        <f>IF(J739="4 Bedrooms",O739,0)</f>
        <v>0</v>
      </c>
      <c r="CI617" s="1249"/>
      <c r="CJ617" s="1249"/>
      <c r="CK617" s="1249"/>
      <c r="CL617" s="1251"/>
      <c r="CM617" s="1511">
        <f>IF(J739="5 Bedrooms",O739,0)</f>
        <v>0</v>
      </c>
      <c r="CN617" s="1512"/>
      <c r="CO617" s="1512"/>
      <c r="CP617" s="1512"/>
      <c r="CQ617" s="1250"/>
      <c r="CR617" s="41"/>
      <c r="CS617" s="41"/>
    </row>
    <row r="618" spans="1:126" ht="12.95" customHeight="1">
      <c r="B618" s="57" t="s">
        <v>944</v>
      </c>
      <c r="C618" s="1094" t="s">
        <v>2519</v>
      </c>
      <c r="D618" s="1094"/>
      <c r="E618" s="1094"/>
      <c r="F618" s="1094"/>
      <c r="G618" s="1094"/>
      <c r="H618" s="1094"/>
      <c r="I618" s="1094"/>
      <c r="J618" s="1094"/>
      <c r="K618" s="1094"/>
      <c r="L618" s="1094"/>
      <c r="M618" s="1117" t="s">
        <v>2313</v>
      </c>
      <c r="N618" s="1117"/>
      <c r="O618" s="1117"/>
      <c r="P618" s="1117"/>
      <c r="Q618" s="1066">
        <v>660</v>
      </c>
      <c r="R618" s="1067"/>
      <c r="S618" s="1068"/>
      <c r="T618" s="1063">
        <v>420</v>
      </c>
      <c r="U618" s="1064"/>
      <c r="V618" s="1065"/>
      <c r="W618" s="1090">
        <v>8.5000000000000006E-2</v>
      </c>
      <c r="X618" s="1091"/>
      <c r="Y618" s="1092"/>
      <c r="Z618" s="1389" t="s">
        <v>2326</v>
      </c>
      <c r="AA618" s="1390"/>
      <c r="AB618" s="1391"/>
      <c r="AC618" s="1060">
        <v>1</v>
      </c>
      <c r="AD618" s="1061"/>
      <c r="AE618" s="1062"/>
      <c r="AF618" s="1069">
        <f>[4]EVERYTHING!$V$48+[4]EVERYTHING!$V$49</f>
        <v>513147.31605119677</v>
      </c>
      <c r="AG618" s="1070"/>
      <c r="AH618" s="1070"/>
      <c r="AI618" s="1070"/>
      <c r="AJ618" s="1071"/>
      <c r="AK618" s="1126"/>
      <c r="AL618" s="1127"/>
      <c r="AM618" s="1127"/>
      <c r="AN618" s="1128"/>
      <c r="AO618" s="1203">
        <f>[4]EVERYTHING!$D$5+[4]EVERYTHING!$D$6</f>
        <v>6514000</v>
      </c>
      <c r="AP618" s="1203"/>
      <c r="AQ618" s="1203"/>
      <c r="AR618" s="1203"/>
      <c r="AS618" s="1203"/>
      <c r="AT618" s="966" t="str">
        <f t="shared" ref="AT618:AT629" si="17">IF(AND(NOT(C617=""),C618="",NOT(C619="")),"!","")</f>
        <v/>
      </c>
      <c r="AU618" s="43"/>
      <c r="AV618" s="43"/>
      <c r="AW618" s="43"/>
      <c r="AX618" s="43"/>
      <c r="AY618" s="43"/>
      <c r="BA618" s="41" t="s">
        <v>2076</v>
      </c>
      <c r="BC618" s="43"/>
      <c r="BD618" s="43"/>
      <c r="BN618" s="1248">
        <f>IF(J740="SRO/Studio",O740,0)</f>
        <v>0</v>
      </c>
      <c r="BO618" s="1249"/>
      <c r="BP618" s="1249"/>
      <c r="BQ618" s="1249"/>
      <c r="BR618" s="1251"/>
      <c r="BS618" s="1248">
        <f>IF(J740="1 Bedroom",O740,0)</f>
        <v>0</v>
      </c>
      <c r="BT618" s="1249"/>
      <c r="BU618" s="1249"/>
      <c r="BV618" s="1249"/>
      <c r="BW618" s="1251"/>
      <c r="BX618" s="1248">
        <f>IF(J740="2 Bedrooms",O740,0)</f>
        <v>0</v>
      </c>
      <c r="BY618" s="1249"/>
      <c r="BZ618" s="1249"/>
      <c r="CA618" s="1249"/>
      <c r="CB618" s="1251"/>
      <c r="CC618" s="1248">
        <f>IF(J740="3 Bedrooms",O740,0)</f>
        <v>0</v>
      </c>
      <c r="CD618" s="1249"/>
      <c r="CE618" s="1249"/>
      <c r="CF618" s="1249"/>
      <c r="CG618" s="1251"/>
      <c r="CH618" s="1248">
        <f>IF(J740="4 Bedrooms",O740,0)</f>
        <v>0</v>
      </c>
      <c r="CI618" s="1249"/>
      <c r="CJ618" s="1249"/>
      <c r="CK618" s="1249"/>
      <c r="CL618" s="1251"/>
      <c r="CM618" s="1511">
        <f>IF(J740="5 Bedrooms",O740,0)</f>
        <v>0</v>
      </c>
      <c r="CN618" s="1512"/>
      <c r="CO618" s="1512"/>
      <c r="CP618" s="1512"/>
      <c r="CQ618" s="1250"/>
      <c r="CR618" s="41"/>
      <c r="CS618" s="41"/>
    </row>
    <row r="619" spans="1:126" ht="12.95" customHeight="1">
      <c r="B619" s="58" t="s">
        <v>945</v>
      </c>
      <c r="C619" s="1094" t="s">
        <v>2453</v>
      </c>
      <c r="D619" s="1094"/>
      <c r="E619" s="1094"/>
      <c r="F619" s="1094"/>
      <c r="G619" s="1094"/>
      <c r="H619" s="1094"/>
      <c r="I619" s="1094"/>
      <c r="J619" s="1094"/>
      <c r="K619" s="1094"/>
      <c r="L619" s="1094"/>
      <c r="M619" s="1117" t="s">
        <v>2310</v>
      </c>
      <c r="N619" s="1117"/>
      <c r="O619" s="1117"/>
      <c r="P619" s="1117"/>
      <c r="Q619" s="1066">
        <v>660</v>
      </c>
      <c r="R619" s="1067"/>
      <c r="S619" s="1068"/>
      <c r="T619" s="1063"/>
      <c r="U619" s="1064"/>
      <c r="V619" s="1065"/>
      <c r="W619" s="1090">
        <v>0.03</v>
      </c>
      <c r="X619" s="1091"/>
      <c r="Y619" s="1092"/>
      <c r="Z619" s="1389" t="s">
        <v>826</v>
      </c>
      <c r="AA619" s="1390"/>
      <c r="AB619" s="1391"/>
      <c r="AC619" s="1060">
        <v>2</v>
      </c>
      <c r="AD619" s="1061"/>
      <c r="AE619" s="1062"/>
      <c r="AF619" s="1069"/>
      <c r="AG619" s="1070"/>
      <c r="AH619" s="1070"/>
      <c r="AI619" s="1070"/>
      <c r="AJ619" s="1071"/>
      <c r="AK619" s="1126"/>
      <c r="AL619" s="1127"/>
      <c r="AM619" s="1127"/>
      <c r="AN619" s="1128"/>
      <c r="AO619" s="1203">
        <v>12000000</v>
      </c>
      <c r="AP619" s="1203"/>
      <c r="AQ619" s="1203"/>
      <c r="AR619" s="1203"/>
      <c r="AS619" s="1203"/>
      <c r="AT619" s="966" t="str">
        <f t="shared" si="17"/>
        <v/>
      </c>
      <c r="AU619" s="43"/>
      <c r="AV619" s="43"/>
      <c r="AW619" s="43"/>
      <c r="AX619" s="43"/>
      <c r="AY619" s="43"/>
      <c r="BA619" s="41" t="s">
        <v>827</v>
      </c>
      <c r="BC619" s="43"/>
      <c r="BD619" s="43"/>
      <c r="BN619" s="1248">
        <f>IF(J741="SRO/Studio",O741,0)</f>
        <v>0</v>
      </c>
      <c r="BO619" s="1249"/>
      <c r="BP619" s="1249"/>
      <c r="BQ619" s="1249"/>
      <c r="BR619" s="1251"/>
      <c r="BS619" s="1248">
        <f>IF(J741="1 Bedroom",O741,0)</f>
        <v>0</v>
      </c>
      <c r="BT619" s="1249"/>
      <c r="BU619" s="1249"/>
      <c r="BV619" s="1249"/>
      <c r="BW619" s="1251"/>
      <c r="BX619" s="1248">
        <f>IF(J741="2 Bedrooms",O741,0)</f>
        <v>0</v>
      </c>
      <c r="BY619" s="1249"/>
      <c r="BZ619" s="1249"/>
      <c r="CA619" s="1249"/>
      <c r="CB619" s="1251"/>
      <c r="CC619" s="1248">
        <f>IF(J741="3 Bedrooms",O741,0)</f>
        <v>0</v>
      </c>
      <c r="CD619" s="1249"/>
      <c r="CE619" s="1249"/>
      <c r="CF619" s="1249"/>
      <c r="CG619" s="1251"/>
      <c r="CH619" s="1248">
        <f>IF(J741="4 Bedrooms",O741,0)</f>
        <v>0</v>
      </c>
      <c r="CI619" s="1249"/>
      <c r="CJ619" s="1249"/>
      <c r="CK619" s="1249"/>
      <c r="CL619" s="1251"/>
      <c r="CM619" s="1511">
        <f>IF(J741="5 Bedrooms",O741,0)</f>
        <v>0</v>
      </c>
      <c r="CN619" s="1512"/>
      <c r="CO619" s="1512"/>
      <c r="CP619" s="1512"/>
      <c r="CQ619" s="1250"/>
      <c r="CR619" s="41"/>
      <c r="CS619" s="41"/>
    </row>
    <row r="620" spans="1:126" ht="12.95" customHeight="1">
      <c r="B620" s="58" t="s">
        <v>951</v>
      </c>
      <c r="C620" s="1094" t="s">
        <v>2360</v>
      </c>
      <c r="D620" s="1094"/>
      <c r="E620" s="1094"/>
      <c r="F620" s="1094"/>
      <c r="G620" s="1094"/>
      <c r="H620" s="1094"/>
      <c r="I620" s="1094"/>
      <c r="J620" s="1094"/>
      <c r="K620" s="1094"/>
      <c r="L620" s="1094"/>
      <c r="M620" s="1117" t="s">
        <v>2310</v>
      </c>
      <c r="N620" s="1117"/>
      <c r="O620" s="1117"/>
      <c r="P620" s="1117"/>
      <c r="Q620" s="1066">
        <v>660</v>
      </c>
      <c r="R620" s="1067"/>
      <c r="S620" s="1068"/>
      <c r="T620" s="1063"/>
      <c r="U620" s="1064"/>
      <c r="V620" s="1065"/>
      <c r="W620" s="1090">
        <v>0.03</v>
      </c>
      <c r="X620" s="1091"/>
      <c r="Y620" s="1092"/>
      <c r="Z620" s="1389" t="s">
        <v>826</v>
      </c>
      <c r="AA620" s="1390"/>
      <c r="AB620" s="1391"/>
      <c r="AC620" s="1060">
        <v>3</v>
      </c>
      <c r="AD620" s="1061"/>
      <c r="AE620" s="1062"/>
      <c r="AF620" s="1069"/>
      <c r="AG620" s="1070"/>
      <c r="AH620" s="1070"/>
      <c r="AI620" s="1070"/>
      <c r="AJ620" s="1071"/>
      <c r="AK620" s="1126"/>
      <c r="AL620" s="1127"/>
      <c r="AM620" s="1127"/>
      <c r="AN620" s="1128"/>
      <c r="AO620" s="1203">
        <v>3356330</v>
      </c>
      <c r="AP620" s="1203"/>
      <c r="AQ620" s="1203"/>
      <c r="AR620" s="1203"/>
      <c r="AS620" s="1203"/>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2080</v>
      </c>
      <c r="CU620" s="41"/>
    </row>
    <row r="621" spans="1:126" ht="12.95" customHeight="1">
      <c r="B621" s="58" t="s">
        <v>460</v>
      </c>
      <c r="C621" s="1094" t="s">
        <v>2452</v>
      </c>
      <c r="D621" s="1094"/>
      <c r="E621" s="1094"/>
      <c r="F621" s="1094"/>
      <c r="G621" s="1094"/>
      <c r="H621" s="1094"/>
      <c r="I621" s="1094"/>
      <c r="J621" s="1094"/>
      <c r="K621" s="1094"/>
      <c r="L621" s="1094"/>
      <c r="M621" s="1117" t="s">
        <v>2321</v>
      </c>
      <c r="N621" s="1117"/>
      <c r="O621" s="1117"/>
      <c r="P621" s="1117"/>
      <c r="Q621" s="1066"/>
      <c r="R621" s="1067"/>
      <c r="S621" s="1068"/>
      <c r="T621" s="1063"/>
      <c r="U621" s="1064"/>
      <c r="V621" s="1065"/>
      <c r="W621" s="1090"/>
      <c r="X621" s="1091"/>
      <c r="Y621" s="1092"/>
      <c r="Z621" s="1389" t="s">
        <v>2076</v>
      </c>
      <c r="AA621" s="1390"/>
      <c r="AB621" s="1391"/>
      <c r="AC621" s="1060">
        <v>4</v>
      </c>
      <c r="AD621" s="1061"/>
      <c r="AE621" s="1062"/>
      <c r="AF621" s="1069"/>
      <c r="AG621" s="1070"/>
      <c r="AH621" s="1070"/>
      <c r="AI621" s="1070"/>
      <c r="AJ621" s="1071"/>
      <c r="AK621" s="1126"/>
      <c r="AL621" s="1127"/>
      <c r="AM621" s="1127"/>
      <c r="AN621" s="1128"/>
      <c r="AO621" s="1203">
        <f>6000000</f>
        <v>6000000</v>
      </c>
      <c r="AP621" s="1203"/>
      <c r="AQ621" s="1203"/>
      <c r="AR621" s="1203"/>
      <c r="AS621" s="1203"/>
      <c r="AT621" s="966" t="str">
        <f t="shared" si="17"/>
        <v/>
      </c>
      <c r="AU621" s="43"/>
      <c r="AV621" s="43"/>
      <c r="AW621" s="43"/>
      <c r="AX621" s="43"/>
      <c r="AY621" s="43"/>
      <c r="AZ621" s="43"/>
      <c r="BA621" s="41" t="s">
        <v>2326</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3" t="s">
        <v>2549</v>
      </c>
      <c r="D622" s="1093"/>
      <c r="E622" s="1093"/>
      <c r="F622" s="1093"/>
      <c r="G622" s="1093"/>
      <c r="H622" s="1093"/>
      <c r="I622" s="1093"/>
      <c r="J622" s="1093"/>
      <c r="K622" s="1093"/>
      <c r="L622" s="1093"/>
      <c r="M622" s="1117" t="s">
        <v>2304</v>
      </c>
      <c r="N622" s="1117"/>
      <c r="O622" s="1117"/>
      <c r="P622" s="1117"/>
      <c r="Q622" s="1066"/>
      <c r="R622" s="1067"/>
      <c r="S622" s="1068"/>
      <c r="T622" s="1063"/>
      <c r="U622" s="1064"/>
      <c r="V622" s="1065"/>
      <c r="W622" s="1090"/>
      <c r="X622" s="1091"/>
      <c r="Y622" s="1092"/>
      <c r="Z622" s="1389" t="s">
        <v>2076</v>
      </c>
      <c r="AA622" s="1390"/>
      <c r="AB622" s="1391"/>
      <c r="AC622" s="1060"/>
      <c r="AD622" s="1061"/>
      <c r="AE622" s="1062"/>
      <c r="AF622" s="1069"/>
      <c r="AG622" s="1070"/>
      <c r="AH622" s="1070"/>
      <c r="AI622" s="1070"/>
      <c r="AJ622" s="1071"/>
      <c r="AK622" s="1126"/>
      <c r="AL622" s="1127"/>
      <c r="AM622" s="1127"/>
      <c r="AN622" s="1128"/>
      <c r="AO622" s="1203">
        <v>100</v>
      </c>
      <c r="AP622" s="1203"/>
      <c r="AQ622" s="1203"/>
      <c r="AR622" s="1203"/>
      <c r="AS622" s="1203"/>
      <c r="AT622" s="966" t="str">
        <f t="shared" si="17"/>
        <v/>
      </c>
      <c r="AU622" s="43"/>
      <c r="AV622" s="43"/>
      <c r="AW622" s="43"/>
      <c r="AX622" s="43"/>
      <c r="AY622" s="43"/>
      <c r="AZ622" s="43"/>
      <c r="BA622" s="41" t="s">
        <v>528</v>
      </c>
      <c r="BN622" s="1248">
        <f t="shared" ref="BN622:BN631" si="18">IF(J752="SRO/Studio",O752,0)</f>
        <v>0</v>
      </c>
      <c r="BO622" s="1249"/>
      <c r="BP622" s="1249"/>
      <c r="BQ622" s="1249"/>
      <c r="BR622" s="1251"/>
      <c r="BS622" s="1248">
        <f t="shared" ref="BS622:BS631" si="19">IF(J752="1 Bedroom",O752,0)</f>
        <v>0</v>
      </c>
      <c r="BT622" s="1249"/>
      <c r="BU622" s="1249"/>
      <c r="BV622" s="1249"/>
      <c r="BW622" s="1251"/>
      <c r="BX622" s="1248">
        <f t="shared" ref="BX622:BX631" si="20">IF(J752="2 Bedrooms",O752,0)</f>
        <v>0</v>
      </c>
      <c r="BY622" s="1249"/>
      <c r="BZ622" s="1249"/>
      <c r="CA622" s="1249"/>
      <c r="CB622" s="1251"/>
      <c r="CC622" s="1248">
        <f t="shared" ref="CC622:CC631" si="21">IF(J752="3 Bedrooms",O752,0)</f>
        <v>0</v>
      </c>
      <c r="CD622" s="1249"/>
      <c r="CE622" s="1249"/>
      <c r="CF622" s="1249"/>
      <c r="CG622" s="1251"/>
      <c r="CH622" s="1248">
        <f t="shared" ref="CH622:CH631" si="22">IF(J752="4 Bedrooms",O752,0)</f>
        <v>0</v>
      </c>
      <c r="CI622" s="1249"/>
      <c r="CJ622" s="1249"/>
      <c r="CK622" s="1249"/>
      <c r="CL622" s="1251"/>
      <c r="CM622" s="1248">
        <f t="shared" ref="CM622:CM631" si="23">IF(J752="5 Bedrooms",O752,0)</f>
        <v>0</v>
      </c>
      <c r="CN622" s="1249"/>
      <c r="CO622" s="1249"/>
      <c r="CP622" s="1249"/>
      <c r="CQ622" s="1251"/>
      <c r="CR622" s="41"/>
      <c r="CS622" s="41"/>
    </row>
    <row r="623" spans="1:126" ht="12.95" customHeight="1">
      <c r="B623" s="58" t="s">
        <v>463</v>
      </c>
      <c r="C623" s="1094" t="str">
        <f>C552</f>
        <v>Accrued interest on soft sources</v>
      </c>
      <c r="D623" s="1094"/>
      <c r="E623" s="1094"/>
      <c r="F623" s="1094"/>
      <c r="G623" s="1094"/>
      <c r="H623" s="1094"/>
      <c r="I623" s="1094"/>
      <c r="J623" s="1094"/>
      <c r="K623" s="1094"/>
      <c r="L623" s="1094"/>
      <c r="M623" s="1117" t="s">
        <v>2299</v>
      </c>
      <c r="N623" s="1117"/>
      <c r="O623" s="1117"/>
      <c r="P623" s="1117"/>
      <c r="Q623" s="1066"/>
      <c r="R623" s="1067"/>
      <c r="S623" s="1068"/>
      <c r="T623" s="1063"/>
      <c r="U623" s="1064"/>
      <c r="V623" s="1065"/>
      <c r="W623" s="1090"/>
      <c r="X623" s="1091"/>
      <c r="Y623" s="1092"/>
      <c r="Z623" s="1389" t="s">
        <v>2076</v>
      </c>
      <c r="AA623" s="1390"/>
      <c r="AB623" s="1391"/>
      <c r="AC623" s="1060"/>
      <c r="AD623" s="1061"/>
      <c r="AE623" s="1062"/>
      <c r="AF623" s="1069"/>
      <c r="AG623" s="1070"/>
      <c r="AH623" s="1070"/>
      <c r="AI623" s="1070"/>
      <c r="AJ623" s="1071"/>
      <c r="AK623" s="1126"/>
      <c r="AL623" s="1127"/>
      <c r="AM623" s="1127"/>
      <c r="AN623" s="1128"/>
      <c r="AO623" s="1203">
        <f>[4]EVERYTHING!$D$13</f>
        <v>481037.03724999999</v>
      </c>
      <c r="AP623" s="1203"/>
      <c r="AQ623" s="1203"/>
      <c r="AR623" s="1203"/>
      <c r="AS623" s="1203"/>
      <c r="AT623" s="966" t="str">
        <f t="shared" si="17"/>
        <v/>
      </c>
      <c r="AU623" s="43"/>
      <c r="AV623" s="43"/>
      <c r="AW623" s="43"/>
      <c r="AX623" s="43"/>
      <c r="AY623" s="43"/>
      <c r="AZ623" s="43"/>
      <c r="BN623" s="1248">
        <f t="shared" si="18"/>
        <v>0</v>
      </c>
      <c r="BO623" s="1249"/>
      <c r="BP623" s="1249"/>
      <c r="BQ623" s="1249"/>
      <c r="BR623" s="1251"/>
      <c r="BS623" s="1248">
        <f t="shared" si="19"/>
        <v>0</v>
      </c>
      <c r="BT623" s="1249"/>
      <c r="BU623" s="1249"/>
      <c r="BV623" s="1249"/>
      <c r="BW623" s="1251"/>
      <c r="BX623" s="1248">
        <f t="shared" si="20"/>
        <v>0</v>
      </c>
      <c r="BY623" s="1249"/>
      <c r="BZ623" s="1249"/>
      <c r="CA623" s="1249"/>
      <c r="CB623" s="1251"/>
      <c r="CC623" s="1248">
        <f t="shared" si="21"/>
        <v>0</v>
      </c>
      <c r="CD623" s="1249"/>
      <c r="CE623" s="1249"/>
      <c r="CF623" s="1249"/>
      <c r="CG623" s="1251"/>
      <c r="CH623" s="1248">
        <f t="shared" si="22"/>
        <v>0</v>
      </c>
      <c r="CI623" s="1249"/>
      <c r="CJ623" s="1249"/>
      <c r="CK623" s="1249"/>
      <c r="CL623" s="1251"/>
      <c r="CM623" s="1248">
        <f t="shared" si="23"/>
        <v>0</v>
      </c>
      <c r="CN623" s="1249"/>
      <c r="CO623" s="1249"/>
      <c r="CP623" s="1249"/>
      <c r="CQ623" s="1251"/>
      <c r="CR623" s="41"/>
      <c r="CS623" s="41"/>
    </row>
    <row r="624" spans="1:126" ht="12.95" customHeight="1">
      <c r="B624" s="58" t="s">
        <v>778</v>
      </c>
      <c r="C624" s="1094" t="s">
        <v>2548</v>
      </c>
      <c r="D624" s="1094"/>
      <c r="E624" s="1094"/>
      <c r="F624" s="1094"/>
      <c r="G624" s="1094"/>
      <c r="H624" s="1094"/>
      <c r="I624" s="1094"/>
      <c r="J624" s="1094"/>
      <c r="K624" s="1094"/>
      <c r="L624" s="1094"/>
      <c r="M624" s="1117" t="s">
        <v>2323</v>
      </c>
      <c r="N624" s="1117"/>
      <c r="O624" s="1117"/>
      <c r="P624" s="1117"/>
      <c r="Q624" s="1066"/>
      <c r="R624" s="1067"/>
      <c r="S624" s="1068"/>
      <c r="T624" s="1063"/>
      <c r="U624" s="1064"/>
      <c r="V624" s="1065"/>
      <c r="W624" s="1090"/>
      <c r="X624" s="1091"/>
      <c r="Y624" s="1092"/>
      <c r="Z624" s="1389" t="s">
        <v>2076</v>
      </c>
      <c r="AA624" s="1390"/>
      <c r="AB624" s="1391"/>
      <c r="AC624" s="1060"/>
      <c r="AD624" s="1061"/>
      <c r="AE624" s="1062"/>
      <c r="AF624" s="1069"/>
      <c r="AG624" s="1070"/>
      <c r="AH624" s="1070"/>
      <c r="AI624" s="1070"/>
      <c r="AJ624" s="1071"/>
      <c r="AK624" s="1126"/>
      <c r="AL624" s="1127"/>
      <c r="AM624" s="1127"/>
      <c r="AN624" s="1128"/>
      <c r="AO624" s="1203">
        <f>[4]EVERYTHING!$D$14</f>
        <v>3826700.57</v>
      </c>
      <c r="AP624" s="1203"/>
      <c r="AQ624" s="1203"/>
      <c r="AR624" s="1203"/>
      <c r="AS624" s="1203"/>
      <c r="AT624" s="966" t="str">
        <f t="shared" si="17"/>
        <v/>
      </c>
      <c r="AU624" s="43"/>
      <c r="AV624" s="43"/>
      <c r="AW624" s="43"/>
      <c r="AX624" s="43"/>
      <c r="AY624" s="43"/>
      <c r="AZ624" s="43"/>
      <c r="BN624" s="1248">
        <f t="shared" si="18"/>
        <v>0</v>
      </c>
      <c r="BO624" s="1249"/>
      <c r="BP624" s="1249"/>
      <c r="BQ624" s="1249"/>
      <c r="BR624" s="1251"/>
      <c r="BS624" s="1248">
        <f t="shared" si="19"/>
        <v>0</v>
      </c>
      <c r="BT624" s="1249"/>
      <c r="BU624" s="1249"/>
      <c r="BV624" s="1249"/>
      <c r="BW624" s="1251"/>
      <c r="BX624" s="1248">
        <f t="shared" si="20"/>
        <v>0</v>
      </c>
      <c r="BY624" s="1249"/>
      <c r="BZ624" s="1249"/>
      <c r="CA624" s="1249"/>
      <c r="CB624" s="1251"/>
      <c r="CC624" s="1248">
        <f t="shared" si="21"/>
        <v>0</v>
      </c>
      <c r="CD624" s="1249"/>
      <c r="CE624" s="1249"/>
      <c r="CF624" s="1249"/>
      <c r="CG624" s="1251"/>
      <c r="CH624" s="1248">
        <f t="shared" si="22"/>
        <v>0</v>
      </c>
      <c r="CI624" s="1249"/>
      <c r="CJ624" s="1249"/>
      <c r="CK624" s="1249"/>
      <c r="CL624" s="1251"/>
      <c r="CM624" s="1248">
        <f t="shared" si="23"/>
        <v>0</v>
      </c>
      <c r="CN624" s="1249"/>
      <c r="CO624" s="1249"/>
      <c r="CP624" s="1249"/>
      <c r="CQ624" s="1251"/>
      <c r="CR624" s="41"/>
      <c r="CS624" s="41"/>
    </row>
    <row r="625" spans="1:97" ht="12.95" customHeight="1">
      <c r="B625" s="58" t="s">
        <v>779</v>
      </c>
      <c r="C625" s="1094"/>
      <c r="D625" s="1094"/>
      <c r="E625" s="1094"/>
      <c r="F625" s="1094"/>
      <c r="G625" s="1094"/>
      <c r="H625" s="1094"/>
      <c r="I625" s="1094"/>
      <c r="J625" s="1094"/>
      <c r="K625" s="1094"/>
      <c r="L625" s="1094"/>
      <c r="M625" s="1117" t="s">
        <v>2076</v>
      </c>
      <c r="N625" s="1117"/>
      <c r="O625" s="1117"/>
      <c r="P625" s="1117"/>
      <c r="Q625" s="1066"/>
      <c r="R625" s="1067"/>
      <c r="S625" s="1068"/>
      <c r="T625" s="1063"/>
      <c r="U625" s="1064"/>
      <c r="V625" s="1065"/>
      <c r="W625" s="1090"/>
      <c r="X625" s="1091"/>
      <c r="Y625" s="1092"/>
      <c r="Z625" s="1389" t="s">
        <v>2076</v>
      </c>
      <c r="AA625" s="1390"/>
      <c r="AB625" s="1391"/>
      <c r="AC625" s="1060"/>
      <c r="AD625" s="1061"/>
      <c r="AE625" s="1062"/>
      <c r="AF625" s="1069"/>
      <c r="AG625" s="1070"/>
      <c r="AH625" s="1070"/>
      <c r="AI625" s="1070"/>
      <c r="AJ625" s="1071"/>
      <c r="AK625" s="1126"/>
      <c r="AL625" s="1127"/>
      <c r="AM625" s="1127"/>
      <c r="AN625" s="1128"/>
      <c r="AO625" s="1203"/>
      <c r="AP625" s="1203"/>
      <c r="AQ625" s="1203"/>
      <c r="AR625" s="1203"/>
      <c r="AS625" s="1203"/>
      <c r="AT625" s="966" t="str">
        <f t="shared" si="17"/>
        <v/>
      </c>
      <c r="AU625" s="43"/>
      <c r="AV625" s="43"/>
      <c r="AW625" s="43"/>
      <c r="AX625" s="43"/>
      <c r="AY625" s="43"/>
      <c r="AZ625" s="43"/>
      <c r="BN625" s="1248">
        <f t="shared" si="18"/>
        <v>0</v>
      </c>
      <c r="BO625" s="1249"/>
      <c r="BP625" s="1249"/>
      <c r="BQ625" s="1249"/>
      <c r="BR625" s="1251"/>
      <c r="BS625" s="1248">
        <f t="shared" si="19"/>
        <v>0</v>
      </c>
      <c r="BT625" s="1249"/>
      <c r="BU625" s="1249"/>
      <c r="BV625" s="1249"/>
      <c r="BW625" s="1251"/>
      <c r="BX625" s="1248">
        <f t="shared" si="20"/>
        <v>0</v>
      </c>
      <c r="BY625" s="1249"/>
      <c r="BZ625" s="1249"/>
      <c r="CA625" s="1249"/>
      <c r="CB625" s="1251"/>
      <c r="CC625" s="1248">
        <f t="shared" si="21"/>
        <v>0</v>
      </c>
      <c r="CD625" s="1249"/>
      <c r="CE625" s="1249"/>
      <c r="CF625" s="1249"/>
      <c r="CG625" s="1251"/>
      <c r="CH625" s="1248">
        <f t="shared" si="22"/>
        <v>0</v>
      </c>
      <c r="CI625" s="1249"/>
      <c r="CJ625" s="1249"/>
      <c r="CK625" s="1249"/>
      <c r="CL625" s="1251"/>
      <c r="CM625" s="1248">
        <f t="shared" si="23"/>
        <v>0</v>
      </c>
      <c r="CN625" s="1249"/>
      <c r="CO625" s="1249"/>
      <c r="CP625" s="1249"/>
      <c r="CQ625" s="1251"/>
      <c r="CR625" s="41"/>
      <c r="CS625" s="41"/>
    </row>
    <row r="626" spans="1:97" ht="12.95" customHeight="1">
      <c r="B626" s="58" t="s">
        <v>577</v>
      </c>
      <c r="C626" s="1094"/>
      <c r="D626" s="1094"/>
      <c r="E626" s="1094"/>
      <c r="F626" s="1094"/>
      <c r="G626" s="1094"/>
      <c r="H626" s="1094"/>
      <c r="I626" s="1094"/>
      <c r="J626" s="1094"/>
      <c r="K626" s="1094"/>
      <c r="L626" s="1094"/>
      <c r="M626" s="1117" t="s">
        <v>2076</v>
      </c>
      <c r="N626" s="1117"/>
      <c r="O626" s="1117"/>
      <c r="P626" s="1117"/>
      <c r="Q626" s="1066"/>
      <c r="R626" s="1067"/>
      <c r="S626" s="1068"/>
      <c r="T626" s="1063"/>
      <c r="U626" s="1064"/>
      <c r="V626" s="1065"/>
      <c r="W626" s="1090"/>
      <c r="X626" s="1091"/>
      <c r="Y626" s="1092"/>
      <c r="Z626" s="1389" t="s">
        <v>2076</v>
      </c>
      <c r="AA626" s="1390"/>
      <c r="AB626" s="1391"/>
      <c r="AC626" s="1060"/>
      <c r="AD626" s="1061"/>
      <c r="AE626" s="1062"/>
      <c r="AF626" s="1069"/>
      <c r="AG626" s="1070"/>
      <c r="AH626" s="1070"/>
      <c r="AI626" s="1070"/>
      <c r="AJ626" s="1071"/>
      <c r="AK626" s="1126"/>
      <c r="AL626" s="1127"/>
      <c r="AM626" s="1127"/>
      <c r="AN626" s="1128"/>
      <c r="AO626" s="1203"/>
      <c r="AP626" s="1203"/>
      <c r="AQ626" s="1203"/>
      <c r="AR626" s="1203"/>
      <c r="AS626" s="1203"/>
      <c r="AT626" s="966" t="str">
        <f t="shared" si="17"/>
        <v/>
      </c>
      <c r="AU626" s="41"/>
      <c r="AV626" s="41"/>
      <c r="AW626" s="41"/>
      <c r="AX626" s="41"/>
      <c r="AY626" s="41"/>
      <c r="AZ626" s="41"/>
      <c r="BN626" s="1248">
        <f t="shared" si="18"/>
        <v>0</v>
      </c>
      <c r="BO626" s="1249"/>
      <c r="BP626" s="1249"/>
      <c r="BQ626" s="1249"/>
      <c r="BR626" s="1251"/>
      <c r="BS626" s="1248">
        <f t="shared" si="19"/>
        <v>0</v>
      </c>
      <c r="BT626" s="1249"/>
      <c r="BU626" s="1249"/>
      <c r="BV626" s="1249"/>
      <c r="BW626" s="1251"/>
      <c r="BX626" s="1248">
        <f t="shared" si="20"/>
        <v>0</v>
      </c>
      <c r="BY626" s="1249"/>
      <c r="BZ626" s="1249"/>
      <c r="CA626" s="1249"/>
      <c r="CB626" s="1251"/>
      <c r="CC626" s="1248">
        <f t="shared" si="21"/>
        <v>0</v>
      </c>
      <c r="CD626" s="1249"/>
      <c r="CE626" s="1249"/>
      <c r="CF626" s="1249"/>
      <c r="CG626" s="1251"/>
      <c r="CH626" s="1248">
        <f t="shared" si="22"/>
        <v>0</v>
      </c>
      <c r="CI626" s="1249"/>
      <c r="CJ626" s="1249"/>
      <c r="CK626" s="1249"/>
      <c r="CL626" s="1251"/>
      <c r="CM626" s="1248">
        <f t="shared" si="23"/>
        <v>0</v>
      </c>
      <c r="CN626" s="1249"/>
      <c r="CO626" s="1249"/>
      <c r="CP626" s="1249"/>
      <c r="CQ626" s="1251"/>
      <c r="CR626" s="41"/>
      <c r="CS626" s="41"/>
    </row>
    <row r="627" spans="1:97" ht="12.95" customHeight="1">
      <c r="B627" s="58" t="s">
        <v>185</v>
      </c>
      <c r="C627" s="1094"/>
      <c r="D627" s="1094"/>
      <c r="E627" s="1094"/>
      <c r="F627" s="1094"/>
      <c r="G627" s="1094"/>
      <c r="H627" s="1094"/>
      <c r="I627" s="1094"/>
      <c r="J627" s="1094"/>
      <c r="K627" s="1094"/>
      <c r="L627" s="1094"/>
      <c r="M627" s="1117" t="s">
        <v>2076</v>
      </c>
      <c r="N627" s="1117"/>
      <c r="O627" s="1117"/>
      <c r="P627" s="1117"/>
      <c r="Q627" s="1066"/>
      <c r="R627" s="1067"/>
      <c r="S627" s="1068"/>
      <c r="T627" s="1063"/>
      <c r="U627" s="1064"/>
      <c r="V627" s="1065"/>
      <c r="W627" s="1090"/>
      <c r="X627" s="1091"/>
      <c r="Y627" s="1092"/>
      <c r="Z627" s="1389" t="s">
        <v>2076</v>
      </c>
      <c r="AA627" s="1390"/>
      <c r="AB627" s="1391"/>
      <c r="AC627" s="1060"/>
      <c r="AD627" s="1061"/>
      <c r="AE627" s="1062"/>
      <c r="AF627" s="1069"/>
      <c r="AG627" s="1070"/>
      <c r="AH627" s="1070"/>
      <c r="AI627" s="1070"/>
      <c r="AJ627" s="1071"/>
      <c r="AK627" s="1126"/>
      <c r="AL627" s="1127"/>
      <c r="AM627" s="1127"/>
      <c r="AN627" s="1128"/>
      <c r="AO627" s="1203"/>
      <c r="AP627" s="1203"/>
      <c r="AQ627" s="1203"/>
      <c r="AR627" s="1203"/>
      <c r="AS627" s="1203"/>
      <c r="AT627" s="966" t="str">
        <f t="shared" si="17"/>
        <v/>
      </c>
      <c r="AU627" s="41"/>
      <c r="AV627" s="41"/>
      <c r="AW627" s="41"/>
      <c r="AX627" s="41"/>
      <c r="AY627" s="41"/>
      <c r="AZ627" s="41"/>
      <c r="BN627" s="1248">
        <f t="shared" si="18"/>
        <v>0</v>
      </c>
      <c r="BO627" s="1249"/>
      <c r="BP627" s="1249"/>
      <c r="BQ627" s="1249"/>
      <c r="BR627" s="1251"/>
      <c r="BS627" s="1248">
        <f t="shared" si="19"/>
        <v>0</v>
      </c>
      <c r="BT627" s="1249"/>
      <c r="BU627" s="1249"/>
      <c r="BV627" s="1249"/>
      <c r="BW627" s="1251"/>
      <c r="BX627" s="1248">
        <f t="shared" si="20"/>
        <v>0</v>
      </c>
      <c r="BY627" s="1249"/>
      <c r="BZ627" s="1249"/>
      <c r="CA627" s="1249"/>
      <c r="CB627" s="1251"/>
      <c r="CC627" s="1248">
        <f t="shared" si="21"/>
        <v>0</v>
      </c>
      <c r="CD627" s="1249"/>
      <c r="CE627" s="1249"/>
      <c r="CF627" s="1249"/>
      <c r="CG627" s="1251"/>
      <c r="CH627" s="1248">
        <f t="shared" si="22"/>
        <v>0</v>
      </c>
      <c r="CI627" s="1249"/>
      <c r="CJ627" s="1249"/>
      <c r="CK627" s="1249"/>
      <c r="CL627" s="1251"/>
      <c r="CM627" s="1248">
        <f t="shared" si="23"/>
        <v>0</v>
      </c>
      <c r="CN627" s="1249"/>
      <c r="CO627" s="1249"/>
      <c r="CP627" s="1249"/>
      <c r="CQ627" s="1251"/>
      <c r="CR627" s="41"/>
      <c r="CS627" s="41"/>
    </row>
    <row r="628" spans="1:97" ht="12.95" customHeight="1">
      <c r="B628" s="58" t="s">
        <v>36</v>
      </c>
      <c r="C628" s="1094"/>
      <c r="D628" s="1094"/>
      <c r="E628" s="1094"/>
      <c r="F628" s="1094"/>
      <c r="G628" s="1094"/>
      <c r="H628" s="1094"/>
      <c r="I628" s="1094"/>
      <c r="J628" s="1094"/>
      <c r="K628" s="1094"/>
      <c r="L628" s="1094"/>
      <c r="M628" s="1117" t="s">
        <v>2076</v>
      </c>
      <c r="N628" s="1117"/>
      <c r="O628" s="1117"/>
      <c r="P628" s="1117"/>
      <c r="Q628" s="1066"/>
      <c r="R628" s="1067"/>
      <c r="S628" s="1068"/>
      <c r="T628" s="1063"/>
      <c r="U628" s="1064"/>
      <c r="V628" s="1065"/>
      <c r="W628" s="1090"/>
      <c r="X628" s="1091"/>
      <c r="Y628" s="1092"/>
      <c r="Z628" s="1389" t="s">
        <v>2076</v>
      </c>
      <c r="AA628" s="1390"/>
      <c r="AB628" s="1391"/>
      <c r="AC628" s="1060"/>
      <c r="AD628" s="1061"/>
      <c r="AE628" s="1062"/>
      <c r="AF628" s="1069"/>
      <c r="AG628" s="1070"/>
      <c r="AH628" s="1070"/>
      <c r="AI628" s="1070"/>
      <c r="AJ628" s="1071"/>
      <c r="AK628" s="1126"/>
      <c r="AL628" s="1127"/>
      <c r="AM628" s="1127"/>
      <c r="AN628" s="1128"/>
      <c r="AO628" s="1203"/>
      <c r="AP628" s="1203"/>
      <c r="AQ628" s="1203"/>
      <c r="AR628" s="1203"/>
      <c r="AS628" s="1203"/>
      <c r="AT628" s="966" t="str">
        <f t="shared" si="17"/>
        <v/>
      </c>
      <c r="AU628" s="41"/>
      <c r="AV628" s="41"/>
      <c r="AW628" s="41"/>
      <c r="AX628" s="41"/>
      <c r="AY628" s="41"/>
      <c r="AZ628" s="41"/>
      <c r="BN628" s="1248">
        <f t="shared" si="18"/>
        <v>0</v>
      </c>
      <c r="BO628" s="1249"/>
      <c r="BP628" s="1249"/>
      <c r="BQ628" s="1249"/>
      <c r="BR628" s="1251"/>
      <c r="BS628" s="1248">
        <f t="shared" si="19"/>
        <v>0</v>
      </c>
      <c r="BT628" s="1249"/>
      <c r="BU628" s="1249"/>
      <c r="BV628" s="1249"/>
      <c r="BW628" s="1251"/>
      <c r="BX628" s="1248">
        <f t="shared" si="20"/>
        <v>0</v>
      </c>
      <c r="BY628" s="1249"/>
      <c r="BZ628" s="1249"/>
      <c r="CA628" s="1249"/>
      <c r="CB628" s="1251"/>
      <c r="CC628" s="1248">
        <f t="shared" si="21"/>
        <v>0</v>
      </c>
      <c r="CD628" s="1249"/>
      <c r="CE628" s="1249"/>
      <c r="CF628" s="1249"/>
      <c r="CG628" s="1251"/>
      <c r="CH628" s="1248">
        <f t="shared" si="22"/>
        <v>0</v>
      </c>
      <c r="CI628" s="1249"/>
      <c r="CJ628" s="1249"/>
      <c r="CK628" s="1249"/>
      <c r="CL628" s="1251"/>
      <c r="CM628" s="1248">
        <f t="shared" si="23"/>
        <v>0</v>
      </c>
      <c r="CN628" s="1249"/>
      <c r="CO628" s="1249"/>
      <c r="CP628" s="1249"/>
      <c r="CQ628" s="1251"/>
      <c r="CR628" s="41"/>
      <c r="CS628" s="41"/>
    </row>
    <row r="629" spans="1:97" ht="12.95" customHeight="1">
      <c r="B629" s="58" t="s">
        <v>37</v>
      </c>
      <c r="C629" s="1094"/>
      <c r="D629" s="1094"/>
      <c r="E629" s="1094"/>
      <c r="F629" s="1094"/>
      <c r="G629" s="1094"/>
      <c r="H629" s="1094"/>
      <c r="I629" s="1094"/>
      <c r="J629" s="1094"/>
      <c r="K629" s="1094"/>
      <c r="L629" s="1094"/>
      <c r="M629" s="1117" t="s">
        <v>2076</v>
      </c>
      <c r="N629" s="1117"/>
      <c r="O629" s="1117"/>
      <c r="P629" s="1117"/>
      <c r="Q629" s="1066"/>
      <c r="R629" s="1067"/>
      <c r="S629" s="1068"/>
      <c r="T629" s="1063"/>
      <c r="U629" s="1064"/>
      <c r="V629" s="1065"/>
      <c r="W629" s="1090"/>
      <c r="X629" s="1091"/>
      <c r="Y629" s="1092"/>
      <c r="Z629" s="1389" t="s">
        <v>2076</v>
      </c>
      <c r="AA629" s="1390"/>
      <c r="AB629" s="1391"/>
      <c r="AC629" s="1060"/>
      <c r="AD629" s="1061"/>
      <c r="AE629" s="1062"/>
      <c r="AF629" s="1069"/>
      <c r="AG629" s="1070"/>
      <c r="AH629" s="1070"/>
      <c r="AI629" s="1070"/>
      <c r="AJ629" s="1071"/>
      <c r="AK629" s="1126"/>
      <c r="AL629" s="1127"/>
      <c r="AM629" s="1127"/>
      <c r="AN629" s="1128"/>
      <c r="AO629" s="1203"/>
      <c r="AP629" s="1203"/>
      <c r="AQ629" s="1203"/>
      <c r="AR629" s="1203"/>
      <c r="AS629" s="1203"/>
      <c r="AT629" s="966" t="str">
        <f t="shared" si="17"/>
        <v/>
      </c>
      <c r="AU629" s="43"/>
      <c r="AV629" s="43"/>
      <c r="AW629" s="43"/>
      <c r="AX629" s="43"/>
      <c r="AY629" s="43"/>
      <c r="AZ629" s="43"/>
      <c r="BN629" s="1248">
        <f t="shared" si="18"/>
        <v>0</v>
      </c>
      <c r="BO629" s="1249"/>
      <c r="BP629" s="1249"/>
      <c r="BQ629" s="1249"/>
      <c r="BR629" s="1251"/>
      <c r="BS629" s="1248">
        <f t="shared" si="19"/>
        <v>0</v>
      </c>
      <c r="BT629" s="1249"/>
      <c r="BU629" s="1249"/>
      <c r="BV629" s="1249"/>
      <c r="BW629" s="1251"/>
      <c r="BX629" s="1248">
        <f t="shared" si="20"/>
        <v>0</v>
      </c>
      <c r="BY629" s="1249"/>
      <c r="BZ629" s="1249"/>
      <c r="CA629" s="1249"/>
      <c r="CB629" s="1251"/>
      <c r="CC629" s="1248">
        <f t="shared" si="21"/>
        <v>0</v>
      </c>
      <c r="CD629" s="1249"/>
      <c r="CE629" s="1249"/>
      <c r="CF629" s="1249"/>
      <c r="CG629" s="1251"/>
      <c r="CH629" s="1248">
        <f t="shared" si="22"/>
        <v>0</v>
      </c>
      <c r="CI629" s="1249"/>
      <c r="CJ629" s="1249"/>
      <c r="CK629" s="1249"/>
      <c r="CL629" s="1251"/>
      <c r="CM629" s="1248">
        <f t="shared" si="23"/>
        <v>0</v>
      </c>
      <c r="CN629" s="1249"/>
      <c r="CO629" s="1249"/>
      <c r="CP629" s="1249"/>
      <c r="CQ629" s="1251"/>
      <c r="CR629" s="41"/>
      <c r="CS629" s="41"/>
    </row>
    <row r="630" spans="1:97" ht="12.95" customHeight="1">
      <c r="B630" s="1100" t="s">
        <v>383</v>
      </c>
      <c r="C630" s="1101"/>
      <c r="D630" s="1101"/>
      <c r="E630" s="1101"/>
      <c r="F630" s="1101"/>
      <c r="G630" s="1101"/>
      <c r="H630" s="1101"/>
      <c r="I630" s="1101"/>
      <c r="J630" s="1101"/>
      <c r="K630" s="1101"/>
      <c r="L630" s="1101"/>
      <c r="M630" s="1101"/>
      <c r="N630" s="1101"/>
      <c r="O630" s="1101"/>
      <c r="P630" s="1101"/>
      <c r="Q630" s="1101"/>
      <c r="R630" s="1101"/>
      <c r="S630" s="1101"/>
      <c r="T630" s="1101"/>
      <c r="U630" s="1101"/>
      <c r="V630" s="1101"/>
      <c r="W630" s="1101"/>
      <c r="X630" s="1101"/>
      <c r="Y630" s="1101"/>
      <c r="Z630" s="1101"/>
      <c r="AA630" s="1101"/>
      <c r="AB630" s="1101"/>
      <c r="AC630" s="1101"/>
      <c r="AD630" s="1101"/>
      <c r="AE630" s="1101"/>
      <c r="AF630" s="1101"/>
      <c r="AG630" s="1101"/>
      <c r="AH630" s="1101"/>
      <c r="AI630" s="1101"/>
      <c r="AJ630" s="1101"/>
      <c r="AK630" s="1101"/>
      <c r="AL630" s="1101"/>
      <c r="AM630" s="1101"/>
      <c r="AN630" s="1103"/>
      <c r="AO630" s="1159">
        <f>SUM(AO618:AS629)</f>
        <v>32178167.607250001</v>
      </c>
      <c r="AP630" s="1160"/>
      <c r="AQ630" s="1160"/>
      <c r="AR630" s="1160"/>
      <c r="AS630" s="1161"/>
      <c r="AT630" s="43"/>
      <c r="AU630" s="43"/>
      <c r="AV630" s="43"/>
      <c r="AW630" s="43"/>
      <c r="AX630" s="43"/>
      <c r="AY630" s="43"/>
      <c r="AZ630" s="43"/>
      <c r="BN630" s="1248">
        <f t="shared" si="18"/>
        <v>0</v>
      </c>
      <c r="BO630" s="1249"/>
      <c r="BP630" s="1249"/>
      <c r="BQ630" s="1249"/>
      <c r="BR630" s="1251"/>
      <c r="BS630" s="1248">
        <f t="shared" si="19"/>
        <v>0</v>
      </c>
      <c r="BT630" s="1249"/>
      <c r="BU630" s="1249"/>
      <c r="BV630" s="1249"/>
      <c r="BW630" s="1251"/>
      <c r="BX630" s="1248">
        <f t="shared" si="20"/>
        <v>0</v>
      </c>
      <c r="BY630" s="1249"/>
      <c r="BZ630" s="1249"/>
      <c r="CA630" s="1249"/>
      <c r="CB630" s="1251"/>
      <c r="CC630" s="1248">
        <f t="shared" si="21"/>
        <v>0</v>
      </c>
      <c r="CD630" s="1249"/>
      <c r="CE630" s="1249"/>
      <c r="CF630" s="1249"/>
      <c r="CG630" s="1251"/>
      <c r="CH630" s="1248">
        <f t="shared" si="22"/>
        <v>0</v>
      </c>
      <c r="CI630" s="1249"/>
      <c r="CJ630" s="1249"/>
      <c r="CK630" s="1249"/>
      <c r="CL630" s="1251"/>
      <c r="CM630" s="1248">
        <f t="shared" si="23"/>
        <v>0</v>
      </c>
      <c r="CN630" s="1249"/>
      <c r="CO630" s="1249"/>
      <c r="CP630" s="1249"/>
      <c r="CQ630" s="1251"/>
      <c r="CR630" s="41"/>
      <c r="CS630" s="41"/>
    </row>
    <row r="631" spans="1:97" ht="12.95" customHeight="1">
      <c r="B631" s="1100" t="s">
        <v>384</v>
      </c>
      <c r="C631" s="1101"/>
      <c r="D631" s="1101"/>
      <c r="E631" s="1101"/>
      <c r="F631" s="1101"/>
      <c r="G631" s="1101"/>
      <c r="H631" s="1101"/>
      <c r="I631" s="1101"/>
      <c r="J631" s="1101"/>
      <c r="K631" s="1101"/>
      <c r="L631" s="1101"/>
      <c r="M631" s="1101"/>
      <c r="N631" s="1101"/>
      <c r="O631" s="1101"/>
      <c r="P631" s="1101"/>
      <c r="Q631" s="1101"/>
      <c r="R631" s="1101"/>
      <c r="S631" s="1101"/>
      <c r="T631" s="1101"/>
      <c r="U631" s="1101"/>
      <c r="V631" s="1101"/>
      <c r="W631" s="1101"/>
      <c r="X631" s="1101"/>
      <c r="Y631" s="1101"/>
      <c r="Z631" s="1101"/>
      <c r="AA631" s="1101"/>
      <c r="AB631" s="1101"/>
      <c r="AC631" s="1101"/>
      <c r="AD631" s="1101"/>
      <c r="AE631" s="1101"/>
      <c r="AF631" s="1101"/>
      <c r="AG631" s="1101"/>
      <c r="AH631" s="1101"/>
      <c r="AI631" s="1101"/>
      <c r="AJ631" s="1101"/>
      <c r="AK631" s="1101"/>
      <c r="AL631" s="1101"/>
      <c r="AM631" s="1101"/>
      <c r="AN631" s="1103"/>
      <c r="AO631" s="1153">
        <f>[4]EVERYTHING!$D$17-[4]EVERYTHING!$D$111</f>
        <v>27653648.82076719</v>
      </c>
      <c r="AP631" s="1154"/>
      <c r="AQ631" s="1154"/>
      <c r="AR631" s="1154"/>
      <c r="AS631" s="1155"/>
      <c r="AT631" s="43"/>
      <c r="AU631" s="43"/>
      <c r="AV631" s="43"/>
      <c r="AW631" s="43"/>
      <c r="AX631" s="43"/>
      <c r="AY631" s="43"/>
      <c r="AZ631" s="43"/>
      <c r="BN631" s="1248">
        <f t="shared" si="18"/>
        <v>0</v>
      </c>
      <c r="BO631" s="1249"/>
      <c r="BP631" s="1249"/>
      <c r="BQ631" s="1249"/>
      <c r="BR631" s="1251"/>
      <c r="BS631" s="1248">
        <f t="shared" si="19"/>
        <v>0</v>
      </c>
      <c r="BT631" s="1249"/>
      <c r="BU631" s="1249"/>
      <c r="BV631" s="1249"/>
      <c r="BW631" s="1251"/>
      <c r="BX631" s="1248">
        <f t="shared" si="20"/>
        <v>0</v>
      </c>
      <c r="BY631" s="1249"/>
      <c r="BZ631" s="1249"/>
      <c r="CA631" s="1249"/>
      <c r="CB631" s="1251"/>
      <c r="CC631" s="1248">
        <f t="shared" si="21"/>
        <v>0</v>
      </c>
      <c r="CD631" s="1249"/>
      <c r="CE631" s="1249"/>
      <c r="CF631" s="1249"/>
      <c r="CG631" s="1251"/>
      <c r="CH631" s="1248">
        <f t="shared" si="22"/>
        <v>0</v>
      </c>
      <c r="CI631" s="1249"/>
      <c r="CJ631" s="1249"/>
      <c r="CK631" s="1249"/>
      <c r="CL631" s="1251"/>
      <c r="CM631" s="1248">
        <f t="shared" si="23"/>
        <v>0</v>
      </c>
      <c r="CN631" s="1249"/>
      <c r="CO631" s="1249"/>
      <c r="CP631" s="1249"/>
      <c r="CQ631" s="1251"/>
      <c r="CR631" s="41"/>
      <c r="CS631" s="41"/>
    </row>
    <row r="632" spans="1:97" ht="12.95" customHeight="1">
      <c r="B632" s="1387" t="s">
        <v>984</v>
      </c>
      <c r="C632" s="1102"/>
      <c r="D632" s="1102"/>
      <c r="E632" s="1102"/>
      <c r="F632" s="1102"/>
      <c r="G632" s="1102"/>
      <c r="H632" s="1102"/>
      <c r="I632" s="1102"/>
      <c r="J632" s="1102"/>
      <c r="K632" s="1102"/>
      <c r="L632" s="1102"/>
      <c r="M632" s="1102"/>
      <c r="N632" s="1102"/>
      <c r="O632" s="1102"/>
      <c r="P632" s="1102"/>
      <c r="Q632" s="1102"/>
      <c r="R632" s="1102"/>
      <c r="S632" s="1102"/>
      <c r="T632" s="1102"/>
      <c r="U632" s="1102"/>
      <c r="V632" s="1102"/>
      <c r="W632" s="1102"/>
      <c r="X632" s="1102"/>
      <c r="Y632" s="1102"/>
      <c r="Z632" s="1102"/>
      <c r="AA632" s="1102"/>
      <c r="AB632" s="1102"/>
      <c r="AC632" s="1102"/>
      <c r="AD632" s="1102"/>
      <c r="AE632" s="1102"/>
      <c r="AF632" s="1102"/>
      <c r="AG632" s="1102"/>
      <c r="AH632" s="1102"/>
      <c r="AI632" s="1102"/>
      <c r="AJ632" s="1102"/>
      <c r="AK632" s="1102"/>
      <c r="AL632" s="1102"/>
      <c r="AM632" s="1102"/>
      <c r="AN632" s="1388"/>
      <c r="AO632" s="1159">
        <f>AO630+AO631</f>
        <v>59831816.428017192</v>
      </c>
      <c r="AP632" s="1160"/>
      <c r="AQ632" s="1160"/>
      <c r="AR632" s="1160"/>
      <c r="AS632" s="1161"/>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302" t="str">
        <f>C618</f>
        <v>First Republic Bank Permanent Loan</v>
      </c>
      <c r="H634" s="1302"/>
      <c r="I634" s="1302"/>
      <c r="J634" s="1302"/>
      <c r="K634" s="1302"/>
      <c r="L634" s="1302"/>
      <c r="M634" s="1302"/>
      <c r="N634" s="1302"/>
      <c r="O634" s="1302"/>
      <c r="P634" s="1302"/>
      <c r="Q634" s="1302"/>
      <c r="R634" s="1302"/>
      <c r="S634" s="12"/>
      <c r="T634" s="61" t="s">
        <v>945</v>
      </c>
      <c r="U634" t="s">
        <v>90</v>
      </c>
      <c r="Z634" s="1302" t="str">
        <f>C619</f>
        <v xml:space="preserve">County of Santa Clara </v>
      </c>
      <c r="AA634" s="1302"/>
      <c r="AB634" s="1302"/>
      <c r="AC634" s="1302"/>
      <c r="AD634" s="1302"/>
      <c r="AE634" s="1302"/>
      <c r="AF634" s="1302"/>
      <c r="AG634" s="1302"/>
      <c r="AH634" s="1302"/>
      <c r="AI634" s="1302"/>
      <c r="AJ634" s="1302"/>
      <c r="AK634" s="1302"/>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095" t="s">
        <v>2515</v>
      </c>
      <c r="H635" s="1095"/>
      <c r="I635" s="1095"/>
      <c r="J635" s="1095"/>
      <c r="K635" s="1095"/>
      <c r="L635" s="1095"/>
      <c r="M635" s="1095"/>
      <c r="N635" s="1095"/>
      <c r="O635" s="1095"/>
      <c r="P635" s="1095"/>
      <c r="Q635" s="1095"/>
      <c r="R635" s="1095"/>
      <c r="S635" s="12"/>
      <c r="T635" s="4"/>
      <c r="U635" t="s">
        <v>397</v>
      </c>
      <c r="Z635" s="1095" t="s">
        <v>2455</v>
      </c>
      <c r="AA635" s="1095"/>
      <c r="AB635" s="1095"/>
      <c r="AC635" s="1095"/>
      <c r="AD635" s="1095"/>
      <c r="AE635" s="1095"/>
      <c r="AF635" s="1095"/>
      <c r="AG635" s="1095"/>
      <c r="AH635" s="1095"/>
      <c r="AI635" s="1095"/>
      <c r="AJ635" s="1095"/>
      <c r="AK635" s="109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5" t="s">
        <v>2516</v>
      </c>
      <c r="H636" s="1095"/>
      <c r="I636" s="1095"/>
      <c r="J636" s="1095"/>
      <c r="K636" s="1095"/>
      <c r="L636" s="1095"/>
      <c r="M636" s="1095"/>
      <c r="N636" s="1095"/>
      <c r="O636" s="1095"/>
      <c r="P636" s="1095"/>
      <c r="Q636" s="1095"/>
      <c r="R636" s="1095"/>
      <c r="T636" s="4"/>
      <c r="U636" t="s">
        <v>459</v>
      </c>
      <c r="Z636" s="1096" t="s">
        <v>2456</v>
      </c>
      <c r="AA636" s="1096"/>
      <c r="AB636" s="1096"/>
      <c r="AC636" s="1096"/>
      <c r="AD636" s="1096"/>
      <c r="AE636" s="1096"/>
      <c r="AF636" s="1096"/>
      <c r="AG636" s="1096"/>
      <c r="AH636" s="1096"/>
      <c r="AI636" s="1096"/>
      <c r="AJ636" s="1096"/>
      <c r="AK636" s="1096"/>
      <c r="AM636" s="43"/>
      <c r="AN636" s="43"/>
      <c r="AO636" s="43"/>
      <c r="AP636" s="43"/>
      <c r="AQ636" s="43"/>
      <c r="AR636" s="43"/>
      <c r="AS636" s="43"/>
      <c r="AT636" s="43"/>
      <c r="AU636" s="43"/>
      <c r="AV636" s="43"/>
      <c r="AW636" s="43"/>
      <c r="AX636" s="43"/>
      <c r="AY636" s="43"/>
      <c r="AZ636" s="43"/>
      <c r="CP636" s="62" t="s">
        <v>1803</v>
      </c>
      <c r="CQ636" s="481">
        <f>CQ634+CQ615</f>
        <v>53</v>
      </c>
      <c r="CR636" s="41"/>
      <c r="CS636" s="41"/>
    </row>
    <row r="637" spans="1:97" ht="12.95" customHeight="1">
      <c r="A637" s="4"/>
      <c r="B637" t="s">
        <v>874</v>
      </c>
      <c r="G637" s="1095" t="s">
        <v>2513</v>
      </c>
      <c r="H637" s="1095"/>
      <c r="I637" s="1095"/>
      <c r="J637" s="1095"/>
      <c r="K637" s="1095"/>
      <c r="L637" s="1095"/>
      <c r="M637" s="1095"/>
      <c r="N637" s="1095"/>
      <c r="O637" s="1095"/>
      <c r="P637" s="1095"/>
      <c r="Q637" s="1095"/>
      <c r="R637" s="1095"/>
      <c r="S637" s="12"/>
      <c r="T637" s="4"/>
      <c r="U637" t="s">
        <v>874</v>
      </c>
      <c r="Z637" s="1096" t="s">
        <v>2457</v>
      </c>
      <c r="AA637" s="1096"/>
      <c r="AB637" s="1096"/>
      <c r="AC637" s="1096"/>
      <c r="AD637" s="1096"/>
      <c r="AE637" s="1096"/>
      <c r="AF637" s="1096"/>
      <c r="AG637" s="1096"/>
      <c r="AH637" s="1096"/>
      <c r="AI637" s="1096"/>
      <c r="AJ637" s="1096"/>
      <c r="AK637" s="1096"/>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29" t="s">
        <v>2517</v>
      </c>
      <c r="H638" s="1119"/>
      <c r="I638" s="1119"/>
      <c r="J638" s="1119"/>
      <c r="K638" s="1119"/>
      <c r="L638" s="1119"/>
      <c r="O638" s="42" t="s">
        <v>859</v>
      </c>
      <c r="P638" s="1291"/>
      <c r="Q638" s="1291"/>
      <c r="R638" s="1291"/>
      <c r="S638" s="14"/>
      <c r="T638" s="4"/>
      <c r="U638" t="s">
        <v>686</v>
      </c>
      <c r="Z638" s="1129" t="s">
        <v>2458</v>
      </c>
      <c r="AA638" s="1119"/>
      <c r="AB638" s="1119"/>
      <c r="AC638" s="1119"/>
      <c r="AD638" s="1119"/>
      <c r="AE638" s="1119"/>
      <c r="AH638" s="42" t="s">
        <v>859</v>
      </c>
      <c r="AI638" s="1291"/>
      <c r="AJ638" s="1291"/>
      <c r="AK638" s="1291"/>
      <c r="AM638" s="43"/>
      <c r="AN638" s="43"/>
      <c r="AO638" s="43"/>
      <c r="AP638" s="43"/>
      <c r="AQ638" s="43"/>
      <c r="AR638" s="43"/>
      <c r="AS638" s="43"/>
      <c r="AT638" s="43"/>
      <c r="AU638" s="43"/>
      <c r="AV638" s="43"/>
      <c r="AW638" s="43"/>
      <c r="AX638" s="43"/>
      <c r="AY638" s="43"/>
      <c r="AZ638" s="43"/>
      <c r="BN638" s="1513">
        <f>BN613+BN620+BN632</f>
        <v>37</v>
      </c>
      <c r="BO638" s="1514"/>
      <c r="BP638" s="1514"/>
      <c r="BQ638" s="1514"/>
      <c r="BR638" s="1515"/>
      <c r="BS638" s="1513">
        <f>BS613+BS620+BS632</f>
        <v>8</v>
      </c>
      <c r="BT638" s="1514"/>
      <c r="BU638" s="1514"/>
      <c r="BV638" s="1514"/>
      <c r="BW638" s="1515"/>
      <c r="BX638" s="1513">
        <f>BX613+BX620+BX632</f>
        <v>5</v>
      </c>
      <c r="BY638" s="1514"/>
      <c r="BZ638" s="1514"/>
      <c r="CA638" s="1514"/>
      <c r="CB638" s="1515"/>
      <c r="CC638" s="1513">
        <f>CC613+CC620+CC632</f>
        <v>0</v>
      </c>
      <c r="CD638" s="1514"/>
      <c r="CE638" s="1514"/>
      <c r="CF638" s="1514"/>
      <c r="CG638" s="1515"/>
      <c r="CH638" s="1513">
        <f>CH613+CH620+CH632</f>
        <v>0</v>
      </c>
      <c r="CI638" s="1514"/>
      <c r="CJ638" s="1514"/>
      <c r="CK638" s="1514"/>
      <c r="CL638" s="1515"/>
      <c r="CM638" s="1252">
        <f>CM632+CM620+CM613</f>
        <v>0</v>
      </c>
      <c r="CN638" s="1318"/>
      <c r="CO638" s="1318"/>
      <c r="CP638" s="1318"/>
      <c r="CQ638" s="1253"/>
      <c r="CR638" s="41"/>
      <c r="CS638" s="41"/>
    </row>
    <row r="639" spans="1:97" ht="12.95" customHeight="1">
      <c r="A639" s="4"/>
      <c r="B639" t="s">
        <v>875</v>
      </c>
      <c r="H639" s="1292" t="s">
        <v>2518</v>
      </c>
      <c r="I639" s="1095"/>
      <c r="J639" s="1095"/>
      <c r="K639" s="1095"/>
      <c r="L639" s="1095"/>
      <c r="M639" s="1095"/>
      <c r="N639" s="1095"/>
      <c r="O639" s="1095"/>
      <c r="P639" s="1095"/>
      <c r="Q639" s="1095"/>
      <c r="R639" s="1095"/>
      <c r="S639" s="12"/>
      <c r="T639" s="4"/>
      <c r="U639" t="s">
        <v>875</v>
      </c>
      <c r="AA639" s="1095" t="s">
        <v>2459</v>
      </c>
      <c r="AB639" s="1095"/>
      <c r="AC639" s="1095"/>
      <c r="AD639" s="1095"/>
      <c r="AE639" s="1095"/>
      <c r="AF639" s="1095"/>
      <c r="AG639" s="1095"/>
      <c r="AH639" s="1095"/>
      <c r="AI639" s="1095"/>
      <c r="AJ639" s="1095"/>
      <c r="AK639" s="109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20" t="s">
        <v>116</v>
      </c>
      <c r="O640" s="1120"/>
      <c r="T640" s="4"/>
      <c r="U640" t="s">
        <v>877</v>
      </c>
      <c r="AG640" s="1120" t="s">
        <v>116</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302" t="str">
        <f>C620</f>
        <v xml:space="preserve">City of Palo Alto </v>
      </c>
      <c r="H642" s="1302"/>
      <c r="I642" s="1302"/>
      <c r="J642" s="1302"/>
      <c r="K642" s="1302"/>
      <c r="L642" s="1302"/>
      <c r="M642" s="1302"/>
      <c r="N642" s="1302"/>
      <c r="O642" s="1302"/>
      <c r="P642" s="1302"/>
      <c r="Q642" s="1302"/>
      <c r="R642" s="1302"/>
      <c r="T642" s="61" t="s">
        <v>460</v>
      </c>
      <c r="U642" t="s">
        <v>90</v>
      </c>
      <c r="Z642" s="1302" t="str">
        <f>C621</f>
        <v>Value of Donated Land (GP equity or deferred fee or sponsor loan TBD based on investor negotiations)</v>
      </c>
      <c r="AA642" s="1302"/>
      <c r="AB642" s="1302"/>
      <c r="AC642" s="1302"/>
      <c r="AD642" s="1302"/>
      <c r="AE642" s="1302"/>
      <c r="AF642" s="1302"/>
      <c r="AG642" s="1302"/>
      <c r="AH642" s="1302"/>
      <c r="AI642" s="1302"/>
      <c r="AJ642" s="1302"/>
      <c r="AK642" s="130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5" t="s">
        <v>2469</v>
      </c>
      <c r="H643" s="1095"/>
      <c r="I643" s="1095"/>
      <c r="J643" s="1095"/>
      <c r="K643" s="1095"/>
      <c r="L643" s="1095"/>
      <c r="M643" s="1095"/>
      <c r="N643" s="1095"/>
      <c r="O643" s="1095"/>
      <c r="P643" s="1095"/>
      <c r="Q643" s="1095"/>
      <c r="R643" s="1095"/>
      <c r="T643" s="4"/>
      <c r="U643" t="s">
        <v>397</v>
      </c>
      <c r="Z643" s="1095" t="s">
        <v>2455</v>
      </c>
      <c r="AA643" s="1095"/>
      <c r="AB643" s="1095"/>
      <c r="AC643" s="1095"/>
      <c r="AD643" s="1095"/>
      <c r="AE643" s="1095"/>
      <c r="AF643" s="1095"/>
      <c r="AG643" s="1095"/>
      <c r="AH643" s="1095"/>
      <c r="AI643" s="1095"/>
      <c r="AJ643" s="1095"/>
      <c r="AK643" s="109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6" t="s">
        <v>2363</v>
      </c>
      <c r="H644" s="1096"/>
      <c r="I644" s="1096"/>
      <c r="J644" s="1096"/>
      <c r="K644" s="1096"/>
      <c r="L644" s="1096"/>
      <c r="M644" s="1096"/>
      <c r="N644" s="1096"/>
      <c r="O644" s="1096"/>
      <c r="P644" s="1096"/>
      <c r="Q644" s="1096"/>
      <c r="R644" s="1096"/>
      <c r="T644" s="4"/>
      <c r="U644" t="s">
        <v>459</v>
      </c>
      <c r="Z644" s="1096" t="s">
        <v>2456</v>
      </c>
      <c r="AA644" s="1096"/>
      <c r="AB644" s="1096"/>
      <c r="AC644" s="1096"/>
      <c r="AD644" s="1096"/>
      <c r="AE644" s="1096"/>
      <c r="AF644" s="1096"/>
      <c r="AG644" s="1096"/>
      <c r="AH644" s="1096"/>
      <c r="AI644" s="1096"/>
      <c r="AJ644" s="1096"/>
      <c r="AK644" s="109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6" t="s">
        <v>2470</v>
      </c>
      <c r="H645" s="1096"/>
      <c r="I645" s="1096"/>
      <c r="J645" s="1096"/>
      <c r="K645" s="1096"/>
      <c r="L645" s="1096"/>
      <c r="M645" s="1096"/>
      <c r="N645" s="1096"/>
      <c r="O645" s="1096"/>
      <c r="P645" s="1096"/>
      <c r="Q645" s="1096"/>
      <c r="R645" s="1096"/>
      <c r="T645" s="4"/>
      <c r="U645" t="s">
        <v>874</v>
      </c>
      <c r="Z645" s="1096" t="s">
        <v>2457</v>
      </c>
      <c r="AA645" s="1096"/>
      <c r="AB645" s="1096"/>
      <c r="AC645" s="1096"/>
      <c r="AD645" s="1096"/>
      <c r="AE645" s="1096"/>
      <c r="AF645" s="1096"/>
      <c r="AG645" s="1096"/>
      <c r="AH645" s="1096"/>
      <c r="AI645" s="1096"/>
      <c r="AJ645" s="1096"/>
      <c r="AK645" s="109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29" t="s">
        <v>2463</v>
      </c>
      <c r="H646" s="1119"/>
      <c r="I646" s="1119"/>
      <c r="J646" s="1119"/>
      <c r="K646" s="1119"/>
      <c r="L646" s="1119"/>
      <c r="O646" s="42" t="s">
        <v>859</v>
      </c>
      <c r="P646" s="1291"/>
      <c r="Q646" s="1291"/>
      <c r="R646" s="1291"/>
      <c r="T646" s="4"/>
      <c r="U646" t="s">
        <v>686</v>
      </c>
      <c r="Z646" s="1119" t="s">
        <v>2458</v>
      </c>
      <c r="AA646" s="1119"/>
      <c r="AB646" s="1119"/>
      <c r="AC646" s="1119"/>
      <c r="AD646" s="1119"/>
      <c r="AE646" s="1119"/>
      <c r="AH646" s="42" t="s">
        <v>859</v>
      </c>
      <c r="AI646" s="1291"/>
      <c r="AJ646" s="1291"/>
      <c r="AK646" s="129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5" t="s">
        <v>2459</v>
      </c>
      <c r="I647" s="1095"/>
      <c r="J647" s="1095"/>
      <c r="K647" s="1095"/>
      <c r="L647" s="1095"/>
      <c r="M647" s="1095"/>
      <c r="N647" s="1095"/>
      <c r="O647" s="1095"/>
      <c r="P647" s="1095"/>
      <c r="Q647" s="1095"/>
      <c r="R647" s="1095"/>
      <c r="T647" s="4"/>
      <c r="U647" t="s">
        <v>875</v>
      </c>
      <c r="AA647" s="1095" t="s">
        <v>2471</v>
      </c>
      <c r="AB647" s="1095"/>
      <c r="AC647" s="1095"/>
      <c r="AD647" s="1095"/>
      <c r="AE647" s="1095"/>
      <c r="AF647" s="1095"/>
      <c r="AG647" s="1095"/>
      <c r="AH647" s="1095"/>
      <c r="AI647" s="1095"/>
      <c r="AJ647" s="1095"/>
      <c r="AK647" s="109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20" t="s">
        <v>116</v>
      </c>
      <c r="O648" s="1120"/>
      <c r="T648" s="4"/>
      <c r="U648" t="s">
        <v>877</v>
      </c>
      <c r="AG648" s="1120" t="s">
        <v>116</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302" t="str">
        <f>C622</f>
        <v>GP Equity (Eden Investments, Inc., an affiliate of Eden Housing, Inc.)</v>
      </c>
      <c r="H650" s="1302"/>
      <c r="I650" s="1302"/>
      <c r="J650" s="1302"/>
      <c r="K650" s="1302"/>
      <c r="L650" s="1302"/>
      <c r="M650" s="1302"/>
      <c r="N650" s="1302"/>
      <c r="O650" s="1302"/>
      <c r="P650" s="1302"/>
      <c r="Q650" s="1302"/>
      <c r="R650" s="1302"/>
      <c r="T650" s="61" t="s">
        <v>463</v>
      </c>
      <c r="U650" t="s">
        <v>90</v>
      </c>
      <c r="Z650" s="1302" t="str">
        <f>C623</f>
        <v>Accrued interest on soft sources</v>
      </c>
      <c r="AA650" s="1302"/>
      <c r="AB650" s="1302"/>
      <c r="AC650" s="1302"/>
      <c r="AD650" s="1302"/>
      <c r="AE650" s="1302"/>
      <c r="AF650" s="1302"/>
      <c r="AG650" s="1302"/>
      <c r="AH650" s="1302"/>
      <c r="AI650" s="1302"/>
      <c r="AJ650" s="1302"/>
      <c r="AK650" s="130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5" t="s">
        <v>2428</v>
      </c>
      <c r="H651" s="1095"/>
      <c r="I651" s="1095"/>
      <c r="J651" s="1095"/>
      <c r="K651" s="1095"/>
      <c r="L651" s="1095"/>
      <c r="M651" s="1095"/>
      <c r="N651" s="1095"/>
      <c r="O651" s="1095"/>
      <c r="P651" s="1095"/>
      <c r="Q651" s="1095"/>
      <c r="R651" s="1095"/>
      <c r="T651" s="4"/>
      <c r="U651" t="s">
        <v>397</v>
      </c>
      <c r="Z651" s="1095" t="s">
        <v>2539</v>
      </c>
      <c r="AA651" s="1095"/>
      <c r="AB651" s="1095"/>
      <c r="AC651" s="1095"/>
      <c r="AD651" s="1095"/>
      <c r="AE651" s="1095"/>
      <c r="AF651" s="1095"/>
      <c r="AG651" s="1095"/>
      <c r="AH651" s="1095"/>
      <c r="AI651" s="1095"/>
      <c r="AJ651" s="1095"/>
      <c r="AK651" s="109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5" t="s">
        <v>2371</v>
      </c>
      <c r="H652" s="1095"/>
      <c r="I652" s="1095"/>
      <c r="J652" s="1095"/>
      <c r="K652" s="1095"/>
      <c r="L652" s="1095"/>
      <c r="M652" s="1095"/>
      <c r="N652" s="1095"/>
      <c r="O652" s="1095"/>
      <c r="P652" s="1095"/>
      <c r="Q652" s="1095"/>
      <c r="R652" s="1095"/>
      <c r="T652" s="4"/>
      <c r="U652" t="s">
        <v>459</v>
      </c>
      <c r="Z652" s="1095" t="s">
        <v>2540</v>
      </c>
      <c r="AA652" s="1095"/>
      <c r="AB652" s="1095"/>
      <c r="AC652" s="1095"/>
      <c r="AD652" s="1095"/>
      <c r="AE652" s="1095"/>
      <c r="AF652" s="1095"/>
      <c r="AG652" s="1095"/>
      <c r="AH652" s="1095"/>
      <c r="AI652" s="1095"/>
      <c r="AJ652" s="1095"/>
      <c r="AK652" s="109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5" t="s">
        <v>2379</v>
      </c>
      <c r="H653" s="1095"/>
      <c r="I653" s="1095"/>
      <c r="J653" s="1095"/>
      <c r="K653" s="1095"/>
      <c r="L653" s="1095"/>
      <c r="M653" s="1095"/>
      <c r="N653" s="1095"/>
      <c r="O653" s="1095"/>
      <c r="P653" s="1095"/>
      <c r="Q653" s="1095"/>
      <c r="R653" s="1095"/>
      <c r="T653" s="4"/>
      <c r="U653" t="s">
        <v>874</v>
      </c>
      <c r="Z653" s="1095" t="s">
        <v>2541</v>
      </c>
      <c r="AA653" s="1095"/>
      <c r="AB653" s="1095"/>
      <c r="AC653" s="1095"/>
      <c r="AD653" s="1095"/>
      <c r="AE653" s="1095"/>
      <c r="AF653" s="1095"/>
      <c r="AG653" s="1095"/>
      <c r="AH653" s="1095"/>
      <c r="AI653" s="1095"/>
      <c r="AJ653" s="1095"/>
      <c r="AK653" s="109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9" t="s">
        <v>2380</v>
      </c>
      <c r="H654" s="1119"/>
      <c r="I654" s="1119"/>
      <c r="J654" s="1119"/>
      <c r="K654" s="1119"/>
      <c r="L654" s="1119"/>
      <c r="O654" s="42" t="s">
        <v>859</v>
      </c>
      <c r="P654" s="1291"/>
      <c r="Q654" s="1291"/>
      <c r="R654" s="1291"/>
      <c r="T654" s="4"/>
      <c r="U654" t="s">
        <v>686</v>
      </c>
      <c r="Z654" s="1129" t="s">
        <v>2542</v>
      </c>
      <c r="AA654" s="1119"/>
      <c r="AB654" s="1119"/>
      <c r="AC654" s="1119"/>
      <c r="AD654" s="1119"/>
      <c r="AE654" s="1119"/>
      <c r="AH654" s="42" t="s">
        <v>859</v>
      </c>
      <c r="AI654" s="1291"/>
      <c r="AJ654" s="1291"/>
      <c r="AK654" s="129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5" t="s">
        <v>2466</v>
      </c>
      <c r="I655" s="1095"/>
      <c r="J655" s="1095"/>
      <c r="K655" s="1095"/>
      <c r="L655" s="1095"/>
      <c r="M655" s="1095"/>
      <c r="N655" s="1095"/>
      <c r="O655" s="1095"/>
      <c r="P655" s="1095"/>
      <c r="Q655" s="1095"/>
      <c r="R655" s="1095"/>
      <c r="T655" s="4"/>
      <c r="U655" t="s">
        <v>875</v>
      </c>
      <c r="AA655" s="1095" t="s">
        <v>2299</v>
      </c>
      <c r="AB655" s="1095"/>
      <c r="AC655" s="1095"/>
      <c r="AD655" s="1095"/>
      <c r="AE655" s="1095"/>
      <c r="AF655" s="1095"/>
      <c r="AG655" s="1095"/>
      <c r="AH655" s="1095"/>
      <c r="AI655" s="1095"/>
      <c r="AJ655" s="1095"/>
      <c r="AK655" s="109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20" t="s">
        <v>116</v>
      </c>
      <c r="O656" s="1120"/>
      <c r="T656" s="4"/>
      <c r="U656" t="s">
        <v>877</v>
      </c>
      <c r="AG656" s="1120" t="s">
        <v>116</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302" t="str">
        <f>C624</f>
        <v>Local Fee Waivers</v>
      </c>
      <c r="H658" s="1302"/>
      <c r="I658" s="1302"/>
      <c r="J658" s="1302"/>
      <c r="K658" s="1302"/>
      <c r="L658" s="1302"/>
      <c r="M658" s="1302"/>
      <c r="N658" s="1302"/>
      <c r="O658" s="1302"/>
      <c r="P658" s="1302"/>
      <c r="Q658" s="1302"/>
      <c r="R658" s="1302"/>
      <c r="T658" s="61" t="s">
        <v>779</v>
      </c>
      <c r="U658" t="s">
        <v>90</v>
      </c>
      <c r="Z658" s="1302">
        <f>C625</f>
        <v>0</v>
      </c>
      <c r="AA658" s="1302"/>
      <c r="AB658" s="1302"/>
      <c r="AC658" s="1302"/>
      <c r="AD658" s="1302"/>
      <c r="AE658" s="1302"/>
      <c r="AF658" s="1302"/>
      <c r="AG658" s="1302"/>
      <c r="AH658" s="1302"/>
      <c r="AI658" s="1302"/>
      <c r="AJ658" s="1302"/>
      <c r="AK658" s="130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5" t="s">
        <v>2460</v>
      </c>
      <c r="H659" s="1095"/>
      <c r="I659" s="1095"/>
      <c r="J659" s="1095"/>
      <c r="K659" s="1095"/>
      <c r="L659" s="1095"/>
      <c r="M659" s="1095"/>
      <c r="N659" s="1095"/>
      <c r="O659" s="1095"/>
      <c r="P659" s="1095"/>
      <c r="Q659" s="1095"/>
      <c r="R659" s="1095"/>
      <c r="T659" s="4"/>
      <c r="U659" t="s">
        <v>397</v>
      </c>
      <c r="Z659" s="1095"/>
      <c r="AA659" s="1095"/>
      <c r="AB659" s="1095"/>
      <c r="AC659" s="1095"/>
      <c r="AD659" s="1095"/>
      <c r="AE659" s="1095"/>
      <c r="AF659" s="1095"/>
      <c r="AG659" s="1095"/>
      <c r="AH659" s="1095"/>
      <c r="AI659" s="1095"/>
      <c r="AJ659" s="1095"/>
      <c r="AK659" s="109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6" t="s">
        <v>2461</v>
      </c>
      <c r="H660" s="1096"/>
      <c r="I660" s="1096"/>
      <c r="J660" s="1096"/>
      <c r="K660" s="1096"/>
      <c r="L660" s="1096"/>
      <c r="M660" s="1096"/>
      <c r="N660" s="1096"/>
      <c r="O660" s="1096"/>
      <c r="P660" s="1096"/>
      <c r="Q660" s="1096"/>
      <c r="R660" s="1096"/>
      <c r="T660" s="4"/>
      <c r="U660" t="s">
        <v>459</v>
      </c>
      <c r="Z660" s="1096"/>
      <c r="AA660" s="1096"/>
      <c r="AB660" s="1096"/>
      <c r="AC660" s="1096"/>
      <c r="AD660" s="1096"/>
      <c r="AE660" s="1096"/>
      <c r="AF660" s="1096"/>
      <c r="AG660" s="1096"/>
      <c r="AH660" s="1096"/>
      <c r="AI660" s="1096"/>
      <c r="AJ660" s="1096"/>
      <c r="AK660" s="109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6" t="s">
        <v>2537</v>
      </c>
      <c r="H661" s="1096"/>
      <c r="I661" s="1096"/>
      <c r="J661" s="1096"/>
      <c r="K661" s="1096"/>
      <c r="L661" s="1096"/>
      <c r="M661" s="1096"/>
      <c r="N661" s="1096"/>
      <c r="O661" s="1096"/>
      <c r="P661" s="1096"/>
      <c r="Q661" s="1096"/>
      <c r="R661" s="1096"/>
      <c r="T661" s="4"/>
      <c r="U661" t="s">
        <v>874</v>
      </c>
      <c r="Z661" s="1096"/>
      <c r="AA661" s="1096"/>
      <c r="AB661" s="1096"/>
      <c r="AC661" s="1096"/>
      <c r="AD661" s="1096"/>
      <c r="AE661" s="1096"/>
      <c r="AF661" s="1096"/>
      <c r="AG661" s="1096"/>
      <c r="AH661" s="1096"/>
      <c r="AI661" s="1096"/>
      <c r="AJ661" s="1096"/>
      <c r="AK661" s="109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29" t="s">
        <v>2538</v>
      </c>
      <c r="H662" s="1119"/>
      <c r="I662" s="1119"/>
      <c r="J662" s="1119"/>
      <c r="K662" s="1119"/>
      <c r="L662" s="1119"/>
      <c r="O662" s="42" t="s">
        <v>859</v>
      </c>
      <c r="P662" s="1291"/>
      <c r="Q662" s="1291"/>
      <c r="R662" s="1291"/>
      <c r="T662" s="4"/>
      <c r="U662" t="s">
        <v>686</v>
      </c>
      <c r="Z662" s="1119"/>
      <c r="AA662" s="1119"/>
      <c r="AB662" s="1119"/>
      <c r="AC662" s="1119"/>
      <c r="AD662" s="1119"/>
      <c r="AE662" s="1119"/>
      <c r="AH662" s="42" t="s">
        <v>859</v>
      </c>
      <c r="AI662" s="1291"/>
      <c r="AJ662" s="1291"/>
      <c r="AK662" s="129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5" t="s">
        <v>2548</v>
      </c>
      <c r="I663" s="1095"/>
      <c r="J663" s="1095"/>
      <c r="K663" s="1095"/>
      <c r="L663" s="1095"/>
      <c r="M663" s="1095"/>
      <c r="N663" s="1095"/>
      <c r="O663" s="1095"/>
      <c r="P663" s="1095"/>
      <c r="Q663" s="1095"/>
      <c r="R663" s="1095"/>
      <c r="T663" s="4"/>
      <c r="U663" t="s">
        <v>875</v>
      </c>
      <c r="AA663" s="1095"/>
      <c r="AB663" s="1095"/>
      <c r="AC663" s="1095"/>
      <c r="AD663" s="1095"/>
      <c r="AE663" s="1095"/>
      <c r="AF663" s="1095"/>
      <c r="AG663" s="1095"/>
      <c r="AH663" s="1095"/>
      <c r="AI663" s="1095"/>
      <c r="AJ663" s="1095"/>
      <c r="AK663" s="109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20" t="s">
        <v>116</v>
      </c>
      <c r="O664" s="1120"/>
      <c r="T664" s="4"/>
      <c r="U664" t="s">
        <v>877</v>
      </c>
      <c r="AG664" s="1120" t="s">
        <v>511</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302">
        <f>C626</f>
        <v>0</v>
      </c>
      <c r="H666" s="1302"/>
      <c r="I666" s="1302"/>
      <c r="J666" s="1302"/>
      <c r="K666" s="1302"/>
      <c r="L666" s="1302"/>
      <c r="M666" s="1302"/>
      <c r="N666" s="1302"/>
      <c r="O666" s="1302"/>
      <c r="P666" s="1302"/>
      <c r="Q666" s="1302"/>
      <c r="R666" s="1302"/>
      <c r="T666" s="61" t="s">
        <v>185</v>
      </c>
      <c r="U666" t="s">
        <v>90</v>
      </c>
      <c r="Z666" s="1302">
        <f>C627</f>
        <v>0</v>
      </c>
      <c r="AA666" s="1302"/>
      <c r="AB666" s="1302"/>
      <c r="AC666" s="1302"/>
      <c r="AD666" s="1302"/>
      <c r="AE666" s="1302"/>
      <c r="AF666" s="1302"/>
      <c r="AG666" s="1302"/>
      <c r="AH666" s="1302"/>
      <c r="AI666" s="1302"/>
      <c r="AJ666" s="1302"/>
      <c r="AK666" s="130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5"/>
      <c r="H667" s="1095"/>
      <c r="I667" s="1095"/>
      <c r="J667" s="1095"/>
      <c r="K667" s="1095"/>
      <c r="L667" s="1095"/>
      <c r="M667" s="1095"/>
      <c r="N667" s="1095"/>
      <c r="O667" s="1095"/>
      <c r="P667" s="1095"/>
      <c r="Q667" s="1095"/>
      <c r="R667" s="1095"/>
      <c r="T667" s="4"/>
      <c r="U667" t="s">
        <v>397</v>
      </c>
      <c r="Z667" s="1095"/>
      <c r="AA667" s="1095"/>
      <c r="AB667" s="1095"/>
      <c r="AC667" s="1095"/>
      <c r="AD667" s="1095"/>
      <c r="AE667" s="1095"/>
      <c r="AF667" s="1095"/>
      <c r="AG667" s="1095"/>
      <c r="AH667" s="1095"/>
      <c r="AI667" s="1095"/>
      <c r="AJ667" s="1095"/>
      <c r="AK667" s="109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5"/>
      <c r="H668" s="1095"/>
      <c r="I668" s="1095"/>
      <c r="J668" s="1095"/>
      <c r="K668" s="1095"/>
      <c r="L668" s="1095"/>
      <c r="M668" s="1095"/>
      <c r="N668" s="1095"/>
      <c r="O668" s="1095"/>
      <c r="P668" s="1095"/>
      <c r="Q668" s="1095"/>
      <c r="R668" s="1095"/>
      <c r="T668" s="4"/>
      <c r="U668" t="s">
        <v>459</v>
      </c>
      <c r="Z668" s="1096"/>
      <c r="AA668" s="1096"/>
      <c r="AB668" s="1096"/>
      <c r="AC668" s="1096"/>
      <c r="AD668" s="1096"/>
      <c r="AE668" s="1096"/>
      <c r="AF668" s="1096"/>
      <c r="AG668" s="1096"/>
      <c r="AH668" s="1096"/>
      <c r="AI668" s="1096"/>
      <c r="AJ668" s="1096"/>
      <c r="AK668" s="109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5"/>
      <c r="H669" s="1095"/>
      <c r="I669" s="1095"/>
      <c r="J669" s="1095"/>
      <c r="K669" s="1095"/>
      <c r="L669" s="1095"/>
      <c r="M669" s="1095"/>
      <c r="N669" s="1095"/>
      <c r="O669" s="1095"/>
      <c r="P669" s="1095"/>
      <c r="Q669" s="1095"/>
      <c r="R669" s="1095"/>
      <c r="T669" s="4"/>
      <c r="U669" t="s">
        <v>874</v>
      </c>
      <c r="Z669" s="1096"/>
      <c r="AA669" s="1096"/>
      <c r="AB669" s="1096"/>
      <c r="AC669" s="1096"/>
      <c r="AD669" s="1096"/>
      <c r="AE669" s="1096"/>
      <c r="AF669" s="1096"/>
      <c r="AG669" s="1096"/>
      <c r="AH669" s="1096"/>
      <c r="AI669" s="1096"/>
      <c r="AJ669" s="1096"/>
      <c r="AK669" s="109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9"/>
      <c r="H670" s="1119"/>
      <c r="I670" s="1119"/>
      <c r="J670" s="1119"/>
      <c r="K670" s="1119"/>
      <c r="L670" s="1119"/>
      <c r="O670" s="42" t="s">
        <v>859</v>
      </c>
      <c r="P670" s="1291"/>
      <c r="Q670" s="1291"/>
      <c r="R670" s="1291"/>
      <c r="T670" s="4"/>
      <c r="U670" t="s">
        <v>686</v>
      </c>
      <c r="Z670" s="1119"/>
      <c r="AA670" s="1119"/>
      <c r="AB670" s="1119"/>
      <c r="AC670" s="1119"/>
      <c r="AD670" s="1119"/>
      <c r="AE670" s="1119"/>
      <c r="AH670" s="42" t="s">
        <v>859</v>
      </c>
      <c r="AI670" s="1291"/>
      <c r="AJ670" s="1291"/>
      <c r="AK670" s="129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5"/>
      <c r="I671" s="1095"/>
      <c r="J671" s="1095"/>
      <c r="K671" s="1095"/>
      <c r="L671" s="1095"/>
      <c r="M671" s="1095"/>
      <c r="N671" s="1095"/>
      <c r="O671" s="1095"/>
      <c r="P671" s="1095"/>
      <c r="Q671" s="1095"/>
      <c r="R671" s="1095"/>
      <c r="T671" s="4"/>
      <c r="U671" t="s">
        <v>875</v>
      </c>
      <c r="AA671" s="1095"/>
      <c r="AB671" s="1095"/>
      <c r="AC671" s="1095"/>
      <c r="AD671" s="1095"/>
      <c r="AE671" s="1095"/>
      <c r="AF671" s="1095"/>
      <c r="AG671" s="1095"/>
      <c r="AH671" s="1095"/>
      <c r="AI671" s="1095"/>
      <c r="AJ671" s="1095"/>
      <c r="AK671" s="1095"/>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20" t="s">
        <v>511</v>
      </c>
      <c r="O672" s="1120"/>
      <c r="T672" s="4"/>
      <c r="U672" t="s">
        <v>877</v>
      </c>
      <c r="AG672" s="1120" t="s">
        <v>511</v>
      </c>
      <c r="AH672" s="1120"/>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302">
        <f>C628</f>
        <v>0</v>
      </c>
      <c r="H674" s="1302"/>
      <c r="I674" s="1302"/>
      <c r="J674" s="1302"/>
      <c r="K674" s="1302"/>
      <c r="L674" s="1302"/>
      <c r="M674" s="1302"/>
      <c r="N674" s="1302"/>
      <c r="O674" s="1302"/>
      <c r="P674" s="1302"/>
      <c r="Q674" s="1302"/>
      <c r="R674" s="1302"/>
      <c r="T674" s="61" t="s">
        <v>37</v>
      </c>
      <c r="U674" t="s">
        <v>90</v>
      </c>
      <c r="Z674" s="1302">
        <f>C629</f>
        <v>0</v>
      </c>
      <c r="AA674" s="1302"/>
      <c r="AB674" s="1302"/>
      <c r="AC674" s="1302"/>
      <c r="AD674" s="1302"/>
      <c r="AE674" s="1302"/>
      <c r="AF674" s="1302"/>
      <c r="AG674" s="1302"/>
      <c r="AH674" s="1302"/>
      <c r="AI674" s="1302"/>
      <c r="AJ674" s="1302"/>
      <c r="AK674" s="1302"/>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5"/>
      <c r="H675" s="1095"/>
      <c r="I675" s="1095"/>
      <c r="J675" s="1095"/>
      <c r="K675" s="1095"/>
      <c r="L675" s="1095"/>
      <c r="M675" s="1095"/>
      <c r="N675" s="1095"/>
      <c r="O675" s="1095"/>
      <c r="P675" s="1095"/>
      <c r="Q675" s="1095"/>
      <c r="R675" s="1095"/>
      <c r="T675" s="4"/>
      <c r="U675" t="s">
        <v>397</v>
      </c>
      <c r="Z675" s="1095"/>
      <c r="AA675" s="1095"/>
      <c r="AB675" s="1095"/>
      <c r="AC675" s="1095"/>
      <c r="AD675" s="1095"/>
      <c r="AE675" s="1095"/>
      <c r="AF675" s="1095"/>
      <c r="AG675" s="1095"/>
      <c r="AH675" s="1095"/>
      <c r="AI675" s="1095"/>
      <c r="AJ675" s="1095"/>
      <c r="AK675" s="1095"/>
      <c r="AM675" s="43"/>
      <c r="BA675" s="43">
        <f>IF($G692=0,"N/A",VLOOKUP($T$189,TC_Rent,(MATCH($B692,bedrooms,FALSE))))</f>
        <v>2950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5"/>
      <c r="H676" s="1095"/>
      <c r="I676" s="1095"/>
      <c r="J676" s="1095"/>
      <c r="K676" s="1095"/>
      <c r="L676" s="1095"/>
      <c r="M676" s="1095"/>
      <c r="N676" s="1095"/>
      <c r="O676" s="1095"/>
      <c r="P676" s="1095"/>
      <c r="Q676" s="1095"/>
      <c r="R676" s="1095"/>
      <c r="U676" t="s">
        <v>459</v>
      </c>
      <c r="Z676" s="1096"/>
      <c r="AA676" s="1096"/>
      <c r="AB676" s="1096"/>
      <c r="AC676" s="1096"/>
      <c r="AD676" s="1096"/>
      <c r="AE676" s="1096"/>
      <c r="AF676" s="1096"/>
      <c r="AG676" s="1096"/>
      <c r="AH676" s="1096"/>
      <c r="AI676" s="1096"/>
      <c r="AJ676" s="1096"/>
      <c r="AK676" s="1096"/>
      <c r="AM676" s="43"/>
      <c r="BA676" s="43">
        <f t="shared" ref="BA676:BA699" si="24">IF($G693=0,"N/A",VLOOKUP($T$189,TC_Rent,(MATCH($B693,bedrooms,FALSE))))</f>
        <v>2950</v>
      </c>
      <c r="BB676" s="43"/>
      <c r="BC676" s="43"/>
      <c r="BD676" s="43"/>
      <c r="BE676" s="43"/>
      <c r="BF676" s="43"/>
      <c r="BG676" s="457">
        <f>G692</f>
        <v>14</v>
      </c>
      <c r="BH676" s="464">
        <f>BG676/$BG$701</f>
        <v>0.2857142857142857</v>
      </c>
      <c r="BI676" s="466">
        <f>IF(BH676=0," ",BH676*AH692)</f>
        <v>8.5714285714285701E-2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5"/>
      <c r="H677" s="1095"/>
      <c r="I677" s="1095"/>
      <c r="J677" s="1095"/>
      <c r="K677" s="1095"/>
      <c r="L677" s="1095"/>
      <c r="M677" s="1095"/>
      <c r="N677" s="1095"/>
      <c r="O677" s="1095"/>
      <c r="P677" s="1095"/>
      <c r="Q677" s="1095"/>
      <c r="R677" s="1095"/>
      <c r="U677" t="s">
        <v>874</v>
      </c>
      <c r="Z677" s="1096"/>
      <c r="AA677" s="1096"/>
      <c r="AB677" s="1096"/>
      <c r="AC677" s="1096"/>
      <c r="AD677" s="1096"/>
      <c r="AE677" s="1096"/>
      <c r="AF677" s="1096"/>
      <c r="AG677" s="1096"/>
      <c r="AH677" s="1096"/>
      <c r="AI677" s="1096"/>
      <c r="AJ677" s="1096"/>
      <c r="AK677" s="1096"/>
      <c r="AM677" s="43"/>
      <c r="BA677" s="43">
        <f t="shared" si="24"/>
        <v>2950</v>
      </c>
      <c r="BB677" s="43"/>
      <c r="BC677" s="43"/>
      <c r="BD677" s="43"/>
      <c r="BE677" s="43"/>
      <c r="BF677" s="43"/>
      <c r="BG677" s="458">
        <f t="shared" ref="BG677:BG700" si="25">G693</f>
        <v>7</v>
      </c>
      <c r="BH677" s="464">
        <f t="shared" ref="BH677:BH700" si="26">BG677/$BG$701</f>
        <v>0.14285714285714285</v>
      </c>
      <c r="BI677" s="466">
        <f t="shared" ref="BI677:BI700" si="27">IF(BH677=0," ",BH677*AH693)</f>
        <v>5.7142857142857141E-2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9"/>
      <c r="H678" s="1119"/>
      <c r="I678" s="1119"/>
      <c r="J678" s="1119"/>
      <c r="K678" s="1119"/>
      <c r="L678" s="1119"/>
      <c r="O678" s="42" t="s">
        <v>859</v>
      </c>
      <c r="P678" s="1291"/>
      <c r="Q678" s="1291"/>
      <c r="R678" s="1291"/>
      <c r="U678" t="s">
        <v>686</v>
      </c>
      <c r="Z678" s="1119"/>
      <c r="AA678" s="1119"/>
      <c r="AB678" s="1119"/>
      <c r="AC678" s="1119"/>
      <c r="AD678" s="1119"/>
      <c r="AE678" s="1119"/>
      <c r="AH678" s="42" t="s">
        <v>859</v>
      </c>
      <c r="AI678" s="1291"/>
      <c r="AJ678" s="1291"/>
      <c r="AK678" s="1291"/>
      <c r="AM678" s="43"/>
      <c r="BA678" s="43">
        <f t="shared" si="24"/>
        <v>3160</v>
      </c>
      <c r="BB678" s="41"/>
      <c r="BC678" s="41"/>
      <c r="BD678" s="41"/>
      <c r="BE678" s="41"/>
      <c r="BF678" s="41"/>
      <c r="BG678" s="458">
        <f t="shared" si="25"/>
        <v>16</v>
      </c>
      <c r="BH678" s="464">
        <f t="shared" si="26"/>
        <v>0.32653061224489793</v>
      </c>
      <c r="BI678" s="466">
        <f t="shared" si="27"/>
        <v>0.16326530612244897</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5"/>
      <c r="I679" s="1095"/>
      <c r="J679" s="1095"/>
      <c r="K679" s="1095"/>
      <c r="L679" s="1095"/>
      <c r="M679" s="1095"/>
      <c r="N679" s="1095"/>
      <c r="O679" s="1095"/>
      <c r="P679" s="1095"/>
      <c r="Q679" s="1095"/>
      <c r="R679" s="1095"/>
      <c r="U679" t="s">
        <v>875</v>
      </c>
      <c r="AA679" s="1095"/>
      <c r="AB679" s="1095"/>
      <c r="AC679" s="1095"/>
      <c r="AD679" s="1095"/>
      <c r="AE679" s="1095"/>
      <c r="AF679" s="1095"/>
      <c r="AG679" s="1095"/>
      <c r="AH679" s="1095"/>
      <c r="AI679" s="1095"/>
      <c r="AJ679" s="1095"/>
      <c r="AK679" s="1095"/>
      <c r="AM679" s="41"/>
      <c r="BA679" s="43">
        <f t="shared" si="24"/>
        <v>3160</v>
      </c>
      <c r="BB679" s="41"/>
      <c r="BC679" s="41"/>
      <c r="BD679" s="41"/>
      <c r="BE679" s="41"/>
      <c r="BF679" s="41"/>
      <c r="BG679" s="458">
        <f t="shared" si="25"/>
        <v>1</v>
      </c>
      <c r="BH679" s="464">
        <f t="shared" si="26"/>
        <v>2.0408163265306121E-2</v>
      </c>
      <c r="BI679" s="466">
        <f t="shared" si="27"/>
        <v>6.1224489795918364E-3</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20" t="s">
        <v>511</v>
      </c>
      <c r="O680" s="1120"/>
      <c r="U680" t="s">
        <v>877</v>
      </c>
      <c r="AG680" s="1120" t="s">
        <v>511</v>
      </c>
      <c r="AH680" s="1120"/>
      <c r="AM680" s="41"/>
      <c r="BA680" s="43">
        <f t="shared" si="24"/>
        <v>3160</v>
      </c>
      <c r="BB680" s="41"/>
      <c r="BC680" s="41"/>
      <c r="BD680" s="41"/>
      <c r="BE680" s="41"/>
      <c r="BF680" s="41"/>
      <c r="BG680" s="458">
        <f t="shared" si="25"/>
        <v>2</v>
      </c>
      <c r="BH680" s="464">
        <f t="shared" si="26"/>
        <v>4.0816326530612242E-2</v>
      </c>
      <c r="BI680" s="466">
        <f t="shared" si="27"/>
        <v>1.6326530612244896E-2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3792</v>
      </c>
      <c r="BB681" s="41"/>
      <c r="BC681" s="41"/>
      <c r="BD681" s="41"/>
      <c r="BE681" s="41"/>
      <c r="BF681" s="41"/>
      <c r="BG681" s="458">
        <f t="shared" si="25"/>
        <v>5</v>
      </c>
      <c r="BH681" s="464">
        <f t="shared" si="26"/>
        <v>0.10204081632653061</v>
      </c>
      <c r="BI681" s="466">
        <f t="shared" si="27"/>
        <v>6.1224489795918366E-2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3792</v>
      </c>
      <c r="BB682" s="41"/>
      <c r="BC682" s="41"/>
      <c r="BD682" s="41"/>
      <c r="BE682" s="41"/>
      <c r="BF682" s="41"/>
      <c r="BG682" s="458">
        <f t="shared" si="25"/>
        <v>1</v>
      </c>
      <c r="BH682" s="464">
        <f t="shared" si="26"/>
        <v>2.0408163265306121E-2</v>
      </c>
      <c r="BI682" s="466">
        <f t="shared" si="27"/>
        <v>6.1224489795918364E-3</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6" t="s">
        <v>135</v>
      </c>
      <c r="B683" s="1156"/>
      <c r="C683" s="1156"/>
      <c r="D683" s="1156"/>
      <c r="E683" s="1156"/>
      <c r="F683" s="1156"/>
      <c r="G683" s="1156"/>
      <c r="H683" s="1156"/>
      <c r="I683" s="1156"/>
      <c r="J683" s="1156"/>
      <c r="K683" s="1156"/>
      <c r="L683" s="1156"/>
      <c r="M683" s="1156"/>
      <c r="N683" s="1156"/>
      <c r="O683" s="1156"/>
      <c r="P683" s="1156"/>
      <c r="Q683" s="1156"/>
      <c r="R683" s="1156"/>
      <c r="S683" s="1156"/>
      <c r="T683" s="1156"/>
      <c r="U683" s="1156"/>
      <c r="V683" s="1156"/>
      <c r="W683" s="1156"/>
      <c r="X683" s="1156"/>
      <c r="Y683" s="1156"/>
      <c r="Z683" s="1156"/>
      <c r="AA683" s="1156"/>
      <c r="AB683" s="1156"/>
      <c r="AC683" s="1156"/>
      <c r="AD683" s="1156"/>
      <c r="AE683" s="1156"/>
      <c r="AF683" s="1156"/>
      <c r="AG683" s="1156"/>
      <c r="AH683" s="1156"/>
      <c r="AI683" s="1156"/>
      <c r="AJ683" s="1156"/>
      <c r="AK683" s="1156"/>
      <c r="AL683" s="1156"/>
      <c r="AM683" s="1156"/>
      <c r="AN683" s="1156"/>
      <c r="AO683" s="1156"/>
      <c r="AP683" s="1156"/>
      <c r="AQ683" s="1156"/>
      <c r="AR683" s="1156"/>
      <c r="AS683" s="1156"/>
      <c r="BA683" s="43" t="str">
        <f t="shared" si="24"/>
        <v>N/A</v>
      </c>
      <c r="BB683" s="41"/>
      <c r="BC683" s="41"/>
      <c r="BD683" s="41"/>
      <c r="BE683" s="41"/>
      <c r="BF683" s="41"/>
      <c r="BG683" s="458">
        <f t="shared" si="25"/>
        <v>3</v>
      </c>
      <c r="BH683" s="464">
        <f t="shared" si="26"/>
        <v>6.1224489795918366E-2</v>
      </c>
      <c r="BI683" s="466">
        <f t="shared" si="27"/>
        <v>3.6734693877551017E-2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6"/>
      <c r="B684" s="1156"/>
      <c r="C684" s="1156"/>
      <c r="D684" s="1156"/>
      <c r="E684" s="1156"/>
      <c r="F684" s="1156"/>
      <c r="G684" s="1156"/>
      <c r="H684" s="1156"/>
      <c r="I684" s="1156"/>
      <c r="J684" s="1156"/>
      <c r="K684" s="1156"/>
      <c r="L684" s="1156"/>
      <c r="M684" s="1156"/>
      <c r="N684" s="1156"/>
      <c r="O684" s="1156"/>
      <c r="P684" s="1156"/>
      <c r="Q684" s="1156"/>
      <c r="R684" s="1156"/>
      <c r="S684" s="1156"/>
      <c r="T684" s="1156"/>
      <c r="U684" s="1156"/>
      <c r="V684" s="1156"/>
      <c r="W684" s="1156"/>
      <c r="X684" s="1156"/>
      <c r="Y684" s="1156"/>
      <c r="Z684" s="1156"/>
      <c r="AA684" s="1156"/>
      <c r="AB684" s="1156"/>
      <c r="AC684" s="1156"/>
      <c r="AD684" s="1156"/>
      <c r="AE684" s="1156"/>
      <c r="AF684" s="1156"/>
      <c r="AG684" s="1156"/>
      <c r="AH684" s="1156"/>
      <c r="AI684" s="1156"/>
      <c r="AJ684" s="1156"/>
      <c r="AK684" s="1156"/>
      <c r="AL684" s="1156"/>
      <c r="AM684" s="1156"/>
      <c r="AN684" s="1156"/>
      <c r="AO684" s="1156"/>
      <c r="AP684" s="1156"/>
      <c r="AQ684" s="1156"/>
      <c r="AR684" s="1156"/>
      <c r="AS684" s="1156"/>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6"/>
      <c r="B685" s="1156"/>
      <c r="C685" s="1156"/>
      <c r="D685" s="1156"/>
      <c r="E685" s="1156"/>
      <c r="F685" s="1156"/>
      <c r="G685" s="1156"/>
      <c r="H685" s="1156"/>
      <c r="I685" s="1156"/>
      <c r="J685" s="1156"/>
      <c r="K685" s="1156"/>
      <c r="L685" s="1156"/>
      <c r="M685" s="1156"/>
      <c r="N685" s="1156"/>
      <c r="O685" s="1156"/>
      <c r="P685" s="1156"/>
      <c r="Q685" s="1156"/>
      <c r="R685" s="1156"/>
      <c r="S685" s="1156"/>
      <c r="T685" s="1156"/>
      <c r="U685" s="1156"/>
      <c r="V685" s="1156"/>
      <c r="W685" s="1156"/>
      <c r="X685" s="1156"/>
      <c r="Y685" s="1156"/>
      <c r="Z685" s="1156"/>
      <c r="AA685" s="1156"/>
      <c r="AB685" s="1156"/>
      <c r="AC685" s="1156"/>
      <c r="AD685" s="1156"/>
      <c r="AE685" s="1156"/>
      <c r="AF685" s="1156"/>
      <c r="AG685" s="1156"/>
      <c r="AH685" s="1156"/>
      <c r="AI685" s="1156"/>
      <c r="AJ685" s="1156"/>
      <c r="AK685" s="1156"/>
      <c r="AL685" s="1156"/>
      <c r="AM685" s="1156"/>
      <c r="AN685" s="1156"/>
      <c r="AO685" s="1156"/>
      <c r="AP685" s="1156"/>
      <c r="AQ685" s="1156"/>
      <c r="AR685" s="1156"/>
      <c r="AS685" s="1156"/>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8" t="s">
        <v>58</v>
      </c>
      <c r="C688" s="1259"/>
      <c r="D688" s="1259"/>
      <c r="E688" s="1259"/>
      <c r="F688" s="1260"/>
      <c r="G688" s="1258" t="s">
        <v>271</v>
      </c>
      <c r="H688" s="1259"/>
      <c r="I688" s="1259"/>
      <c r="J688" s="1260"/>
      <c r="K688" s="1516" t="s">
        <v>2092</v>
      </c>
      <c r="L688" s="1517"/>
      <c r="M688" s="1517"/>
      <c r="N688" s="1518"/>
      <c r="O688" s="1258" t="s">
        <v>625</v>
      </c>
      <c r="P688" s="1259"/>
      <c r="Q688" s="1259"/>
      <c r="R688" s="1259"/>
      <c r="S688" s="1260"/>
      <c r="T688" s="1258" t="s">
        <v>272</v>
      </c>
      <c r="U688" s="1259"/>
      <c r="V688" s="1259"/>
      <c r="W688" s="1259"/>
      <c r="X688" s="1260"/>
      <c r="Y688" s="1258" t="s">
        <v>273</v>
      </c>
      <c r="Z688" s="1259"/>
      <c r="AA688" s="1259"/>
      <c r="AB688" s="1260"/>
      <c r="AC688" s="1258" t="s">
        <v>274</v>
      </c>
      <c r="AD688" s="1259"/>
      <c r="AE688" s="1259"/>
      <c r="AF688" s="1259"/>
      <c r="AG688" s="1260"/>
      <c r="AH688" s="1258" t="s">
        <v>2093</v>
      </c>
      <c r="AI688" s="1259"/>
      <c r="AJ688" s="1259"/>
      <c r="AK688" s="1259"/>
      <c r="AL688" s="1260"/>
      <c r="AM688" s="1258" t="s">
        <v>2094</v>
      </c>
      <c r="AN688" s="1259"/>
      <c r="AO688" s="1260"/>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1"/>
      <c r="C689" s="1262"/>
      <c r="D689" s="1262"/>
      <c r="E689" s="1262"/>
      <c r="F689" s="1263"/>
      <c r="G689" s="1261"/>
      <c r="H689" s="1262"/>
      <c r="I689" s="1262"/>
      <c r="J689" s="1263"/>
      <c r="K689" s="1519"/>
      <c r="L689" s="1520"/>
      <c r="M689" s="1520"/>
      <c r="N689" s="1521"/>
      <c r="O689" s="1261"/>
      <c r="P689" s="1262"/>
      <c r="Q689" s="1262"/>
      <c r="R689" s="1262"/>
      <c r="S689" s="1263"/>
      <c r="T689" s="1261"/>
      <c r="U689" s="1262"/>
      <c r="V689" s="1262"/>
      <c r="W689" s="1262"/>
      <c r="X689" s="1263"/>
      <c r="Y689" s="1261"/>
      <c r="Z689" s="1262"/>
      <c r="AA689" s="1262"/>
      <c r="AB689" s="1263"/>
      <c r="AC689" s="1261"/>
      <c r="AD689" s="1262"/>
      <c r="AE689" s="1262"/>
      <c r="AF689" s="1262"/>
      <c r="AG689" s="1263"/>
      <c r="AH689" s="1261"/>
      <c r="AI689" s="1262"/>
      <c r="AJ689" s="1262"/>
      <c r="AK689" s="1262"/>
      <c r="AL689" s="1263"/>
      <c r="AM689" s="1261"/>
      <c r="AN689" s="1262"/>
      <c r="AO689" s="1263"/>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1"/>
      <c r="C690" s="1262"/>
      <c r="D690" s="1262"/>
      <c r="E690" s="1262"/>
      <c r="F690" s="1263"/>
      <c r="G690" s="1261"/>
      <c r="H690" s="1262"/>
      <c r="I690" s="1262"/>
      <c r="J690" s="1263"/>
      <c r="K690" s="1519"/>
      <c r="L690" s="1520"/>
      <c r="M690" s="1520"/>
      <c r="N690" s="1521"/>
      <c r="O690" s="1261"/>
      <c r="P690" s="1262"/>
      <c r="Q690" s="1262"/>
      <c r="R690" s="1262"/>
      <c r="S690" s="1263"/>
      <c r="T690" s="1261"/>
      <c r="U690" s="1262"/>
      <c r="V690" s="1262"/>
      <c r="W690" s="1262"/>
      <c r="X690" s="1263"/>
      <c r="Y690" s="1261"/>
      <c r="Z690" s="1262"/>
      <c r="AA690" s="1262"/>
      <c r="AB690" s="1263"/>
      <c r="AC690" s="1261"/>
      <c r="AD690" s="1262"/>
      <c r="AE690" s="1262"/>
      <c r="AF690" s="1262"/>
      <c r="AG690" s="1263"/>
      <c r="AH690" s="1261"/>
      <c r="AI690" s="1262"/>
      <c r="AJ690" s="1262"/>
      <c r="AK690" s="1262"/>
      <c r="AL690" s="1263"/>
      <c r="AM690" s="1261"/>
      <c r="AN690" s="1262"/>
      <c r="AO690" s="1263"/>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4"/>
      <c r="C691" s="1265"/>
      <c r="D691" s="1265"/>
      <c r="E691" s="1265"/>
      <c r="F691" s="1266"/>
      <c r="G691" s="1264"/>
      <c r="H691" s="1265"/>
      <c r="I691" s="1265"/>
      <c r="J691" s="1266"/>
      <c r="K691" s="1519"/>
      <c r="L691" s="1520"/>
      <c r="M691" s="1520"/>
      <c r="N691" s="1521"/>
      <c r="O691" s="1264"/>
      <c r="P691" s="1265"/>
      <c r="Q691" s="1265"/>
      <c r="R691" s="1265"/>
      <c r="S691" s="1266"/>
      <c r="T691" s="1264"/>
      <c r="U691" s="1265"/>
      <c r="V691" s="1265"/>
      <c r="W691" s="1265"/>
      <c r="X691" s="1266"/>
      <c r="Y691" s="1264"/>
      <c r="Z691" s="1265"/>
      <c r="AA691" s="1265"/>
      <c r="AB691" s="1266"/>
      <c r="AC691" s="1264"/>
      <c r="AD691" s="1265"/>
      <c r="AE691" s="1265"/>
      <c r="AF691" s="1265"/>
      <c r="AG691" s="1266"/>
      <c r="AH691" s="1264"/>
      <c r="AI691" s="1265"/>
      <c r="AJ691" s="1265"/>
      <c r="AK691" s="1265"/>
      <c r="AL691" s="1266"/>
      <c r="AM691" s="1264"/>
      <c r="AN691" s="1265"/>
      <c r="AO691" s="1266"/>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0" t="s">
        <v>470</v>
      </c>
      <c r="C692" s="1231"/>
      <c r="D692" s="1231"/>
      <c r="E692" s="1231"/>
      <c r="F692" s="1232"/>
      <c r="G692" s="1227">
        <v>14</v>
      </c>
      <c r="H692" s="1228"/>
      <c r="I692" s="1228"/>
      <c r="J692" s="1229"/>
      <c r="K692" s="1235">
        <v>447</v>
      </c>
      <c r="L692" s="1236"/>
      <c r="M692" s="1236"/>
      <c r="N692" s="1237"/>
      <c r="O692" s="1238">
        <v>843</v>
      </c>
      <c r="P692" s="1239"/>
      <c r="Q692" s="1239"/>
      <c r="R692" s="1239"/>
      <c r="S692" s="1240"/>
      <c r="T692" s="1241">
        <f t="shared" ref="T692:T716" si="28">G692*O692</f>
        <v>11802</v>
      </c>
      <c r="U692" s="1242"/>
      <c r="V692" s="1242"/>
      <c r="W692" s="1242"/>
      <c r="X692" s="1243"/>
      <c r="Y692" s="1238">
        <v>42</v>
      </c>
      <c r="Z692" s="1239"/>
      <c r="AA692" s="1239"/>
      <c r="AB692" s="1240"/>
      <c r="AC692" s="1241">
        <f t="shared" ref="AC692:AC716" si="29">O692+Y692</f>
        <v>885</v>
      </c>
      <c r="AD692" s="1242"/>
      <c r="AE692" s="1242"/>
      <c r="AF692" s="1242"/>
      <c r="AG692" s="1243"/>
      <c r="AH692" s="1311">
        <v>0.3</v>
      </c>
      <c r="AI692" s="1312"/>
      <c r="AJ692" s="1312"/>
      <c r="AK692" s="1312"/>
      <c r="AL692" s="1313"/>
      <c r="AM692" s="1459">
        <f>IF($AH692&gt;0,($AC692/$BA675)," ")</f>
        <v>0.3</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0" t="s">
        <v>470</v>
      </c>
      <c r="C693" s="1231"/>
      <c r="D693" s="1231"/>
      <c r="E693" s="1231"/>
      <c r="F693" s="1232"/>
      <c r="G693" s="1227">
        <v>7</v>
      </c>
      <c r="H693" s="1228"/>
      <c r="I693" s="1228"/>
      <c r="J693" s="1229"/>
      <c r="K693" s="1235">
        <v>447</v>
      </c>
      <c r="L693" s="1236"/>
      <c r="M693" s="1236"/>
      <c r="N693" s="1237"/>
      <c r="O693" s="1238">
        <v>1138</v>
      </c>
      <c r="P693" s="1239"/>
      <c r="Q693" s="1239"/>
      <c r="R693" s="1239"/>
      <c r="S693" s="1240"/>
      <c r="T693" s="1241">
        <f t="shared" si="28"/>
        <v>7966</v>
      </c>
      <c r="U693" s="1242"/>
      <c r="V693" s="1242"/>
      <c r="W693" s="1242"/>
      <c r="X693" s="1243"/>
      <c r="Y693" s="1238">
        <v>42</v>
      </c>
      <c r="Z693" s="1239"/>
      <c r="AA693" s="1239"/>
      <c r="AB693" s="1240"/>
      <c r="AC693" s="1241">
        <f t="shared" si="29"/>
        <v>1180</v>
      </c>
      <c r="AD693" s="1242"/>
      <c r="AE693" s="1242"/>
      <c r="AF693" s="1242"/>
      <c r="AG693" s="1243"/>
      <c r="AH693" s="1255">
        <v>0.4</v>
      </c>
      <c r="AI693" s="1256"/>
      <c r="AJ693" s="1256"/>
      <c r="AK693" s="1256"/>
      <c r="AL693" s="1257"/>
      <c r="AM693" s="1459">
        <f t="shared" ref="AM693:AM716" si="30">IF($AH693&gt;0,($AC693/$BA676), " ")</f>
        <v>0.4</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0" t="s">
        <v>470</v>
      </c>
      <c r="C694" s="1231"/>
      <c r="D694" s="1231"/>
      <c r="E694" s="1231"/>
      <c r="F694" s="1232"/>
      <c r="G694" s="1227">
        <v>16</v>
      </c>
      <c r="H694" s="1228"/>
      <c r="I694" s="1228"/>
      <c r="J694" s="1229"/>
      <c r="K694" s="1235">
        <v>447</v>
      </c>
      <c r="L694" s="1236"/>
      <c r="M694" s="1236"/>
      <c r="N694" s="1237"/>
      <c r="O694" s="1238">
        <v>1433</v>
      </c>
      <c r="P694" s="1239"/>
      <c r="Q694" s="1239"/>
      <c r="R694" s="1239"/>
      <c r="S694" s="1240"/>
      <c r="T694" s="1241">
        <f t="shared" si="28"/>
        <v>22928</v>
      </c>
      <c r="U694" s="1242"/>
      <c r="V694" s="1242"/>
      <c r="W694" s="1242"/>
      <c r="X694" s="1243"/>
      <c r="Y694" s="1238">
        <v>42</v>
      </c>
      <c r="Z694" s="1239"/>
      <c r="AA694" s="1239"/>
      <c r="AB694" s="1240"/>
      <c r="AC694" s="1241">
        <f t="shared" si="29"/>
        <v>1475</v>
      </c>
      <c r="AD694" s="1242"/>
      <c r="AE694" s="1242"/>
      <c r="AF694" s="1242"/>
      <c r="AG694" s="1243"/>
      <c r="AH694" s="1255">
        <v>0.5</v>
      </c>
      <c r="AI694" s="1256"/>
      <c r="AJ694" s="1256"/>
      <c r="AK694" s="1256"/>
      <c r="AL694" s="1257"/>
      <c r="AM694" s="1459">
        <f t="shared" si="30"/>
        <v>0.5</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0" t="s">
        <v>471</v>
      </c>
      <c r="C695" s="1231"/>
      <c r="D695" s="1231"/>
      <c r="E695" s="1231"/>
      <c r="F695" s="1232"/>
      <c r="G695" s="1227">
        <v>1</v>
      </c>
      <c r="H695" s="1228"/>
      <c r="I695" s="1228"/>
      <c r="J695" s="1229"/>
      <c r="K695" s="1235">
        <v>540</v>
      </c>
      <c r="L695" s="1236"/>
      <c r="M695" s="1236"/>
      <c r="N695" s="1237"/>
      <c r="O695" s="1238">
        <v>899</v>
      </c>
      <c r="P695" s="1239"/>
      <c r="Q695" s="1239"/>
      <c r="R695" s="1239"/>
      <c r="S695" s="1240"/>
      <c r="T695" s="1241">
        <f t="shared" si="28"/>
        <v>899</v>
      </c>
      <c r="U695" s="1242"/>
      <c r="V695" s="1242"/>
      <c r="W695" s="1242"/>
      <c r="X695" s="1243"/>
      <c r="Y695" s="1238">
        <v>49</v>
      </c>
      <c r="Z695" s="1239"/>
      <c r="AA695" s="1239"/>
      <c r="AB695" s="1240"/>
      <c r="AC695" s="1241">
        <f t="shared" si="29"/>
        <v>948</v>
      </c>
      <c r="AD695" s="1242"/>
      <c r="AE695" s="1242"/>
      <c r="AF695" s="1242"/>
      <c r="AG695" s="1243"/>
      <c r="AH695" s="1255">
        <v>0.3</v>
      </c>
      <c r="AI695" s="1256"/>
      <c r="AJ695" s="1256"/>
      <c r="AK695" s="1256"/>
      <c r="AL695" s="1257"/>
      <c r="AM695" s="1459">
        <f t="shared" si="30"/>
        <v>0.3</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0" t="s">
        <v>471</v>
      </c>
      <c r="C696" s="1231"/>
      <c r="D696" s="1231"/>
      <c r="E696" s="1231"/>
      <c r="F696" s="1232"/>
      <c r="G696" s="1227">
        <v>2</v>
      </c>
      <c r="H696" s="1228"/>
      <c r="I696" s="1228"/>
      <c r="J696" s="1229"/>
      <c r="K696" s="1235">
        <v>540</v>
      </c>
      <c r="L696" s="1236"/>
      <c r="M696" s="1236"/>
      <c r="N696" s="1237"/>
      <c r="O696" s="1238">
        <v>1215</v>
      </c>
      <c r="P696" s="1239"/>
      <c r="Q696" s="1239"/>
      <c r="R696" s="1239"/>
      <c r="S696" s="1240"/>
      <c r="T696" s="1241">
        <f t="shared" si="28"/>
        <v>2430</v>
      </c>
      <c r="U696" s="1242"/>
      <c r="V696" s="1242"/>
      <c r="W696" s="1242"/>
      <c r="X696" s="1243"/>
      <c r="Y696" s="1238">
        <v>49</v>
      </c>
      <c r="Z696" s="1239"/>
      <c r="AA696" s="1239"/>
      <c r="AB696" s="1240"/>
      <c r="AC696" s="1241">
        <f t="shared" si="29"/>
        <v>1264</v>
      </c>
      <c r="AD696" s="1242"/>
      <c r="AE696" s="1242"/>
      <c r="AF696" s="1242"/>
      <c r="AG696" s="1243"/>
      <c r="AH696" s="1255">
        <v>0.4</v>
      </c>
      <c r="AI696" s="1256"/>
      <c r="AJ696" s="1256"/>
      <c r="AK696" s="1256"/>
      <c r="AL696" s="1257"/>
      <c r="AM696" s="1459">
        <f t="shared" si="30"/>
        <v>0.4</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0" t="s">
        <v>471</v>
      </c>
      <c r="C697" s="1231"/>
      <c r="D697" s="1231"/>
      <c r="E697" s="1231"/>
      <c r="F697" s="1232"/>
      <c r="G697" s="1227">
        <v>5</v>
      </c>
      <c r="H697" s="1228"/>
      <c r="I697" s="1228"/>
      <c r="J697" s="1229"/>
      <c r="K697" s="1235">
        <v>540</v>
      </c>
      <c r="L697" s="1236"/>
      <c r="M697" s="1236"/>
      <c r="N697" s="1237"/>
      <c r="O697" s="1238">
        <v>1531</v>
      </c>
      <c r="P697" s="1239"/>
      <c r="Q697" s="1239"/>
      <c r="R697" s="1239"/>
      <c r="S697" s="1240"/>
      <c r="T697" s="1241">
        <f t="shared" si="28"/>
        <v>7655</v>
      </c>
      <c r="U697" s="1242"/>
      <c r="V697" s="1242"/>
      <c r="W697" s="1242"/>
      <c r="X697" s="1243"/>
      <c r="Y697" s="1238">
        <v>49</v>
      </c>
      <c r="Z697" s="1239"/>
      <c r="AA697" s="1239"/>
      <c r="AB697" s="1240"/>
      <c r="AC697" s="1241">
        <f t="shared" si="29"/>
        <v>1580</v>
      </c>
      <c r="AD697" s="1242"/>
      <c r="AE697" s="1242"/>
      <c r="AF697" s="1242"/>
      <c r="AG697" s="1243"/>
      <c r="AH697" s="1255">
        <v>0.6</v>
      </c>
      <c r="AI697" s="1256"/>
      <c r="AJ697" s="1256"/>
      <c r="AK697" s="1256"/>
      <c r="AL697" s="1257"/>
      <c r="AM697" s="1459">
        <f t="shared" si="30"/>
        <v>0.5</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0" t="s">
        <v>817</v>
      </c>
      <c r="C698" s="1231"/>
      <c r="D698" s="1231"/>
      <c r="E698" s="1231"/>
      <c r="F698" s="1232"/>
      <c r="G698" s="1227">
        <v>1</v>
      </c>
      <c r="H698" s="1228"/>
      <c r="I698" s="1228"/>
      <c r="J698" s="1229"/>
      <c r="K698" s="1235">
        <v>887</v>
      </c>
      <c r="L698" s="1236"/>
      <c r="M698" s="1236"/>
      <c r="N698" s="1237"/>
      <c r="O698" s="1238">
        <v>1069</v>
      </c>
      <c r="P698" s="1239"/>
      <c r="Q698" s="1239"/>
      <c r="R698" s="1239"/>
      <c r="S698" s="1240"/>
      <c r="T698" s="1241">
        <f t="shared" si="28"/>
        <v>1069</v>
      </c>
      <c r="U698" s="1242"/>
      <c r="V698" s="1242"/>
      <c r="W698" s="1242"/>
      <c r="X698" s="1243"/>
      <c r="Y698" s="1238">
        <v>68</v>
      </c>
      <c r="Z698" s="1239"/>
      <c r="AA698" s="1239"/>
      <c r="AB698" s="1240"/>
      <c r="AC698" s="1241">
        <f t="shared" si="29"/>
        <v>1137</v>
      </c>
      <c r="AD698" s="1242"/>
      <c r="AE698" s="1242"/>
      <c r="AF698" s="1242"/>
      <c r="AG698" s="1243"/>
      <c r="AH698" s="1255">
        <v>0.3</v>
      </c>
      <c r="AI698" s="1256"/>
      <c r="AJ698" s="1256"/>
      <c r="AK698" s="1256"/>
      <c r="AL698" s="1257"/>
      <c r="AM698" s="1459">
        <f t="shared" si="30"/>
        <v>0.29984177215189872</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0" t="s">
        <v>817</v>
      </c>
      <c r="C699" s="1231"/>
      <c r="D699" s="1231"/>
      <c r="E699" s="1231"/>
      <c r="F699" s="1232"/>
      <c r="G699" s="1227">
        <v>3</v>
      </c>
      <c r="H699" s="1228"/>
      <c r="I699" s="1228"/>
      <c r="J699" s="1229"/>
      <c r="K699" s="1235">
        <v>887</v>
      </c>
      <c r="L699" s="1236"/>
      <c r="M699" s="1236"/>
      <c r="N699" s="1237"/>
      <c r="O699" s="1238">
        <v>1828</v>
      </c>
      <c r="P699" s="1239"/>
      <c r="Q699" s="1239"/>
      <c r="R699" s="1239"/>
      <c r="S699" s="1240"/>
      <c r="T699" s="1241">
        <f t="shared" si="28"/>
        <v>5484</v>
      </c>
      <c r="U699" s="1242"/>
      <c r="V699" s="1242"/>
      <c r="W699" s="1242"/>
      <c r="X699" s="1243"/>
      <c r="Y699" s="1238">
        <v>68</v>
      </c>
      <c r="Z699" s="1239"/>
      <c r="AA699" s="1239"/>
      <c r="AB699" s="1240"/>
      <c r="AC699" s="1241">
        <f t="shared" si="29"/>
        <v>1896</v>
      </c>
      <c r="AD699" s="1242"/>
      <c r="AE699" s="1242"/>
      <c r="AF699" s="1242"/>
      <c r="AG699" s="1243"/>
      <c r="AH699" s="1255">
        <v>0.6</v>
      </c>
      <c r="AI699" s="1256"/>
      <c r="AJ699" s="1256"/>
      <c r="AK699" s="1256"/>
      <c r="AL699" s="1257"/>
      <c r="AM699" s="1459">
        <f t="shared" si="30"/>
        <v>0.5</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0"/>
      <c r="C700" s="1231"/>
      <c r="D700" s="1231"/>
      <c r="E700" s="1231"/>
      <c r="F700" s="1232"/>
      <c r="G700" s="1227"/>
      <c r="H700" s="1228"/>
      <c r="I700" s="1228"/>
      <c r="J700" s="1229"/>
      <c r="K700" s="1235"/>
      <c r="L700" s="1236"/>
      <c r="M700" s="1236"/>
      <c r="N700" s="1237"/>
      <c r="O700" s="1238"/>
      <c r="P700" s="1239"/>
      <c r="Q700" s="1239"/>
      <c r="R700" s="1239"/>
      <c r="S700" s="1240"/>
      <c r="T700" s="1241">
        <f t="shared" si="28"/>
        <v>0</v>
      </c>
      <c r="U700" s="1242"/>
      <c r="V700" s="1242"/>
      <c r="W700" s="1242"/>
      <c r="X700" s="1243"/>
      <c r="Y700" s="1238"/>
      <c r="Z700" s="1239"/>
      <c r="AA700" s="1239"/>
      <c r="AB700" s="1240"/>
      <c r="AC700" s="1241">
        <f t="shared" si="29"/>
        <v>0</v>
      </c>
      <c r="AD700" s="1242"/>
      <c r="AE700" s="1242"/>
      <c r="AF700" s="1242"/>
      <c r="AG700" s="1243"/>
      <c r="AH700" s="1255"/>
      <c r="AI700" s="1256"/>
      <c r="AJ700" s="1256"/>
      <c r="AK700" s="1256"/>
      <c r="AL700" s="1257"/>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0"/>
      <c r="C701" s="1231"/>
      <c r="D701" s="1231"/>
      <c r="E701" s="1231"/>
      <c r="F701" s="1232"/>
      <c r="G701" s="1227"/>
      <c r="H701" s="1228"/>
      <c r="I701" s="1228"/>
      <c r="J701" s="1229"/>
      <c r="K701" s="1235"/>
      <c r="L701" s="1236"/>
      <c r="M701" s="1236"/>
      <c r="N701" s="1237"/>
      <c r="O701" s="1238"/>
      <c r="P701" s="1239"/>
      <c r="Q701" s="1239"/>
      <c r="R701" s="1239"/>
      <c r="S701" s="1240"/>
      <c r="T701" s="1241">
        <f t="shared" si="28"/>
        <v>0</v>
      </c>
      <c r="U701" s="1242"/>
      <c r="V701" s="1242"/>
      <c r="W701" s="1242"/>
      <c r="X701" s="1243"/>
      <c r="Y701" s="1238"/>
      <c r="Z701" s="1239"/>
      <c r="AA701" s="1239"/>
      <c r="AB701" s="1240"/>
      <c r="AC701" s="1241">
        <f t="shared" si="29"/>
        <v>0</v>
      </c>
      <c r="AD701" s="1242"/>
      <c r="AE701" s="1242"/>
      <c r="AF701" s="1242"/>
      <c r="AG701" s="1243"/>
      <c r="AH701" s="1255"/>
      <c r="AI701" s="1256"/>
      <c r="AJ701" s="1256"/>
      <c r="AK701" s="1256"/>
      <c r="AL701" s="1257"/>
      <c r="AM701" s="1459" t="str">
        <f t="shared" si="30"/>
        <v xml:space="preserve"> </v>
      </c>
      <c r="AN701" s="1460"/>
      <c r="AO701" s="1461"/>
      <c r="BA701" s="41"/>
      <c r="BB701" s="41"/>
      <c r="BC701" s="41"/>
      <c r="BD701" s="41"/>
      <c r="BE701" s="42"/>
      <c r="BF701" s="62" t="s">
        <v>916</v>
      </c>
      <c r="BG701" s="467">
        <f>SUM(BG676:BG700)</f>
        <v>49</v>
      </c>
      <c r="BH701" s="468">
        <f>SUM(BH676:BH700)</f>
        <v>1</v>
      </c>
      <c r="BI701" s="468">
        <f>SUM(BI676:BI700)</f>
        <v>0.43265306122448982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0"/>
      <c r="C702" s="1231"/>
      <c r="D702" s="1231"/>
      <c r="E702" s="1231"/>
      <c r="F702" s="1232"/>
      <c r="G702" s="1227"/>
      <c r="H702" s="1228"/>
      <c r="I702" s="1228"/>
      <c r="J702" s="1229"/>
      <c r="K702" s="1235"/>
      <c r="L702" s="1236"/>
      <c r="M702" s="1236"/>
      <c r="N702" s="1237"/>
      <c r="O702" s="1238"/>
      <c r="P702" s="1239"/>
      <c r="Q702" s="1239"/>
      <c r="R702" s="1239"/>
      <c r="S702" s="1240"/>
      <c r="T702" s="1241">
        <f t="shared" si="28"/>
        <v>0</v>
      </c>
      <c r="U702" s="1242"/>
      <c r="V702" s="1242"/>
      <c r="W702" s="1242"/>
      <c r="X702" s="1243"/>
      <c r="Y702" s="1238"/>
      <c r="Z702" s="1239"/>
      <c r="AA702" s="1239"/>
      <c r="AB702" s="1240"/>
      <c r="AC702" s="1241">
        <f t="shared" si="29"/>
        <v>0</v>
      </c>
      <c r="AD702" s="1242"/>
      <c r="AE702" s="1242"/>
      <c r="AF702" s="1242"/>
      <c r="AG702" s="1243"/>
      <c r="AH702" s="1255"/>
      <c r="AI702" s="1256"/>
      <c r="AJ702" s="1256"/>
      <c r="AK702" s="1256"/>
      <c r="AL702" s="1257"/>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0"/>
      <c r="C703" s="1231"/>
      <c r="D703" s="1231"/>
      <c r="E703" s="1231"/>
      <c r="F703" s="1232"/>
      <c r="G703" s="1227"/>
      <c r="H703" s="1228"/>
      <c r="I703" s="1228"/>
      <c r="J703" s="1229"/>
      <c r="K703" s="1235"/>
      <c r="L703" s="1236"/>
      <c r="M703" s="1236"/>
      <c r="N703" s="1237"/>
      <c r="O703" s="1238"/>
      <c r="P703" s="1239"/>
      <c r="Q703" s="1239"/>
      <c r="R703" s="1239"/>
      <c r="S703" s="1240"/>
      <c r="T703" s="1241">
        <f t="shared" si="28"/>
        <v>0</v>
      </c>
      <c r="U703" s="1242"/>
      <c r="V703" s="1242"/>
      <c r="W703" s="1242"/>
      <c r="X703" s="1243"/>
      <c r="Y703" s="1238"/>
      <c r="Z703" s="1239"/>
      <c r="AA703" s="1239"/>
      <c r="AB703" s="1240"/>
      <c r="AC703" s="1241">
        <f t="shared" si="29"/>
        <v>0</v>
      </c>
      <c r="AD703" s="1242"/>
      <c r="AE703" s="1242"/>
      <c r="AF703" s="1242"/>
      <c r="AG703" s="1243"/>
      <c r="AH703" s="1255"/>
      <c r="AI703" s="1256"/>
      <c r="AJ703" s="1256"/>
      <c r="AK703" s="1256"/>
      <c r="AL703" s="1257"/>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0"/>
      <c r="C704" s="1231"/>
      <c r="D704" s="1231"/>
      <c r="E704" s="1231"/>
      <c r="F704" s="1232"/>
      <c r="G704" s="1227"/>
      <c r="H704" s="1228"/>
      <c r="I704" s="1228"/>
      <c r="J704" s="1229"/>
      <c r="K704" s="1235"/>
      <c r="L704" s="1236"/>
      <c r="M704" s="1236"/>
      <c r="N704" s="1237"/>
      <c r="O704" s="1238"/>
      <c r="P704" s="1239"/>
      <c r="Q704" s="1239"/>
      <c r="R704" s="1239"/>
      <c r="S704" s="1240"/>
      <c r="T704" s="1241">
        <f t="shared" si="28"/>
        <v>0</v>
      </c>
      <c r="U704" s="1242"/>
      <c r="V704" s="1242"/>
      <c r="W704" s="1242"/>
      <c r="X704" s="1243"/>
      <c r="Y704" s="1238"/>
      <c r="Z704" s="1239"/>
      <c r="AA704" s="1239"/>
      <c r="AB704" s="1240"/>
      <c r="AC704" s="1241">
        <f t="shared" si="29"/>
        <v>0</v>
      </c>
      <c r="AD704" s="1242"/>
      <c r="AE704" s="1242"/>
      <c r="AF704" s="1242"/>
      <c r="AG704" s="1243"/>
      <c r="AH704" s="1255"/>
      <c r="AI704" s="1256"/>
      <c r="AJ704" s="1256"/>
      <c r="AK704" s="1256"/>
      <c r="AL704" s="1257"/>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0"/>
      <c r="C705" s="1231"/>
      <c r="D705" s="1231"/>
      <c r="E705" s="1231"/>
      <c r="F705" s="1232"/>
      <c r="G705" s="1227"/>
      <c r="H705" s="1228"/>
      <c r="I705" s="1228"/>
      <c r="J705" s="1229"/>
      <c r="K705" s="1235"/>
      <c r="L705" s="1236"/>
      <c r="M705" s="1236"/>
      <c r="N705" s="1237"/>
      <c r="O705" s="1238"/>
      <c r="P705" s="1239"/>
      <c r="Q705" s="1239"/>
      <c r="R705" s="1239"/>
      <c r="S705" s="1240"/>
      <c r="T705" s="1241">
        <f t="shared" si="28"/>
        <v>0</v>
      </c>
      <c r="U705" s="1242"/>
      <c r="V705" s="1242"/>
      <c r="W705" s="1242"/>
      <c r="X705" s="1243"/>
      <c r="Y705" s="1238"/>
      <c r="Z705" s="1239"/>
      <c r="AA705" s="1239"/>
      <c r="AB705" s="1240"/>
      <c r="AC705" s="1241">
        <f t="shared" si="29"/>
        <v>0</v>
      </c>
      <c r="AD705" s="1242"/>
      <c r="AE705" s="1242"/>
      <c r="AF705" s="1242"/>
      <c r="AG705" s="1243"/>
      <c r="AH705" s="1255"/>
      <c r="AI705" s="1256"/>
      <c r="AJ705" s="1256"/>
      <c r="AK705" s="1256"/>
      <c r="AL705" s="1257"/>
      <c r="AM705" s="1459" t="str">
        <f t="shared" si="30"/>
        <v xml:space="preserve"> </v>
      </c>
      <c r="AN705" s="1460"/>
      <c r="AO705" s="1461"/>
      <c r="BA705" s="41"/>
      <c r="BB705" s="41"/>
      <c r="BC705" s="41"/>
      <c r="BD705" s="41"/>
      <c r="BE705" s="41"/>
      <c r="BF705" s="41"/>
      <c r="BG705" s="866" t="s">
        <v>2095</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0"/>
      <c r="C706" s="1231"/>
      <c r="D706" s="1231"/>
      <c r="E706" s="1231"/>
      <c r="F706" s="1232"/>
      <c r="G706" s="1227"/>
      <c r="H706" s="1228"/>
      <c r="I706" s="1228"/>
      <c r="J706" s="1229"/>
      <c r="K706" s="1235"/>
      <c r="L706" s="1236"/>
      <c r="M706" s="1236"/>
      <c r="N706" s="1237"/>
      <c r="O706" s="1238"/>
      <c r="P706" s="1239"/>
      <c r="Q706" s="1239"/>
      <c r="R706" s="1239"/>
      <c r="S706" s="1240"/>
      <c r="T706" s="1241">
        <f t="shared" si="28"/>
        <v>0</v>
      </c>
      <c r="U706" s="1242"/>
      <c r="V706" s="1242"/>
      <c r="W706" s="1242"/>
      <c r="X706" s="1243"/>
      <c r="Y706" s="1238"/>
      <c r="Z706" s="1239"/>
      <c r="AA706" s="1239"/>
      <c r="AB706" s="1240"/>
      <c r="AC706" s="1241">
        <f t="shared" si="29"/>
        <v>0</v>
      </c>
      <c r="AD706" s="1242"/>
      <c r="AE706" s="1242"/>
      <c r="AF706" s="1242"/>
      <c r="AG706" s="1243"/>
      <c r="AH706" s="1255"/>
      <c r="AI706" s="1256"/>
      <c r="AJ706" s="1256"/>
      <c r="AK706" s="1256"/>
      <c r="AL706" s="1257"/>
      <c r="AM706" s="1459" t="str">
        <f t="shared" si="30"/>
        <v xml:space="preserve"> </v>
      </c>
      <c r="AN706" s="1460"/>
      <c r="AO706" s="1461"/>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0"/>
      <c r="C707" s="1231"/>
      <c r="D707" s="1231"/>
      <c r="E707" s="1231"/>
      <c r="F707" s="1232"/>
      <c r="G707" s="1227"/>
      <c r="H707" s="1228"/>
      <c r="I707" s="1228"/>
      <c r="J707" s="1229"/>
      <c r="K707" s="1235"/>
      <c r="L707" s="1236"/>
      <c r="M707" s="1236"/>
      <c r="N707" s="1237"/>
      <c r="O707" s="1238"/>
      <c r="P707" s="1239"/>
      <c r="Q707" s="1239"/>
      <c r="R707" s="1239"/>
      <c r="S707" s="1240"/>
      <c r="T707" s="1241">
        <f t="shared" si="28"/>
        <v>0</v>
      </c>
      <c r="U707" s="1242"/>
      <c r="V707" s="1242"/>
      <c r="W707" s="1242"/>
      <c r="X707" s="1243"/>
      <c r="Y707" s="1238"/>
      <c r="Z707" s="1239"/>
      <c r="AA707" s="1239"/>
      <c r="AB707" s="1240"/>
      <c r="AC707" s="1241">
        <f t="shared" si="29"/>
        <v>0</v>
      </c>
      <c r="AD707" s="1242"/>
      <c r="AE707" s="1242"/>
      <c r="AF707" s="1242"/>
      <c r="AG707" s="1243"/>
      <c r="AH707" s="1255"/>
      <c r="AI707" s="1256"/>
      <c r="AJ707" s="1256"/>
      <c r="AK707" s="1256"/>
      <c r="AL707" s="1257"/>
      <c r="AM707" s="1459" t="str">
        <f t="shared" si="30"/>
        <v xml:space="preserve"> </v>
      </c>
      <c r="AN707" s="1460"/>
      <c r="AO707" s="1461"/>
      <c r="BA707" s="41"/>
      <c r="BB707" s="41"/>
      <c r="BC707" s="41"/>
      <c r="BD707" s="41"/>
      <c r="BE707" s="41"/>
      <c r="BF707" s="41"/>
      <c r="BG707" s="871">
        <f>G692</f>
        <v>14</v>
      </c>
      <c r="BH707" s="875">
        <f>BG707/$BG$732</f>
        <v>0.2857142857142857</v>
      </c>
      <c r="BI707" s="876">
        <f>IF(BH707=0," ",BH707*AM692)</f>
        <v>8.5714285714285701E-2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0"/>
      <c r="C708" s="1231"/>
      <c r="D708" s="1231"/>
      <c r="E708" s="1231"/>
      <c r="F708" s="1232"/>
      <c r="G708" s="1227"/>
      <c r="H708" s="1228"/>
      <c r="I708" s="1228"/>
      <c r="J708" s="1229"/>
      <c r="K708" s="1235"/>
      <c r="L708" s="1236"/>
      <c r="M708" s="1236"/>
      <c r="N708" s="1237"/>
      <c r="O708" s="1238"/>
      <c r="P708" s="1239"/>
      <c r="Q708" s="1239"/>
      <c r="R708" s="1239"/>
      <c r="S708" s="1240"/>
      <c r="T708" s="1241">
        <f t="shared" si="28"/>
        <v>0</v>
      </c>
      <c r="U708" s="1242"/>
      <c r="V708" s="1242"/>
      <c r="W708" s="1242"/>
      <c r="X708" s="1243"/>
      <c r="Y708" s="1238"/>
      <c r="Z708" s="1239"/>
      <c r="AA708" s="1239"/>
      <c r="AB708" s="1240"/>
      <c r="AC708" s="1241">
        <f t="shared" si="29"/>
        <v>0</v>
      </c>
      <c r="AD708" s="1242"/>
      <c r="AE708" s="1242"/>
      <c r="AF708" s="1242"/>
      <c r="AG708" s="1243"/>
      <c r="AH708" s="1255"/>
      <c r="AI708" s="1256"/>
      <c r="AJ708" s="1256"/>
      <c r="AK708" s="1256"/>
      <c r="AL708" s="1257"/>
      <c r="AM708" s="1459" t="str">
        <f t="shared" si="30"/>
        <v xml:space="preserve"> </v>
      </c>
      <c r="AN708" s="1460"/>
      <c r="AO708" s="1461"/>
      <c r="BA708" s="41"/>
      <c r="BB708" s="41"/>
      <c r="BC708" s="41"/>
      <c r="BD708" s="41"/>
      <c r="BE708" s="41"/>
      <c r="BF708" s="41"/>
      <c r="BG708" s="871">
        <f t="shared" ref="BG708:BG731" si="31">G693</f>
        <v>7</v>
      </c>
      <c r="BH708" s="875">
        <f t="shared" ref="BH708:BH731" si="32">BG708/$BG$732</f>
        <v>0.14285714285714285</v>
      </c>
      <c r="BI708" s="876">
        <f t="shared" ref="BI708:BI731" si="33">IF(BH708=0," ",BH708*AM693)</f>
        <v>5.7142857142857141E-2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0"/>
      <c r="C709" s="1231"/>
      <c r="D709" s="1231"/>
      <c r="E709" s="1231"/>
      <c r="F709" s="1232"/>
      <c r="G709" s="1227"/>
      <c r="H709" s="1228"/>
      <c r="I709" s="1228"/>
      <c r="J709" s="1229"/>
      <c r="K709" s="1235"/>
      <c r="L709" s="1236"/>
      <c r="M709" s="1236"/>
      <c r="N709" s="1237"/>
      <c r="O709" s="1238"/>
      <c r="P709" s="1239"/>
      <c r="Q709" s="1239"/>
      <c r="R709" s="1239"/>
      <c r="S709" s="1240"/>
      <c r="T709" s="1241">
        <f t="shared" si="28"/>
        <v>0</v>
      </c>
      <c r="U709" s="1242"/>
      <c r="V709" s="1242"/>
      <c r="W709" s="1242"/>
      <c r="X709" s="1243"/>
      <c r="Y709" s="1238"/>
      <c r="Z709" s="1239"/>
      <c r="AA709" s="1239"/>
      <c r="AB709" s="1240"/>
      <c r="AC709" s="1241">
        <f t="shared" si="29"/>
        <v>0</v>
      </c>
      <c r="AD709" s="1242"/>
      <c r="AE709" s="1242"/>
      <c r="AF709" s="1242"/>
      <c r="AG709" s="1243"/>
      <c r="AH709" s="1255"/>
      <c r="AI709" s="1256"/>
      <c r="AJ709" s="1256"/>
      <c r="AK709" s="1256"/>
      <c r="AL709" s="1257"/>
      <c r="AM709" s="1459" t="str">
        <f t="shared" si="30"/>
        <v xml:space="preserve"> </v>
      </c>
      <c r="AN709" s="1460"/>
      <c r="AO709" s="1461"/>
      <c r="BA709" s="43"/>
      <c r="BB709" s="43"/>
      <c r="BC709" s="43"/>
      <c r="BD709" s="43"/>
      <c r="BE709" s="43"/>
      <c r="BF709" s="43"/>
      <c r="BG709" s="871">
        <f t="shared" si="31"/>
        <v>16</v>
      </c>
      <c r="BH709" s="875">
        <f t="shared" si="32"/>
        <v>0.32653061224489793</v>
      </c>
      <c r="BI709" s="876">
        <f t="shared" si="33"/>
        <v>0.16326530612244897</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0"/>
      <c r="C710" s="1231"/>
      <c r="D710" s="1231"/>
      <c r="E710" s="1231"/>
      <c r="F710" s="1232"/>
      <c r="G710" s="1227"/>
      <c r="H710" s="1228"/>
      <c r="I710" s="1228"/>
      <c r="J710" s="1229"/>
      <c r="K710" s="1235"/>
      <c r="L710" s="1236"/>
      <c r="M710" s="1236"/>
      <c r="N710" s="1237"/>
      <c r="O710" s="1238"/>
      <c r="P710" s="1239"/>
      <c r="Q710" s="1239"/>
      <c r="R710" s="1239"/>
      <c r="S710" s="1240"/>
      <c r="T710" s="1241">
        <f t="shared" si="28"/>
        <v>0</v>
      </c>
      <c r="U710" s="1242"/>
      <c r="V710" s="1242"/>
      <c r="W710" s="1242"/>
      <c r="X710" s="1243"/>
      <c r="Y710" s="1238"/>
      <c r="Z710" s="1239"/>
      <c r="AA710" s="1239"/>
      <c r="AB710" s="1240"/>
      <c r="AC710" s="1241">
        <f t="shared" si="29"/>
        <v>0</v>
      </c>
      <c r="AD710" s="1242"/>
      <c r="AE710" s="1242"/>
      <c r="AF710" s="1242"/>
      <c r="AG710" s="1243"/>
      <c r="AH710" s="1255"/>
      <c r="AI710" s="1256"/>
      <c r="AJ710" s="1256"/>
      <c r="AK710" s="1256"/>
      <c r="AL710" s="1257"/>
      <c r="AM710" s="1459" t="str">
        <f t="shared" si="30"/>
        <v xml:space="preserve"> </v>
      </c>
      <c r="AN710" s="1460"/>
      <c r="AO710" s="1461"/>
      <c r="BA710" s="43"/>
      <c r="BB710" s="43"/>
      <c r="BC710" s="43"/>
      <c r="BD710" s="43"/>
      <c r="BE710" s="43"/>
      <c r="BF710" s="43"/>
      <c r="BG710" s="871">
        <f t="shared" si="31"/>
        <v>1</v>
      </c>
      <c r="BH710" s="875">
        <f t="shared" si="32"/>
        <v>2.0408163265306121E-2</v>
      </c>
      <c r="BI710" s="876">
        <f t="shared" si="33"/>
        <v>6.1224489795918364E-3</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0"/>
      <c r="C711" s="1231"/>
      <c r="D711" s="1231"/>
      <c r="E711" s="1231"/>
      <c r="F711" s="1232"/>
      <c r="G711" s="1227"/>
      <c r="H711" s="1228"/>
      <c r="I711" s="1228"/>
      <c r="J711" s="1229"/>
      <c r="K711" s="1235"/>
      <c r="L711" s="1236"/>
      <c r="M711" s="1236"/>
      <c r="N711" s="1237"/>
      <c r="O711" s="1238"/>
      <c r="P711" s="1239"/>
      <c r="Q711" s="1239"/>
      <c r="R711" s="1239"/>
      <c r="S711" s="1240"/>
      <c r="T711" s="1241">
        <f t="shared" si="28"/>
        <v>0</v>
      </c>
      <c r="U711" s="1242"/>
      <c r="V711" s="1242"/>
      <c r="W711" s="1242"/>
      <c r="X711" s="1243"/>
      <c r="Y711" s="1238"/>
      <c r="Z711" s="1239"/>
      <c r="AA711" s="1239"/>
      <c r="AB711" s="1240"/>
      <c r="AC711" s="1241">
        <f t="shared" si="29"/>
        <v>0</v>
      </c>
      <c r="AD711" s="1242"/>
      <c r="AE711" s="1242"/>
      <c r="AF711" s="1242"/>
      <c r="AG711" s="1243"/>
      <c r="AH711" s="1255"/>
      <c r="AI711" s="1256"/>
      <c r="AJ711" s="1256"/>
      <c r="AK711" s="1256"/>
      <c r="AL711" s="1257"/>
      <c r="AM711" s="1459" t="str">
        <f t="shared" si="30"/>
        <v xml:space="preserve"> </v>
      </c>
      <c r="AN711" s="1460"/>
      <c r="AO711" s="1461"/>
      <c r="BA711" s="43"/>
      <c r="BB711" s="43"/>
      <c r="BC711" s="43"/>
      <c r="BD711" s="43"/>
      <c r="BE711" s="43"/>
      <c r="BF711" s="43"/>
      <c r="BG711" s="871">
        <f t="shared" si="31"/>
        <v>2</v>
      </c>
      <c r="BH711" s="875">
        <f t="shared" si="32"/>
        <v>4.0816326530612242E-2</v>
      </c>
      <c r="BI711" s="876">
        <f t="shared" si="33"/>
        <v>1.6326530612244896E-2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0"/>
      <c r="C712" s="1231"/>
      <c r="D712" s="1231"/>
      <c r="E712" s="1231"/>
      <c r="F712" s="1232"/>
      <c r="G712" s="1227"/>
      <c r="H712" s="1228"/>
      <c r="I712" s="1228"/>
      <c r="J712" s="1229"/>
      <c r="K712" s="1235"/>
      <c r="L712" s="1236"/>
      <c r="M712" s="1236"/>
      <c r="N712" s="1237"/>
      <c r="O712" s="1238"/>
      <c r="P712" s="1239"/>
      <c r="Q712" s="1239"/>
      <c r="R712" s="1239"/>
      <c r="S712" s="1240"/>
      <c r="T712" s="1241">
        <f t="shared" si="28"/>
        <v>0</v>
      </c>
      <c r="U712" s="1242"/>
      <c r="V712" s="1242"/>
      <c r="W712" s="1242"/>
      <c r="X712" s="1243"/>
      <c r="Y712" s="1238"/>
      <c r="Z712" s="1239"/>
      <c r="AA712" s="1239"/>
      <c r="AB712" s="1240"/>
      <c r="AC712" s="1241">
        <f t="shared" si="29"/>
        <v>0</v>
      </c>
      <c r="AD712" s="1242"/>
      <c r="AE712" s="1242"/>
      <c r="AF712" s="1242"/>
      <c r="AG712" s="1243"/>
      <c r="AH712" s="1255"/>
      <c r="AI712" s="1256"/>
      <c r="AJ712" s="1256"/>
      <c r="AK712" s="1256"/>
      <c r="AL712" s="1257"/>
      <c r="AM712" s="1459" t="str">
        <f t="shared" si="30"/>
        <v xml:space="preserve"> </v>
      </c>
      <c r="AN712" s="1460"/>
      <c r="AO712" s="1461"/>
      <c r="BA712" s="43"/>
      <c r="BB712" s="43"/>
      <c r="BC712" s="43"/>
      <c r="BD712" s="43"/>
      <c r="BE712" s="43"/>
      <c r="BF712" s="43"/>
      <c r="BG712" s="871">
        <f t="shared" si="31"/>
        <v>5</v>
      </c>
      <c r="BH712" s="875">
        <f t="shared" si="32"/>
        <v>0.10204081632653061</v>
      </c>
      <c r="BI712" s="876">
        <f t="shared" si="33"/>
        <v>5.1020408163265307E-2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0"/>
      <c r="C713" s="1231"/>
      <c r="D713" s="1231"/>
      <c r="E713" s="1231"/>
      <c r="F713" s="1232"/>
      <c r="G713" s="1227"/>
      <c r="H713" s="1228"/>
      <c r="I713" s="1228"/>
      <c r="J713" s="1229"/>
      <c r="K713" s="1235"/>
      <c r="L713" s="1236"/>
      <c r="M713" s="1236"/>
      <c r="N713" s="1237"/>
      <c r="O713" s="1238"/>
      <c r="P713" s="1239"/>
      <c r="Q713" s="1239"/>
      <c r="R713" s="1239"/>
      <c r="S713" s="1240"/>
      <c r="T713" s="1241">
        <f t="shared" si="28"/>
        <v>0</v>
      </c>
      <c r="U713" s="1242"/>
      <c r="V713" s="1242"/>
      <c r="W713" s="1242"/>
      <c r="X713" s="1243"/>
      <c r="Y713" s="1238"/>
      <c r="Z713" s="1239"/>
      <c r="AA713" s="1239"/>
      <c r="AB713" s="1240"/>
      <c r="AC713" s="1241">
        <f t="shared" si="29"/>
        <v>0</v>
      </c>
      <c r="AD713" s="1242"/>
      <c r="AE713" s="1242"/>
      <c r="AF713" s="1242"/>
      <c r="AG713" s="1243"/>
      <c r="AH713" s="1255"/>
      <c r="AI713" s="1256"/>
      <c r="AJ713" s="1256"/>
      <c r="AK713" s="1256"/>
      <c r="AL713" s="1257"/>
      <c r="AM713" s="1459" t="str">
        <f t="shared" si="30"/>
        <v xml:space="preserve"> </v>
      </c>
      <c r="AN713" s="1460"/>
      <c r="AO713" s="1461"/>
      <c r="BA713" s="43"/>
      <c r="BB713" s="43"/>
      <c r="BC713" s="43"/>
      <c r="BD713" s="43"/>
      <c r="BE713" s="43"/>
      <c r="BF713" s="43"/>
      <c r="BG713" s="871">
        <f t="shared" si="31"/>
        <v>1</v>
      </c>
      <c r="BH713" s="875">
        <f t="shared" si="32"/>
        <v>2.0408163265306121E-2</v>
      </c>
      <c r="BI713" s="876">
        <f t="shared" si="33"/>
        <v>6.1192198398346675E-3</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0"/>
      <c r="C714" s="1231"/>
      <c r="D714" s="1231"/>
      <c r="E714" s="1231"/>
      <c r="F714" s="1232"/>
      <c r="G714" s="1227"/>
      <c r="H714" s="1228"/>
      <c r="I714" s="1228"/>
      <c r="J714" s="1229"/>
      <c r="K714" s="1235"/>
      <c r="L714" s="1236"/>
      <c r="M714" s="1236"/>
      <c r="N714" s="1237"/>
      <c r="O714" s="1238"/>
      <c r="P714" s="1239"/>
      <c r="Q714" s="1239"/>
      <c r="R714" s="1239"/>
      <c r="S714" s="1240"/>
      <c r="T714" s="1241">
        <f t="shared" si="28"/>
        <v>0</v>
      </c>
      <c r="U714" s="1242"/>
      <c r="V714" s="1242"/>
      <c r="W714" s="1242"/>
      <c r="X714" s="1243"/>
      <c r="Y714" s="1238"/>
      <c r="Z714" s="1239"/>
      <c r="AA714" s="1239"/>
      <c r="AB714" s="1240"/>
      <c r="AC714" s="1241">
        <f t="shared" si="29"/>
        <v>0</v>
      </c>
      <c r="AD714" s="1242"/>
      <c r="AE714" s="1242"/>
      <c r="AF714" s="1242"/>
      <c r="AG714" s="1243"/>
      <c r="AH714" s="1255"/>
      <c r="AI714" s="1256"/>
      <c r="AJ714" s="1256"/>
      <c r="AK714" s="1256"/>
      <c r="AL714" s="1257"/>
      <c r="AM714" s="1459" t="str">
        <f t="shared" si="30"/>
        <v xml:space="preserve"> </v>
      </c>
      <c r="AN714" s="1460"/>
      <c r="AO714" s="1461"/>
      <c r="BA714" s="3"/>
      <c r="BB714" s="41"/>
      <c r="BC714" s="41"/>
      <c r="BD714" s="41"/>
      <c r="BE714" s="43"/>
      <c r="BF714" s="43"/>
      <c r="BG714" s="871">
        <f t="shared" si="31"/>
        <v>3</v>
      </c>
      <c r="BH714" s="875">
        <f t="shared" si="32"/>
        <v>6.1224489795918366E-2</v>
      </c>
      <c r="BI714" s="876">
        <f t="shared" si="33"/>
        <v>3.0612244897959183E-2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0"/>
      <c r="C715" s="1231"/>
      <c r="D715" s="1231"/>
      <c r="E715" s="1231"/>
      <c r="F715" s="1232"/>
      <c r="G715" s="1227"/>
      <c r="H715" s="1228"/>
      <c r="I715" s="1228"/>
      <c r="J715" s="1229"/>
      <c r="K715" s="1235"/>
      <c r="L715" s="1236"/>
      <c r="M715" s="1236"/>
      <c r="N715" s="1237"/>
      <c r="O715" s="1238"/>
      <c r="P715" s="1239"/>
      <c r="Q715" s="1239"/>
      <c r="R715" s="1239"/>
      <c r="S715" s="1240"/>
      <c r="T715" s="1241">
        <f t="shared" si="28"/>
        <v>0</v>
      </c>
      <c r="U715" s="1242"/>
      <c r="V715" s="1242"/>
      <c r="W715" s="1242"/>
      <c r="X715" s="1243"/>
      <c r="Y715" s="1238"/>
      <c r="Z715" s="1239"/>
      <c r="AA715" s="1239"/>
      <c r="AB715" s="1240"/>
      <c r="AC715" s="1241">
        <f t="shared" si="29"/>
        <v>0</v>
      </c>
      <c r="AD715" s="1242"/>
      <c r="AE715" s="1242"/>
      <c r="AF715" s="1242"/>
      <c r="AG715" s="1243"/>
      <c r="AH715" s="1255"/>
      <c r="AI715" s="1256"/>
      <c r="AJ715" s="1256"/>
      <c r="AK715" s="1256"/>
      <c r="AL715" s="1257"/>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0"/>
      <c r="C716" s="1231"/>
      <c r="D716" s="1231"/>
      <c r="E716" s="1231"/>
      <c r="F716" s="1232"/>
      <c r="G716" s="1227"/>
      <c r="H716" s="1228"/>
      <c r="I716" s="1228"/>
      <c r="J716" s="1229"/>
      <c r="K716" s="1235"/>
      <c r="L716" s="1236"/>
      <c r="M716" s="1236"/>
      <c r="N716" s="1237"/>
      <c r="O716" s="1238"/>
      <c r="P716" s="1239"/>
      <c r="Q716" s="1239"/>
      <c r="R716" s="1239"/>
      <c r="S716" s="1240"/>
      <c r="T716" s="1241">
        <f t="shared" si="28"/>
        <v>0</v>
      </c>
      <c r="U716" s="1242"/>
      <c r="V716" s="1242"/>
      <c r="W716" s="1242"/>
      <c r="X716" s="1243"/>
      <c r="Y716" s="1238"/>
      <c r="Z716" s="1239"/>
      <c r="AA716" s="1239"/>
      <c r="AB716" s="1240"/>
      <c r="AC716" s="1241">
        <f t="shared" si="29"/>
        <v>0</v>
      </c>
      <c r="AD716" s="1242"/>
      <c r="AE716" s="1242"/>
      <c r="AF716" s="1242"/>
      <c r="AG716" s="1243"/>
      <c r="AH716" s="1255"/>
      <c r="AI716" s="1256"/>
      <c r="AJ716" s="1256"/>
      <c r="AK716" s="1256"/>
      <c r="AL716" s="1257"/>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00" t="s">
        <v>918</v>
      </c>
      <c r="C717" s="1101"/>
      <c r="D717" s="1101"/>
      <c r="E717" s="1101"/>
      <c r="F717" s="1103"/>
      <c r="G717" s="1267">
        <f>SUM(G692:J716)</f>
        <v>49</v>
      </c>
      <c r="H717" s="1268"/>
      <c r="I717" s="1268"/>
      <c r="J717" s="1269"/>
      <c r="O717" s="441" t="s">
        <v>917</v>
      </c>
      <c r="P717" s="168"/>
      <c r="Q717" s="168"/>
      <c r="R717" s="168"/>
      <c r="S717" s="862"/>
      <c r="T717" s="1241">
        <f>SUM(T692:X716)</f>
        <v>60233</v>
      </c>
      <c r="U717" s="1242"/>
      <c r="V717" s="1242"/>
      <c r="W717" s="1242"/>
      <c r="X717" s="1243"/>
      <c r="AC717" s="863" t="s">
        <v>1187</v>
      </c>
      <c r="AD717" s="864"/>
      <c r="AE717" s="864"/>
      <c r="AF717" s="864"/>
      <c r="AG717" s="865"/>
      <c r="AH717" s="1522">
        <f>BI701</f>
        <v>0.43265306122448982</v>
      </c>
      <c r="AI717" s="1523"/>
      <c r="AJ717" s="1523"/>
      <c r="AK717" s="1523"/>
      <c r="AL717" s="1524"/>
      <c r="AM717" s="1522">
        <f>BI732</f>
        <v>0.41632330147248769</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7" t="s">
        <v>2161</v>
      </c>
      <c r="D718" s="1107"/>
      <c r="E718" s="1107"/>
      <c r="F718" s="1107"/>
      <c r="G718" s="1107"/>
      <c r="H718" s="1107"/>
      <c r="I718" s="1107"/>
      <c r="J718" s="1107"/>
      <c r="K718" s="1107"/>
      <c r="L718" s="1107"/>
      <c r="M718" s="1107"/>
      <c r="N718" s="1107"/>
      <c r="O718" s="1107"/>
      <c r="P718" s="1107"/>
      <c r="Q718" s="1107"/>
      <c r="R718" s="1107"/>
      <c r="S718" s="1107"/>
      <c r="T718" s="1107"/>
      <c r="U718" s="1107"/>
      <c r="V718" s="1107"/>
      <c r="W718" s="1107"/>
      <c r="X718" s="1107"/>
      <c r="Y718" s="1107"/>
      <c r="Z718" s="1107"/>
      <c r="AA718" s="1107"/>
      <c r="AB718" s="1107"/>
      <c r="AC718" s="1107"/>
      <c r="AD718" s="1107"/>
      <c r="AE718" s="1107"/>
      <c r="AF718" s="1107"/>
      <c r="AG718" s="1107"/>
      <c r="AH718" s="1107"/>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7"/>
      <c r="D719" s="1107"/>
      <c r="E719" s="1107"/>
      <c r="F719" s="1107"/>
      <c r="G719" s="1107"/>
      <c r="H719" s="1107"/>
      <c r="I719" s="1107"/>
      <c r="J719" s="1107"/>
      <c r="K719" s="1107"/>
      <c r="L719" s="1107"/>
      <c r="M719" s="1107"/>
      <c r="N719" s="1107"/>
      <c r="O719" s="1107"/>
      <c r="P719" s="1107"/>
      <c r="Q719" s="1107"/>
      <c r="R719" s="1107"/>
      <c r="S719" s="1107"/>
      <c r="T719" s="1107"/>
      <c r="U719" s="1107"/>
      <c r="V719" s="1107"/>
      <c r="W719" s="1107"/>
      <c r="X719" s="1107"/>
      <c r="Y719" s="1107"/>
      <c r="Z719" s="1107"/>
      <c r="AA719" s="1107"/>
      <c r="AB719" s="1107"/>
      <c r="AC719" s="1107"/>
      <c r="AD719" s="1107"/>
      <c r="AE719" s="1107"/>
      <c r="AF719" s="1107"/>
      <c r="AG719" s="1107"/>
      <c r="AH719" s="1107"/>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246">
        <f>CQ615</f>
        <v>53</v>
      </c>
      <c r="P720" s="1246"/>
      <c r="Q720" s="1246"/>
      <c r="R720" s="1246"/>
      <c r="S720" s="944"/>
      <c r="T720" s="944"/>
      <c r="U720" s="270" t="s">
        <v>2163</v>
      </c>
      <c r="V720" s="942"/>
      <c r="W720" s="942"/>
      <c r="X720" s="942"/>
      <c r="Y720" s="943"/>
      <c r="Z720" s="943"/>
      <c r="AA720" s="943"/>
      <c r="AB720" s="943"/>
      <c r="AC720" s="942"/>
      <c r="AD720" s="942"/>
      <c r="AE720" s="942"/>
      <c r="AF720" s="942"/>
      <c r="AG720" s="1279">
        <v>26</v>
      </c>
      <c r="AH720" s="1279"/>
      <c r="AI720" s="1279"/>
      <c r="AJ720" s="1279"/>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1" t="s">
        <v>2159</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1" t="s">
        <v>1587</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72">
        <f>SUM(BG707:BG731)</f>
        <v>49</v>
      </c>
      <c r="BH732" s="873">
        <f>SUM(BH707:BH731)</f>
        <v>1</v>
      </c>
      <c r="BI732" s="873">
        <f>SUM(BI707:BI731)</f>
        <v>0.41632330147248769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8" t="s">
        <v>58</v>
      </c>
      <c r="K734" s="1259"/>
      <c r="L734" s="1259"/>
      <c r="M734" s="1259"/>
      <c r="N734" s="1260"/>
      <c r="O734" s="1273" t="s">
        <v>271</v>
      </c>
      <c r="P734" s="1273"/>
      <c r="Q734" s="1273"/>
      <c r="R734" s="1273"/>
      <c r="S734" s="1273"/>
      <c r="T734" s="1516" t="s">
        <v>2092</v>
      </c>
      <c r="U734" s="1517"/>
      <c r="V734" s="1517"/>
      <c r="W734" s="1518"/>
      <c r="X734" s="1258" t="s">
        <v>625</v>
      </c>
      <c r="Y734" s="1259"/>
      <c r="Z734" s="1259"/>
      <c r="AA734" s="1259"/>
      <c r="AB734" s="1260"/>
      <c r="AC734" s="1258" t="s">
        <v>272</v>
      </c>
      <c r="AD734" s="1259"/>
      <c r="AE734" s="1259"/>
      <c r="AF734" s="1259"/>
      <c r="AG734" s="126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1"/>
      <c r="K735" s="1262"/>
      <c r="L735" s="1262"/>
      <c r="M735" s="1262"/>
      <c r="N735" s="1263"/>
      <c r="O735" s="1273"/>
      <c r="P735" s="1273"/>
      <c r="Q735" s="1273"/>
      <c r="R735" s="1273"/>
      <c r="S735" s="1273"/>
      <c r="T735" s="1519"/>
      <c r="U735" s="1520"/>
      <c r="V735" s="1520"/>
      <c r="W735" s="1521"/>
      <c r="X735" s="1261"/>
      <c r="Y735" s="1262"/>
      <c r="Z735" s="1262"/>
      <c r="AA735" s="1262"/>
      <c r="AB735" s="1263"/>
      <c r="AC735" s="1261"/>
      <c r="AD735" s="1262"/>
      <c r="AE735" s="1262"/>
      <c r="AF735" s="1262"/>
      <c r="AG735" s="126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1"/>
      <c r="K736" s="1262"/>
      <c r="L736" s="1262"/>
      <c r="M736" s="1262"/>
      <c r="N736" s="1263"/>
      <c r="O736" s="1273"/>
      <c r="P736" s="1273"/>
      <c r="Q736" s="1273"/>
      <c r="R736" s="1273"/>
      <c r="S736" s="1273"/>
      <c r="T736" s="1519"/>
      <c r="U736" s="1520"/>
      <c r="V736" s="1520"/>
      <c r="W736" s="1521"/>
      <c r="X736" s="1261"/>
      <c r="Y736" s="1262"/>
      <c r="Z736" s="1262"/>
      <c r="AA736" s="1262"/>
      <c r="AB736" s="1263"/>
      <c r="AC736" s="1261"/>
      <c r="AD736" s="1262"/>
      <c r="AE736" s="1262"/>
      <c r="AF736" s="1262"/>
      <c r="AG736" s="1263"/>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4"/>
      <c r="K737" s="1265"/>
      <c r="L737" s="1265"/>
      <c r="M737" s="1265"/>
      <c r="N737" s="1266"/>
      <c r="O737" s="1273"/>
      <c r="P737" s="1273"/>
      <c r="Q737" s="1273"/>
      <c r="R737" s="1273"/>
      <c r="S737" s="1273"/>
      <c r="T737" s="1525"/>
      <c r="U737" s="1526"/>
      <c r="V737" s="1526"/>
      <c r="W737" s="1527"/>
      <c r="X737" s="1264"/>
      <c r="Y737" s="1265"/>
      <c r="Z737" s="1265"/>
      <c r="AA737" s="1265"/>
      <c r="AB737" s="1266"/>
      <c r="AC737" s="1264"/>
      <c r="AD737" s="1265"/>
      <c r="AE737" s="1265"/>
      <c r="AF737" s="1265"/>
      <c r="AG737" s="1266"/>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30" t="s">
        <v>817</v>
      </c>
      <c r="K738" s="1231"/>
      <c r="L738" s="1231"/>
      <c r="M738" s="1231"/>
      <c r="N738" s="1232"/>
      <c r="O738" s="1234">
        <v>1</v>
      </c>
      <c r="P738" s="1234"/>
      <c r="Q738" s="1234"/>
      <c r="R738" s="1234"/>
      <c r="S738" s="1234"/>
      <c r="T738" s="1235">
        <v>893</v>
      </c>
      <c r="U738" s="1236"/>
      <c r="V738" s="1236"/>
      <c r="W738" s="1237"/>
      <c r="X738" s="1238">
        <v>0</v>
      </c>
      <c r="Y738" s="1239"/>
      <c r="Z738" s="1239"/>
      <c r="AA738" s="1239"/>
      <c r="AB738" s="1240"/>
      <c r="AC738" s="1241">
        <f>X738*O738</f>
        <v>0</v>
      </c>
      <c r="AD738" s="1242"/>
      <c r="AE738" s="1242"/>
      <c r="AF738" s="1242"/>
      <c r="AG738" s="124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0"/>
      <c r="K739" s="1231"/>
      <c r="L739" s="1231"/>
      <c r="M739" s="1231"/>
      <c r="N739" s="1232"/>
      <c r="O739" s="1234"/>
      <c r="P739" s="1234"/>
      <c r="Q739" s="1234"/>
      <c r="R739" s="1234"/>
      <c r="S739" s="1234"/>
      <c r="T739" s="1235"/>
      <c r="U739" s="1236"/>
      <c r="V739" s="1236"/>
      <c r="W739" s="1237"/>
      <c r="X739" s="1238"/>
      <c r="Y739" s="1239"/>
      <c r="Z739" s="1239"/>
      <c r="AA739" s="1239"/>
      <c r="AB739" s="1240"/>
      <c r="AC739" s="1241">
        <f>X739*O739</f>
        <v>0</v>
      </c>
      <c r="AD739" s="1242"/>
      <c r="AE739" s="1242"/>
      <c r="AF739" s="1242"/>
      <c r="AG739" s="124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0"/>
      <c r="K740" s="1231"/>
      <c r="L740" s="1231"/>
      <c r="M740" s="1231"/>
      <c r="N740" s="1232"/>
      <c r="O740" s="1234"/>
      <c r="P740" s="1234"/>
      <c r="Q740" s="1234"/>
      <c r="R740" s="1234"/>
      <c r="S740" s="1234"/>
      <c r="T740" s="1235"/>
      <c r="U740" s="1236"/>
      <c r="V740" s="1236"/>
      <c r="W740" s="1237"/>
      <c r="X740" s="1238"/>
      <c r="Y740" s="1239"/>
      <c r="Z740" s="1239"/>
      <c r="AA740" s="1239"/>
      <c r="AB740" s="1240"/>
      <c r="AC740" s="1241">
        <f>X740*O740</f>
        <v>0</v>
      </c>
      <c r="AD740" s="1242"/>
      <c r="AE740" s="1242"/>
      <c r="AF740" s="1242"/>
      <c r="AG740" s="124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0"/>
      <c r="K741" s="1231"/>
      <c r="L741" s="1231"/>
      <c r="M741" s="1231"/>
      <c r="N741" s="1232"/>
      <c r="O741" s="1234"/>
      <c r="P741" s="1234"/>
      <c r="Q741" s="1234"/>
      <c r="R741" s="1234"/>
      <c r="S741" s="1234"/>
      <c r="T741" s="1235"/>
      <c r="U741" s="1236"/>
      <c r="V741" s="1236"/>
      <c r="W741" s="1237"/>
      <c r="X741" s="1238"/>
      <c r="Y741" s="1239"/>
      <c r="Z741" s="1239"/>
      <c r="AA741" s="1239"/>
      <c r="AB741" s="1240"/>
      <c r="AC741" s="1241">
        <f>X741*O741</f>
        <v>0</v>
      </c>
      <c r="AD741" s="1242"/>
      <c r="AE741" s="1242"/>
      <c r="AF741" s="1242"/>
      <c r="AG741" s="124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00" t="s">
        <v>918</v>
      </c>
      <c r="K742" s="1101"/>
      <c r="L742" s="1101"/>
      <c r="M742" s="1101"/>
      <c r="N742" s="1103"/>
      <c r="O742" s="1252">
        <f>SUM(O738:S741)</f>
        <v>1</v>
      </c>
      <c r="P742" s="1318"/>
      <c r="Q742" s="1318"/>
      <c r="R742" s="1318"/>
      <c r="S742" s="1253"/>
      <c r="X742" s="1100" t="s">
        <v>917</v>
      </c>
      <c r="Y742" s="1101"/>
      <c r="Z742" s="1101"/>
      <c r="AA742" s="1101"/>
      <c r="AB742" s="1103"/>
      <c r="AC742" s="1241">
        <f>SUM(AC738:AG741)</f>
        <v>0</v>
      </c>
      <c r="AD742" s="1242"/>
      <c r="AE742" s="1242"/>
      <c r="AF742" s="1242"/>
      <c r="AG742" s="124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2" t="s">
        <v>511</v>
      </c>
      <c r="K744" s="1122"/>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8" t="s">
        <v>58</v>
      </c>
      <c r="K748" s="1259"/>
      <c r="L748" s="1259"/>
      <c r="M748" s="1259"/>
      <c r="N748" s="1260"/>
      <c r="O748" s="1273" t="s">
        <v>271</v>
      </c>
      <c r="P748" s="1273"/>
      <c r="Q748" s="1273"/>
      <c r="R748" s="1273"/>
      <c r="S748" s="1273"/>
      <c r="T748" s="1516" t="s">
        <v>2092</v>
      </c>
      <c r="U748" s="1517"/>
      <c r="V748" s="1517"/>
      <c r="W748" s="1518"/>
      <c r="X748" s="1258" t="s">
        <v>625</v>
      </c>
      <c r="Y748" s="1259"/>
      <c r="Z748" s="1259"/>
      <c r="AA748" s="1259"/>
      <c r="AB748" s="1260"/>
      <c r="AC748" s="1258" t="s">
        <v>272</v>
      </c>
      <c r="AD748" s="1259"/>
      <c r="AE748" s="1259"/>
      <c r="AF748" s="1259"/>
      <c r="AG748" s="126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1"/>
      <c r="K749" s="1262"/>
      <c r="L749" s="1262"/>
      <c r="M749" s="1262"/>
      <c r="N749" s="1263"/>
      <c r="O749" s="1273"/>
      <c r="P749" s="1273"/>
      <c r="Q749" s="1273"/>
      <c r="R749" s="1273"/>
      <c r="S749" s="1273"/>
      <c r="T749" s="1519"/>
      <c r="U749" s="1520"/>
      <c r="V749" s="1520"/>
      <c r="W749" s="1521"/>
      <c r="X749" s="1261"/>
      <c r="Y749" s="1262"/>
      <c r="Z749" s="1262"/>
      <c r="AA749" s="1262"/>
      <c r="AB749" s="1263"/>
      <c r="AC749" s="1261"/>
      <c r="AD749" s="1262"/>
      <c r="AE749" s="1262"/>
      <c r="AF749" s="1262"/>
      <c r="AG749" s="126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1"/>
      <c r="K750" s="1262"/>
      <c r="L750" s="1262"/>
      <c r="M750" s="1262"/>
      <c r="N750" s="1263"/>
      <c r="O750" s="1273"/>
      <c r="P750" s="1273"/>
      <c r="Q750" s="1273"/>
      <c r="R750" s="1273"/>
      <c r="S750" s="1273"/>
      <c r="T750" s="1519"/>
      <c r="U750" s="1520"/>
      <c r="V750" s="1520"/>
      <c r="W750" s="1521"/>
      <c r="X750" s="1261"/>
      <c r="Y750" s="1262"/>
      <c r="Z750" s="1262"/>
      <c r="AA750" s="1262"/>
      <c r="AB750" s="1263"/>
      <c r="AC750" s="1261"/>
      <c r="AD750" s="1262"/>
      <c r="AE750" s="1262"/>
      <c r="AF750" s="1262"/>
      <c r="AG750" s="126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4"/>
      <c r="K751" s="1265"/>
      <c r="L751" s="1265"/>
      <c r="M751" s="1265"/>
      <c r="N751" s="1266"/>
      <c r="O751" s="1273"/>
      <c r="P751" s="1273"/>
      <c r="Q751" s="1273"/>
      <c r="R751" s="1273"/>
      <c r="S751" s="1273"/>
      <c r="T751" s="1525"/>
      <c r="U751" s="1526"/>
      <c r="V751" s="1526"/>
      <c r="W751" s="1527"/>
      <c r="X751" s="1264"/>
      <c r="Y751" s="1265"/>
      <c r="Z751" s="1265"/>
      <c r="AA751" s="1265"/>
      <c r="AB751" s="1266"/>
      <c r="AC751" s="1264"/>
      <c r="AD751" s="1265"/>
      <c r="AE751" s="1265"/>
      <c r="AF751" s="1265"/>
      <c r="AG751" s="126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0"/>
      <c r="K752" s="1231"/>
      <c r="L752" s="1231"/>
      <c r="M752" s="1231"/>
      <c r="N752" s="1232"/>
      <c r="O752" s="1234"/>
      <c r="P752" s="1234"/>
      <c r="Q752" s="1234"/>
      <c r="R752" s="1234"/>
      <c r="S752" s="1234"/>
      <c r="T752" s="1235"/>
      <c r="U752" s="1236"/>
      <c r="V752" s="1236"/>
      <c r="W752" s="1237"/>
      <c r="X752" s="1238"/>
      <c r="Y752" s="1239"/>
      <c r="Z752" s="1239"/>
      <c r="AA752" s="1239"/>
      <c r="AB752" s="1240"/>
      <c r="AC752" s="1241">
        <f t="shared" ref="AC752:AC761" si="34">X752*O752</f>
        <v>0</v>
      </c>
      <c r="AD752" s="1242"/>
      <c r="AE752" s="1242"/>
      <c r="AF752" s="1242"/>
      <c r="AG752" s="124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0"/>
      <c r="K753" s="1231"/>
      <c r="L753" s="1231"/>
      <c r="M753" s="1231"/>
      <c r="N753" s="1232"/>
      <c r="O753" s="1234"/>
      <c r="P753" s="1234"/>
      <c r="Q753" s="1234"/>
      <c r="R753" s="1234"/>
      <c r="S753" s="1234"/>
      <c r="T753" s="1235"/>
      <c r="U753" s="1236"/>
      <c r="V753" s="1236"/>
      <c r="W753" s="1237"/>
      <c r="X753" s="1238"/>
      <c r="Y753" s="1239"/>
      <c r="Z753" s="1239"/>
      <c r="AA753" s="1239"/>
      <c r="AB753" s="1240"/>
      <c r="AC753" s="1241">
        <f t="shared" si="34"/>
        <v>0</v>
      </c>
      <c r="AD753" s="1242"/>
      <c r="AE753" s="1242"/>
      <c r="AF753" s="1242"/>
      <c r="AG753" s="124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0"/>
      <c r="K754" s="1231"/>
      <c r="L754" s="1231"/>
      <c r="M754" s="1231"/>
      <c r="N754" s="1232"/>
      <c r="O754" s="1234"/>
      <c r="P754" s="1234"/>
      <c r="Q754" s="1234"/>
      <c r="R754" s="1234"/>
      <c r="S754" s="1234"/>
      <c r="T754" s="1235"/>
      <c r="U754" s="1236"/>
      <c r="V754" s="1236"/>
      <c r="W754" s="1237"/>
      <c r="X754" s="1238"/>
      <c r="Y754" s="1239"/>
      <c r="Z754" s="1239"/>
      <c r="AA754" s="1239"/>
      <c r="AB754" s="1240"/>
      <c r="AC754" s="1241">
        <f t="shared" si="34"/>
        <v>0</v>
      </c>
      <c r="AD754" s="1242"/>
      <c r="AE754" s="1242"/>
      <c r="AF754" s="1242"/>
      <c r="AG754" s="124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0"/>
      <c r="K755" s="1231"/>
      <c r="L755" s="1231"/>
      <c r="M755" s="1231"/>
      <c r="N755" s="1232"/>
      <c r="O755" s="1234"/>
      <c r="P755" s="1234"/>
      <c r="Q755" s="1234"/>
      <c r="R755" s="1234"/>
      <c r="S755" s="1234"/>
      <c r="T755" s="1235"/>
      <c r="U755" s="1236"/>
      <c r="V755" s="1236"/>
      <c r="W755" s="1237"/>
      <c r="X755" s="1238"/>
      <c r="Y755" s="1239"/>
      <c r="Z755" s="1239"/>
      <c r="AA755" s="1239"/>
      <c r="AB755" s="1240"/>
      <c r="AC755" s="1241">
        <f t="shared" si="34"/>
        <v>0</v>
      </c>
      <c r="AD755" s="1242"/>
      <c r="AE755" s="1242"/>
      <c r="AF755" s="1242"/>
      <c r="AG755" s="124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0"/>
      <c r="K756" s="1231"/>
      <c r="L756" s="1231"/>
      <c r="M756" s="1231"/>
      <c r="N756" s="1232"/>
      <c r="O756" s="1234"/>
      <c r="P756" s="1234"/>
      <c r="Q756" s="1234"/>
      <c r="R756" s="1234"/>
      <c r="S756" s="1234"/>
      <c r="T756" s="1235"/>
      <c r="U756" s="1236"/>
      <c r="V756" s="1236"/>
      <c r="W756" s="1237"/>
      <c r="X756" s="1238"/>
      <c r="Y756" s="1239"/>
      <c r="Z756" s="1239"/>
      <c r="AA756" s="1239"/>
      <c r="AB756" s="1240"/>
      <c r="AC756" s="1241">
        <f t="shared" si="34"/>
        <v>0</v>
      </c>
      <c r="AD756" s="1242"/>
      <c r="AE756" s="1242"/>
      <c r="AF756" s="1242"/>
      <c r="AG756" s="124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0"/>
      <c r="K757" s="1231"/>
      <c r="L757" s="1231"/>
      <c r="M757" s="1231"/>
      <c r="N757" s="1232"/>
      <c r="O757" s="1234"/>
      <c r="P757" s="1234"/>
      <c r="Q757" s="1234"/>
      <c r="R757" s="1234"/>
      <c r="S757" s="1234"/>
      <c r="T757" s="1235"/>
      <c r="U757" s="1236"/>
      <c r="V757" s="1236"/>
      <c r="W757" s="1237"/>
      <c r="X757" s="1238"/>
      <c r="Y757" s="1239"/>
      <c r="Z757" s="1239"/>
      <c r="AA757" s="1239"/>
      <c r="AB757" s="1240"/>
      <c r="AC757" s="1241">
        <f t="shared" si="34"/>
        <v>0</v>
      </c>
      <c r="AD757" s="1242"/>
      <c r="AE757" s="1242"/>
      <c r="AF757" s="1242"/>
      <c r="AG757" s="124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0"/>
      <c r="K758" s="1231"/>
      <c r="L758" s="1231"/>
      <c r="M758" s="1231"/>
      <c r="N758" s="1232"/>
      <c r="O758" s="1234"/>
      <c r="P758" s="1234"/>
      <c r="Q758" s="1234"/>
      <c r="R758" s="1234"/>
      <c r="S758" s="1234"/>
      <c r="T758" s="1235"/>
      <c r="U758" s="1236"/>
      <c r="V758" s="1236"/>
      <c r="W758" s="1237"/>
      <c r="X758" s="1238"/>
      <c r="Y758" s="1239"/>
      <c r="Z758" s="1239"/>
      <c r="AA758" s="1239"/>
      <c r="AB758" s="1240"/>
      <c r="AC758" s="1241">
        <f t="shared" si="34"/>
        <v>0</v>
      </c>
      <c r="AD758" s="1242"/>
      <c r="AE758" s="1242"/>
      <c r="AF758" s="1242"/>
      <c r="AG758" s="124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0"/>
      <c r="K759" s="1231"/>
      <c r="L759" s="1231"/>
      <c r="M759" s="1231"/>
      <c r="N759" s="1232"/>
      <c r="O759" s="1234"/>
      <c r="P759" s="1234"/>
      <c r="Q759" s="1234"/>
      <c r="R759" s="1234"/>
      <c r="S759" s="1234"/>
      <c r="T759" s="1235"/>
      <c r="U759" s="1236"/>
      <c r="V759" s="1236"/>
      <c r="W759" s="1237"/>
      <c r="X759" s="1238"/>
      <c r="Y759" s="1239"/>
      <c r="Z759" s="1239"/>
      <c r="AA759" s="1239"/>
      <c r="AB759" s="1240"/>
      <c r="AC759" s="1241">
        <f t="shared" si="34"/>
        <v>0</v>
      </c>
      <c r="AD759" s="1242"/>
      <c r="AE759" s="1242"/>
      <c r="AF759" s="1242"/>
      <c r="AG759" s="124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0"/>
      <c r="K760" s="1231"/>
      <c r="L760" s="1231"/>
      <c r="M760" s="1231"/>
      <c r="N760" s="1232"/>
      <c r="O760" s="1234"/>
      <c r="P760" s="1234"/>
      <c r="Q760" s="1234"/>
      <c r="R760" s="1234"/>
      <c r="S760" s="1234"/>
      <c r="T760" s="1235"/>
      <c r="U760" s="1236"/>
      <c r="V760" s="1236"/>
      <c r="W760" s="1237"/>
      <c r="X760" s="1238"/>
      <c r="Y760" s="1239"/>
      <c r="Z760" s="1239"/>
      <c r="AA760" s="1239"/>
      <c r="AB760" s="1240"/>
      <c r="AC760" s="1241">
        <f t="shared" si="34"/>
        <v>0</v>
      </c>
      <c r="AD760" s="1242"/>
      <c r="AE760" s="1242"/>
      <c r="AF760" s="1242"/>
      <c r="AG760" s="124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0"/>
      <c r="K761" s="1231"/>
      <c r="L761" s="1231"/>
      <c r="M761" s="1231"/>
      <c r="N761" s="1232"/>
      <c r="O761" s="1234"/>
      <c r="P761" s="1234"/>
      <c r="Q761" s="1234"/>
      <c r="R761" s="1234"/>
      <c r="S761" s="1234"/>
      <c r="T761" s="1235"/>
      <c r="U761" s="1236"/>
      <c r="V761" s="1236"/>
      <c r="W761" s="1237"/>
      <c r="X761" s="1238"/>
      <c r="Y761" s="1239"/>
      <c r="Z761" s="1239"/>
      <c r="AA761" s="1239"/>
      <c r="AB761" s="1240"/>
      <c r="AC761" s="1241">
        <f t="shared" si="34"/>
        <v>0</v>
      </c>
      <c r="AD761" s="1242"/>
      <c r="AE761" s="1242"/>
      <c r="AF761" s="1242"/>
      <c r="AG761" s="124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00" t="s">
        <v>918</v>
      </c>
      <c r="K762" s="1101"/>
      <c r="L762" s="1101"/>
      <c r="M762" s="1101"/>
      <c r="N762" s="1103"/>
      <c r="O762" s="1246">
        <f>SUM(O752:S761)</f>
        <v>0</v>
      </c>
      <c r="P762" s="1246"/>
      <c r="Q762" s="1246"/>
      <c r="R762" s="1246"/>
      <c r="S762" s="1246"/>
      <c r="X762" s="441" t="s">
        <v>917</v>
      </c>
      <c r="Y762" s="168"/>
      <c r="Z762" s="168"/>
      <c r="AA762" s="168"/>
      <c r="AB762" s="862"/>
      <c r="AC762" s="1241">
        <f>SUM(AC752:AG761)</f>
        <v>0</v>
      </c>
      <c r="AD762" s="1242"/>
      <c r="AE762" s="1242"/>
      <c r="AF762" s="1242"/>
      <c r="AG762" s="124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5">
        <f>T717+AC742+AC762</f>
        <v>60233</v>
      </c>
      <c r="Z764" s="1165"/>
      <c r="AA764" s="1165"/>
      <c r="AB764" s="1165"/>
      <c r="AC764" s="116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5">
        <f>(T717+AC742+AC762)*12</f>
        <v>722796</v>
      </c>
      <c r="Z765" s="1165"/>
      <c r="AA765" s="1165"/>
      <c r="AB765" s="1165"/>
      <c r="AC765" s="116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70">
        <v>25</v>
      </c>
      <c r="AA770" s="1271"/>
      <c r="AB770" s="1271"/>
      <c r="AC770" s="1271"/>
      <c r="AD770" s="1271"/>
      <c r="AE770" s="12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7">
        <v>40</v>
      </c>
      <c r="AA771" s="1271"/>
      <c r="AB771" s="1271"/>
      <c r="AC771" s="1271"/>
      <c r="AD771" s="1271"/>
      <c r="AE771" s="12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8">
        <v>60541</v>
      </c>
      <c r="AA772" s="1213"/>
      <c r="AB772" s="1213"/>
      <c r="AC772" s="1213"/>
      <c r="AD772" s="1213"/>
      <c r="AE772" s="12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62">
        <f>'Subsidy Contract Calculation'!I30</f>
        <v>464472</v>
      </c>
      <c r="AA773" s="1163"/>
      <c r="AB773" s="1163"/>
      <c r="AC773" s="1163"/>
      <c r="AD773" s="1163"/>
      <c r="AE773" s="116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53">
        <v>5400</v>
      </c>
      <c r="AA777" s="1154"/>
      <c r="AB777" s="1154"/>
      <c r="AC777" s="1154"/>
      <c r="AD777" s="1154"/>
      <c r="AE777" s="115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53">
        <v>0</v>
      </c>
      <c r="AA778" s="1154"/>
      <c r="AB778" s="1154"/>
      <c r="AC778" s="1154"/>
      <c r="AD778" s="1154"/>
      <c r="AE778" s="115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53">
        <v>0</v>
      </c>
      <c r="AA779" s="1154"/>
      <c r="AB779" s="1154"/>
      <c r="AC779" s="1154"/>
      <c r="AD779" s="1154"/>
      <c r="AE779" s="115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50" t="s">
        <v>2446</v>
      </c>
      <c r="Q780" s="1151"/>
      <c r="R780" s="1151"/>
      <c r="S780" s="1151"/>
      <c r="T780" s="1151"/>
      <c r="U780" s="1151"/>
      <c r="V780" s="1151"/>
      <c r="W780" s="1151"/>
      <c r="X780" s="1151"/>
      <c r="Y780" s="1152"/>
      <c r="Z780" s="1153">
        <v>1</v>
      </c>
      <c r="AA780" s="1154"/>
      <c r="AB780" s="1154"/>
      <c r="AC780" s="1154"/>
      <c r="AD780" s="1154"/>
      <c r="AE780" s="115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9">
        <f>SUM(Z777:AE780)</f>
        <v>5401</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9">
        <f>Z781+Y765+Z773</f>
        <v>1192669</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919</v>
      </c>
      <c r="N787" s="1181"/>
      <c r="O787" s="1181"/>
      <c r="P787" s="1530"/>
      <c r="Q787" s="1233" t="s">
        <v>278</v>
      </c>
      <c r="R787" s="1233"/>
      <c r="S787" s="1233"/>
      <c r="T787" s="1233"/>
      <c r="U787" s="1233" t="s">
        <v>279</v>
      </c>
      <c r="V787" s="1233"/>
      <c r="W787" s="1233"/>
      <c r="X787" s="1233"/>
      <c r="Y787" s="1233" t="s">
        <v>280</v>
      </c>
      <c r="Z787" s="1233"/>
      <c r="AA787" s="1233"/>
      <c r="AB787" s="1233"/>
      <c r="AC787" s="1233" t="s">
        <v>35</v>
      </c>
      <c r="AD787" s="1233"/>
      <c r="AE787" s="1233"/>
      <c r="AF787" s="1233"/>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278"/>
      <c r="Q788" s="1233"/>
      <c r="R788" s="1233"/>
      <c r="S788" s="1233"/>
      <c r="T788" s="1233"/>
      <c r="U788" s="1233"/>
      <c r="V788" s="1233"/>
      <c r="W788" s="1233"/>
      <c r="X788" s="1233"/>
      <c r="Y788" s="1233"/>
      <c r="Z788" s="1233"/>
      <c r="AA788" s="1233"/>
      <c r="AB788" s="1233"/>
      <c r="AC788" s="1233"/>
      <c r="AD788" s="1233"/>
      <c r="AE788" s="1233"/>
      <c r="AF788" s="1233"/>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41" t="s">
        <v>730</v>
      </c>
      <c r="D789" s="1302"/>
      <c r="E789" s="1302"/>
      <c r="F789" s="1302"/>
      <c r="G789" s="1302"/>
      <c r="H789" s="1302"/>
      <c r="I789" s="54"/>
      <c r="J789" s="54"/>
      <c r="K789" s="54"/>
      <c r="L789" s="55"/>
      <c r="M789" s="1247">
        <v>13</v>
      </c>
      <c r="N789" s="1247"/>
      <c r="O789" s="1247"/>
      <c r="P789" s="1247"/>
      <c r="Q789" s="1247">
        <v>15</v>
      </c>
      <c r="R789" s="1247"/>
      <c r="S789" s="1247"/>
      <c r="T789" s="1247"/>
      <c r="U789" s="1247">
        <v>19</v>
      </c>
      <c r="V789" s="1247"/>
      <c r="W789" s="1247"/>
      <c r="X789" s="1247"/>
      <c r="Y789" s="1247"/>
      <c r="Z789" s="1247"/>
      <c r="AA789" s="1247"/>
      <c r="AB789" s="1247"/>
      <c r="AC789" s="1069"/>
      <c r="AD789" s="1070"/>
      <c r="AE789" s="1070"/>
      <c r="AF789" s="1071"/>
      <c r="AG789" s="1069"/>
      <c r="AH789" s="1070"/>
      <c r="AI789" s="1070"/>
      <c r="AJ789" s="107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4" t="s">
        <v>731</v>
      </c>
      <c r="D790" s="1245"/>
      <c r="E790" s="1245"/>
      <c r="F790" s="1245"/>
      <c r="G790" s="1245"/>
      <c r="H790" s="1245"/>
      <c r="I790" s="9"/>
      <c r="J790" s="9"/>
      <c r="K790" s="9"/>
      <c r="L790" s="52"/>
      <c r="M790" s="1247"/>
      <c r="N790" s="1247"/>
      <c r="O790" s="1247"/>
      <c r="P790" s="1247"/>
      <c r="Q790" s="1247"/>
      <c r="R790" s="1247"/>
      <c r="S790" s="1247"/>
      <c r="T790" s="1247"/>
      <c r="U790" s="1247"/>
      <c r="V790" s="1247"/>
      <c r="W790" s="1247"/>
      <c r="X790" s="1247"/>
      <c r="Y790" s="1247"/>
      <c r="Z790" s="1247"/>
      <c r="AA790" s="1247"/>
      <c r="AB790" s="1247"/>
      <c r="AC790" s="1069"/>
      <c r="AD790" s="1070"/>
      <c r="AE790" s="1070"/>
      <c r="AF790" s="1071"/>
      <c r="AG790" s="1069"/>
      <c r="AH790" s="1070"/>
      <c r="AI790" s="1070"/>
      <c r="AJ790" s="107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4" t="s">
        <v>76</v>
      </c>
      <c r="D791" s="1245"/>
      <c r="E791" s="1245"/>
      <c r="F791" s="1245"/>
      <c r="G791" s="1245"/>
      <c r="H791" s="1245"/>
      <c r="I791" s="66"/>
      <c r="J791" s="66"/>
      <c r="K791" s="66"/>
      <c r="L791" s="67"/>
      <c r="M791" s="1247">
        <v>6</v>
      </c>
      <c r="N791" s="1247"/>
      <c r="O791" s="1247"/>
      <c r="P791" s="1247"/>
      <c r="Q791" s="1247">
        <v>7</v>
      </c>
      <c r="R791" s="1247"/>
      <c r="S791" s="1247"/>
      <c r="T791" s="1247"/>
      <c r="U791" s="1247">
        <v>11</v>
      </c>
      <c r="V791" s="1247"/>
      <c r="W791" s="1247"/>
      <c r="X791" s="1247"/>
      <c r="Y791" s="1247"/>
      <c r="Z791" s="1247"/>
      <c r="AA791" s="1247"/>
      <c r="AB791" s="1247"/>
      <c r="AC791" s="1069"/>
      <c r="AD791" s="1070"/>
      <c r="AE791" s="1070"/>
      <c r="AF791" s="1071"/>
      <c r="AG791" s="1069"/>
      <c r="AH791" s="1070"/>
      <c r="AI791" s="1070"/>
      <c r="AJ791" s="107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4" t="s">
        <v>189</v>
      </c>
      <c r="D792" s="1245"/>
      <c r="E792" s="1245"/>
      <c r="F792" s="1245"/>
      <c r="G792" s="1245"/>
      <c r="H792" s="1245"/>
      <c r="I792" s="66"/>
      <c r="J792" s="66"/>
      <c r="K792" s="66"/>
      <c r="L792" s="67"/>
      <c r="M792" s="1247"/>
      <c r="N792" s="1247"/>
      <c r="O792" s="1247"/>
      <c r="P792" s="1247"/>
      <c r="Q792" s="1247"/>
      <c r="R792" s="1247"/>
      <c r="S792" s="1247"/>
      <c r="T792" s="1247"/>
      <c r="U792" s="1247"/>
      <c r="V792" s="1247"/>
      <c r="W792" s="1247"/>
      <c r="X792" s="1247"/>
      <c r="Y792" s="1247"/>
      <c r="Z792" s="1247"/>
      <c r="AA792" s="1247"/>
      <c r="AB792" s="1247"/>
      <c r="AC792" s="1069"/>
      <c r="AD792" s="1070"/>
      <c r="AE792" s="1070"/>
      <c r="AF792" s="1071"/>
      <c r="AG792" s="1069"/>
      <c r="AH792" s="1070"/>
      <c r="AI792" s="1070"/>
      <c r="AJ792" s="107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4" t="s">
        <v>828</v>
      </c>
      <c r="D793" s="1245"/>
      <c r="E793" s="1245"/>
      <c r="F793" s="1245"/>
      <c r="G793" s="1245"/>
      <c r="H793" s="1245"/>
      <c r="I793" s="66"/>
      <c r="J793" s="66"/>
      <c r="K793" s="66"/>
      <c r="L793" s="67"/>
      <c r="M793" s="1247">
        <v>23</v>
      </c>
      <c r="N793" s="1247"/>
      <c r="O793" s="1247"/>
      <c r="P793" s="1247"/>
      <c r="Q793" s="1247">
        <v>27</v>
      </c>
      <c r="R793" s="1247"/>
      <c r="S793" s="1247"/>
      <c r="T793" s="1247"/>
      <c r="U793" s="1247">
        <v>38</v>
      </c>
      <c r="V793" s="1247"/>
      <c r="W793" s="1247"/>
      <c r="X793" s="1247"/>
      <c r="Y793" s="1247"/>
      <c r="Z793" s="1247"/>
      <c r="AA793" s="1247"/>
      <c r="AB793" s="1247"/>
      <c r="AC793" s="1069"/>
      <c r="AD793" s="1070"/>
      <c r="AE793" s="1070"/>
      <c r="AF793" s="1071"/>
      <c r="AG793" s="1069"/>
      <c r="AH793" s="1070"/>
      <c r="AI793" s="1070"/>
      <c r="AJ793" s="107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2" t="s">
        <v>987</v>
      </c>
      <c r="D794" s="1245"/>
      <c r="E794" s="1245"/>
      <c r="F794" s="1245"/>
      <c r="G794" s="1245"/>
      <c r="H794" s="1245"/>
      <c r="I794" s="66"/>
      <c r="J794" s="66"/>
      <c r="K794" s="66"/>
      <c r="L794" s="67"/>
      <c r="M794" s="1247"/>
      <c r="N794" s="1247"/>
      <c r="O794" s="1247"/>
      <c r="P794" s="1247"/>
      <c r="Q794" s="1247"/>
      <c r="R794" s="1247"/>
      <c r="S794" s="1247"/>
      <c r="T794" s="1247"/>
      <c r="U794" s="1247"/>
      <c r="V794" s="1247"/>
      <c r="W794" s="1247"/>
      <c r="X794" s="1247"/>
      <c r="Y794" s="1247"/>
      <c r="Z794" s="1247"/>
      <c r="AA794" s="1247"/>
      <c r="AB794" s="1247"/>
      <c r="AC794" s="1069"/>
      <c r="AD794" s="1070"/>
      <c r="AE794" s="1070"/>
      <c r="AF794" s="1071"/>
      <c r="AG794" s="1069"/>
      <c r="AH794" s="1070"/>
      <c r="AI794" s="1070"/>
      <c r="AJ794" s="107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283" t="s">
        <v>593</v>
      </c>
      <c r="G795" s="1151"/>
      <c r="H795" s="1151"/>
      <c r="I795" s="1151"/>
      <c r="J795" s="1151"/>
      <c r="K795" s="1151"/>
      <c r="L795" s="1151"/>
      <c r="M795" s="1247"/>
      <c r="N795" s="1247"/>
      <c r="O795" s="1247"/>
      <c r="P795" s="1247"/>
      <c r="Q795" s="1247"/>
      <c r="R795" s="1247"/>
      <c r="S795" s="1247"/>
      <c r="T795" s="1247"/>
      <c r="U795" s="1247"/>
      <c r="V795" s="1247"/>
      <c r="W795" s="1247"/>
      <c r="X795" s="1247"/>
      <c r="Y795" s="1247"/>
      <c r="Z795" s="1247"/>
      <c r="AA795" s="1247"/>
      <c r="AB795" s="1247"/>
      <c r="AC795" s="1069"/>
      <c r="AD795" s="1070"/>
      <c r="AE795" s="1070"/>
      <c r="AF795" s="1071"/>
      <c r="AG795" s="1069"/>
      <c r="AH795" s="1070"/>
      <c r="AI795" s="1070"/>
      <c r="AJ795" s="107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00" t="s">
        <v>917</v>
      </c>
      <c r="D796" s="1101"/>
      <c r="E796" s="1101"/>
      <c r="F796" s="1101"/>
      <c r="G796" s="1101"/>
      <c r="H796" s="1101"/>
      <c r="I796" s="1101"/>
      <c r="J796" s="1101"/>
      <c r="K796" s="1101"/>
      <c r="L796" s="1103"/>
      <c r="M796" s="1317">
        <f>SUM(M789:P795)</f>
        <v>42</v>
      </c>
      <c r="N796" s="1317"/>
      <c r="O796" s="1317"/>
      <c r="P796" s="1317"/>
      <c r="Q796" s="1317">
        <f>SUM(Q789:T795)</f>
        <v>49</v>
      </c>
      <c r="R796" s="1317"/>
      <c r="S796" s="1317"/>
      <c r="T796" s="1317"/>
      <c r="U796" s="1317">
        <f>SUM(U789:X795)</f>
        <v>68</v>
      </c>
      <c r="V796" s="1317"/>
      <c r="W796" s="1317"/>
      <c r="X796" s="1317"/>
      <c r="Y796" s="1317">
        <f>SUM(Y789:AB795)</f>
        <v>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7" t="s">
        <v>2447</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9" t="s">
        <v>393</v>
      </c>
      <c r="BB805" s="1190"/>
      <c r="BC805" s="41"/>
      <c r="BD805" s="41"/>
      <c r="BE805" s="41"/>
      <c r="BF805" s="21" t="s">
        <v>449</v>
      </c>
      <c r="BG805" s="21"/>
      <c r="BH805" s="21"/>
      <c r="BI805" s="21"/>
      <c r="BJ805" s="21"/>
      <c r="BK805" s="21"/>
      <c r="BL805" s="21"/>
      <c r="BM805" s="21"/>
      <c r="BN805" s="21"/>
      <c r="BO805" s="1186" t="str">
        <f>T189</f>
        <v>Santa Clara</v>
      </c>
      <c r="BP805" s="1187"/>
      <c r="BQ805" s="1187"/>
      <c r="BR805" s="1187"/>
      <c r="BS805" s="1187"/>
      <c r="BT805" s="1187"/>
      <c r="BU805" s="118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3"/>
      <c r="X806" s="1203"/>
      <c r="Y806" s="1203"/>
      <c r="Z806" s="1203"/>
      <c r="AA806" s="1203"/>
      <c r="AB806" s="1203"/>
      <c r="AC806" s="120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3">
        <v>2500</v>
      </c>
      <c r="X807" s="1203"/>
      <c r="Y807" s="1203"/>
      <c r="Z807" s="1203"/>
      <c r="AA807" s="1203"/>
      <c r="AB807" s="1203"/>
      <c r="AC807" s="1203"/>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3">
        <v>16025</v>
      </c>
      <c r="X808" s="1203"/>
      <c r="Y808" s="1203"/>
      <c r="Z808" s="1203"/>
      <c r="AA808" s="1203"/>
      <c r="AB808" s="1203"/>
      <c r="AC808" s="120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3">
        <v>16000</v>
      </c>
      <c r="X809" s="1203"/>
      <c r="Y809" s="1203"/>
      <c r="Z809" s="1203"/>
      <c r="AA809" s="1203"/>
      <c r="AB809" s="1203"/>
      <c r="AC809" s="1203"/>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50" t="s">
        <v>528</v>
      </c>
      <c r="N810" s="1151"/>
      <c r="O810" s="1151"/>
      <c r="P810" s="1151"/>
      <c r="Q810" s="1151"/>
      <c r="R810" s="1151"/>
      <c r="S810" s="1151"/>
      <c r="T810" s="1151"/>
      <c r="U810" s="1151"/>
      <c r="V810" s="1152"/>
      <c r="W810" s="1203">
        <v>37835</v>
      </c>
      <c r="X810" s="1203"/>
      <c r="Y810" s="1203"/>
      <c r="Z810" s="1203"/>
      <c r="AA810" s="1203"/>
      <c r="AB810" s="1203"/>
      <c r="AC810" s="120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9">
        <f>SUM(W806:AC810)</f>
        <v>72360</v>
      </c>
      <c r="X811" s="1160"/>
      <c r="Y811" s="1160"/>
      <c r="Z811" s="1160"/>
      <c r="AA811" s="1160"/>
      <c r="AB811" s="1160"/>
      <c r="AC811" s="116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00" t="s">
        <v>498</v>
      </c>
      <c r="K813" s="1101"/>
      <c r="L813" s="1101"/>
      <c r="M813" s="1101"/>
      <c r="N813" s="1101"/>
      <c r="O813" s="1101"/>
      <c r="P813" s="1101"/>
      <c r="Q813" s="1101"/>
      <c r="R813" s="1101"/>
      <c r="S813" s="1101"/>
      <c r="T813" s="1101"/>
      <c r="U813" s="1101"/>
      <c r="V813" s="1103"/>
      <c r="W813" s="1153">
        <v>45000</v>
      </c>
      <c r="X813" s="1154"/>
      <c r="Y813" s="1154"/>
      <c r="Z813" s="1154"/>
      <c r="AA813" s="1154"/>
      <c r="AB813" s="1154"/>
      <c r="AC813" s="115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6">
        <v>0</v>
      </c>
      <c r="X815" s="1226"/>
      <c r="Y815" s="1226"/>
      <c r="Z815" s="1226"/>
      <c r="AA815" s="1226"/>
      <c r="AB815" s="1226"/>
      <c r="AC815" s="122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6">
        <v>0</v>
      </c>
      <c r="X816" s="1226"/>
      <c r="Y816" s="1226"/>
      <c r="Z816" s="1226"/>
      <c r="AA816" s="1226"/>
      <c r="AB816" s="1226"/>
      <c r="AC816" s="122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6">
        <v>18394</v>
      </c>
      <c r="X817" s="1226"/>
      <c r="Y817" s="1226"/>
      <c r="Z817" s="1226"/>
      <c r="AA817" s="1226"/>
      <c r="AB817" s="1226"/>
      <c r="AC817" s="1226"/>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6">
        <f>55000-2160</f>
        <v>52840</v>
      </c>
      <c r="X818" s="1226"/>
      <c r="Y818" s="1226"/>
      <c r="Z818" s="1226"/>
      <c r="AA818" s="1226"/>
      <c r="AB818" s="1226"/>
      <c r="AC818" s="122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5">
        <f>SUM(W815:AC818)</f>
        <v>71234</v>
      </c>
      <c r="X819" s="1225"/>
      <c r="Y819" s="1225"/>
      <c r="Z819" s="1225"/>
      <c r="AA819" s="1225"/>
      <c r="AB819" s="1225"/>
      <c r="AC819" s="122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2">
        <v>65162</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74">
        <v>1.7</v>
      </c>
      <c r="U822" s="1275"/>
      <c r="V822" s="1276"/>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2">
        <v>42631</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74">
        <v>1</v>
      </c>
      <c r="U824" s="1275"/>
      <c r="V824" s="1276"/>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50" t="s">
        <v>2448</v>
      </c>
      <c r="N825" s="1151"/>
      <c r="O825" s="1151"/>
      <c r="P825" s="1151"/>
      <c r="Q825" s="1151"/>
      <c r="R825" s="1151"/>
      <c r="S825" s="1151"/>
      <c r="T825" s="1151"/>
      <c r="U825" s="1151"/>
      <c r="V825" s="1152"/>
      <c r="W825" s="1532">
        <v>8736</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20">
        <f>SUM(W821:AC825)</f>
        <v>116529</v>
      </c>
      <c r="X826" s="1221"/>
      <c r="Y826" s="1221"/>
      <c r="Z826" s="1221"/>
      <c r="AA826" s="1221"/>
      <c r="AB826" s="1221"/>
      <c r="AC826" s="12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2">
        <v>32348</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3">
        <v>0</v>
      </c>
      <c r="X829" s="1203"/>
      <c r="Y829" s="1203"/>
      <c r="Z829" s="1203"/>
      <c r="AA829" s="1203"/>
      <c r="AB829" s="1203"/>
      <c r="AC829" s="120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3">
        <v>10500</v>
      </c>
      <c r="X830" s="1203"/>
      <c r="Y830" s="1203"/>
      <c r="Z830" s="1203"/>
      <c r="AA830" s="1203"/>
      <c r="AB830" s="1203"/>
      <c r="AC830" s="120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3"/>
      <c r="X831" s="1203"/>
      <c r="Y831" s="1203"/>
      <c r="Z831" s="1203"/>
      <c r="AA831" s="1203"/>
      <c r="AB831" s="1203"/>
      <c r="AC831" s="120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3">
        <v>3160</v>
      </c>
      <c r="X832" s="1203"/>
      <c r="Y832" s="1203"/>
      <c r="Z832" s="1203"/>
      <c r="AA832" s="1203"/>
      <c r="AB832" s="1203"/>
      <c r="AC832" s="120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3">
        <v>12000</v>
      </c>
      <c r="X833" s="1203"/>
      <c r="Y833" s="1203"/>
      <c r="Z833" s="1203"/>
      <c r="AA833" s="1203"/>
      <c r="AB833" s="1203"/>
      <c r="AC833" s="120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3">
        <v>10000</v>
      </c>
      <c r="X834" s="1203"/>
      <c r="Y834" s="1203"/>
      <c r="Z834" s="1203"/>
      <c r="AA834" s="1203"/>
      <c r="AB834" s="1203"/>
      <c r="AC834" s="1203"/>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50" t="s">
        <v>2475</v>
      </c>
      <c r="N835" s="1151"/>
      <c r="O835" s="1151"/>
      <c r="P835" s="1151"/>
      <c r="Q835" s="1151"/>
      <c r="R835" s="1151"/>
      <c r="S835" s="1151"/>
      <c r="T835" s="1151"/>
      <c r="U835" s="1151"/>
      <c r="V835" s="1152"/>
      <c r="W835" s="1203">
        <v>67450</v>
      </c>
      <c r="X835" s="1203"/>
      <c r="Y835" s="1203"/>
      <c r="Z835" s="1203"/>
      <c r="AA835" s="1203"/>
      <c r="AB835" s="1203"/>
      <c r="AC835" s="1203"/>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5">
        <f>SUM(W829:AC835)</f>
        <v>103110</v>
      </c>
      <c r="X836" s="1165"/>
      <c r="Y836" s="1165"/>
      <c r="Z836" s="1165"/>
      <c r="AA836" s="1165"/>
      <c r="AB836" s="1165"/>
      <c r="AC836" s="1165"/>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50" t="s">
        <v>2474</v>
      </c>
      <c r="N838" s="1151"/>
      <c r="O838" s="1151"/>
      <c r="P838" s="1151"/>
      <c r="Q838" s="1151"/>
      <c r="R838" s="1151"/>
      <c r="S838" s="1151"/>
      <c r="T838" s="1151"/>
      <c r="U838" s="1151"/>
      <c r="V838" s="1152"/>
      <c r="W838" s="1153">
        <v>3817</v>
      </c>
      <c r="X838" s="1154"/>
      <c r="Y838" s="1154"/>
      <c r="Z838" s="1154"/>
      <c r="AA838" s="1154"/>
      <c r="AB838" s="1154"/>
      <c r="AC838" s="1155"/>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50" t="s">
        <v>2472</v>
      </c>
      <c r="N839" s="1151"/>
      <c r="O839" s="1151"/>
      <c r="P839" s="1151"/>
      <c r="Q839" s="1151"/>
      <c r="R839" s="1151"/>
      <c r="S839" s="1151"/>
      <c r="T839" s="1151"/>
      <c r="U839" s="1151"/>
      <c r="V839" s="1152"/>
      <c r="W839" s="1153">
        <v>25785</v>
      </c>
      <c r="X839" s="1154"/>
      <c r="Y839" s="1154"/>
      <c r="Z839" s="1154"/>
      <c r="AA839" s="1154"/>
      <c r="AB839" s="1154"/>
      <c r="AC839" s="1155"/>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50" t="s">
        <v>2473</v>
      </c>
      <c r="N840" s="1151"/>
      <c r="O840" s="1151"/>
      <c r="P840" s="1151"/>
      <c r="Q840" s="1151"/>
      <c r="R840" s="1151"/>
      <c r="S840" s="1151"/>
      <c r="T840" s="1151"/>
      <c r="U840" s="1151"/>
      <c r="V840" s="1152"/>
      <c r="W840" s="1153">
        <v>1</v>
      </c>
      <c r="X840" s="1154"/>
      <c r="Y840" s="1154"/>
      <c r="Z840" s="1154"/>
      <c r="AA840" s="1154"/>
      <c r="AB840" s="1154"/>
      <c r="AC840" s="115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283" t="s">
        <v>593</v>
      </c>
      <c r="N841" s="1151"/>
      <c r="O841" s="1151"/>
      <c r="P841" s="1151"/>
      <c r="Q841" s="1151"/>
      <c r="R841" s="1151"/>
      <c r="S841" s="1151"/>
      <c r="T841" s="1151"/>
      <c r="U841" s="1151"/>
      <c r="V841" s="1152"/>
      <c r="W841" s="1153"/>
      <c r="X841" s="1154"/>
      <c r="Y841" s="1154"/>
      <c r="Z841" s="1154"/>
      <c r="AA841" s="1154"/>
      <c r="AB841" s="1154"/>
      <c r="AC841" s="115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283" t="s">
        <v>593</v>
      </c>
      <c r="N842" s="1151"/>
      <c r="O842" s="1151"/>
      <c r="P842" s="1151"/>
      <c r="Q842" s="1151"/>
      <c r="R842" s="1151"/>
      <c r="S842" s="1151"/>
      <c r="T842" s="1151"/>
      <c r="U842" s="1151"/>
      <c r="V842" s="1152"/>
      <c r="W842" s="1153"/>
      <c r="X842" s="1154"/>
      <c r="Y842" s="1154"/>
      <c r="Z842" s="1154"/>
      <c r="AA842" s="1154"/>
      <c r="AB842" s="1154"/>
      <c r="AC842" s="115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29603</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470184</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50</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80" t="s">
        <v>368</v>
      </c>
      <c r="F849" s="1281"/>
      <c r="G849" s="1281"/>
      <c r="H849" s="1281"/>
      <c r="I849" s="1281"/>
      <c r="J849" s="1281"/>
      <c r="K849" s="1281"/>
      <c r="L849" s="1281"/>
      <c r="M849" s="1281"/>
      <c r="N849" s="1281"/>
      <c r="O849" s="1281"/>
      <c r="P849" s="1281"/>
      <c r="Q849" s="1281"/>
      <c r="R849" s="1281"/>
      <c r="S849" s="1281"/>
      <c r="T849" s="1281"/>
      <c r="U849" s="1281"/>
      <c r="V849" s="1281"/>
      <c r="W849" s="1281"/>
      <c r="X849" s="1281"/>
      <c r="Y849" s="1281"/>
      <c r="Z849" s="1281"/>
      <c r="AA849" s="1281"/>
      <c r="AB849" s="1282"/>
      <c r="AC849" s="1535">
        <f>IF(ISERROR((ROUNDDOWN(AC847/AC848,0))),0,(ROUNDDOWN(AC847/AC848,0)))</f>
        <v>9403</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2">
        <f>[4]EVERYTHING!$D$75</f>
        <v>261050</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5">
        <v>0</v>
      </c>
      <c r="AD851" s="1203"/>
      <c r="AE851" s="1203"/>
      <c r="AF851" s="1203"/>
      <c r="AG851" s="1203"/>
      <c r="AH851" s="1203"/>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3">
        <v>28318</v>
      </c>
      <c r="AD852" s="1154"/>
      <c r="AE852" s="1154"/>
      <c r="AF852" s="1154"/>
      <c r="AG852" s="1154"/>
      <c r="AH852" s="1155"/>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3">
        <v>25000</v>
      </c>
      <c r="AD853" s="1154"/>
      <c r="AE853" s="1154"/>
      <c r="AF853" s="1154"/>
      <c r="AG853" s="1154"/>
      <c r="AH853" s="1155"/>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3">
        <v>5390</v>
      </c>
      <c r="AD854" s="1154"/>
      <c r="AE854" s="1154"/>
      <c r="AF854" s="1154"/>
      <c r="AG854" s="1154"/>
      <c r="AH854" s="1155"/>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3">
        <v>2157</v>
      </c>
      <c r="AD855" s="1154"/>
      <c r="AE855" s="1154"/>
      <c r="AF855" s="1154"/>
      <c r="AG855" s="1154"/>
      <c r="AH855" s="1155"/>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8"/>
      <c r="AD856" s="1203"/>
      <c r="AE856" s="1203"/>
      <c r="AF856" s="1203"/>
      <c r="AG856" s="1203"/>
      <c r="AH856" s="1203"/>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4" t="s">
        <v>1261</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3"/>
      <c r="AD857" s="1203"/>
      <c r="AE857" s="1203"/>
      <c r="AF857" s="1203"/>
      <c r="AG857" s="1203"/>
      <c r="AH857" s="1203"/>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4" t="s">
        <v>1261</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3"/>
      <c r="AD858" s="1203"/>
      <c r="AE858" s="1203"/>
      <c r="AF858" s="1203"/>
      <c r="AG858" s="1203"/>
      <c r="AH858" s="1203"/>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3"/>
      <c r="AQ860" s="1223"/>
      <c r="AR860" s="1223"/>
      <c r="AS860" s="1223"/>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3"/>
      <c r="AQ861" s="1223"/>
      <c r="AR861" s="1223"/>
      <c r="AS861" s="1223"/>
      <c r="AV861" s="1223"/>
      <c r="AW861" s="1223"/>
      <c r="AX861" s="1223"/>
      <c r="AY861" s="1223"/>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3">
        <v>1</v>
      </c>
      <c r="AA862" s="1154"/>
      <c r="AB862" s="1154"/>
      <c r="AC862" s="1154"/>
      <c r="AD862" s="1154"/>
      <c r="AE862" s="1155"/>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3"/>
      <c r="AA863" s="1154"/>
      <c r="AB863" s="1154"/>
      <c r="AC863" s="1154"/>
      <c r="AD863" s="1154"/>
      <c r="AE863" s="1155"/>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3"/>
      <c r="AA864" s="1154"/>
      <c r="AB864" s="1154"/>
      <c r="AC864" s="1154"/>
      <c r="AD864" s="1154"/>
      <c r="AE864" s="1155"/>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9">
        <f>Z862-(Z863+Z864)</f>
        <v>1</v>
      </c>
      <c r="AA865" s="1160"/>
      <c r="AB865" s="1160"/>
      <c r="AC865" s="1160"/>
      <c r="AD865" s="1160"/>
      <c r="AE865" s="1161"/>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6" t="s">
        <v>136</v>
      </c>
      <c r="B872" s="1156"/>
      <c r="C872" s="1156"/>
      <c r="D872" s="1156"/>
      <c r="E872" s="1156"/>
      <c r="F872" s="1156"/>
      <c r="G872" s="1156"/>
      <c r="H872" s="1156"/>
      <c r="I872" s="1156"/>
      <c r="J872" s="1156"/>
      <c r="K872" s="1156"/>
      <c r="L872" s="1156"/>
      <c r="M872" s="1156"/>
      <c r="N872" s="1156"/>
      <c r="O872" s="1156"/>
      <c r="P872" s="1156"/>
      <c r="Q872" s="1156"/>
      <c r="R872" s="1156"/>
      <c r="S872" s="1156"/>
      <c r="T872" s="1156"/>
      <c r="U872" s="1156"/>
      <c r="V872" s="1156"/>
      <c r="W872" s="1156"/>
      <c r="X872" s="1156"/>
      <c r="Y872" s="1156"/>
      <c r="Z872" s="1156"/>
      <c r="AA872" s="1156"/>
      <c r="AB872" s="1156"/>
      <c r="AC872" s="1156"/>
      <c r="AD872" s="1156"/>
      <c r="AE872" s="1156"/>
      <c r="AF872" s="1156"/>
      <c r="AG872" s="1156"/>
      <c r="AH872" s="1156"/>
      <c r="AI872" s="1156"/>
      <c r="AJ872" s="1156"/>
      <c r="AK872" s="1156"/>
      <c r="AL872" s="1156"/>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6"/>
      <c r="B873" s="1156"/>
      <c r="C873" s="1156"/>
      <c r="D873" s="1156"/>
      <c r="E873" s="1156"/>
      <c r="F873" s="1156"/>
      <c r="G873" s="1156"/>
      <c r="H873" s="1156"/>
      <c r="I873" s="1156"/>
      <c r="J873" s="1156"/>
      <c r="K873" s="1156"/>
      <c r="L873" s="1156"/>
      <c r="M873" s="1156"/>
      <c r="N873" s="1156"/>
      <c r="O873" s="1156"/>
      <c r="P873" s="1156"/>
      <c r="Q873" s="1156"/>
      <c r="R873" s="1156"/>
      <c r="S873" s="1156"/>
      <c r="T873" s="1156"/>
      <c r="U873" s="1156"/>
      <c r="V873" s="1156"/>
      <c r="W873" s="1156"/>
      <c r="X873" s="1156"/>
      <c r="Y873" s="1156"/>
      <c r="Z873" s="1156"/>
      <c r="AA873" s="1156"/>
      <c r="AB873" s="1156"/>
      <c r="AC873" s="1156"/>
      <c r="AD873" s="1156"/>
      <c r="AE873" s="1156"/>
      <c r="AF873" s="1156"/>
      <c r="AG873" s="1156"/>
      <c r="AH873" s="1156"/>
      <c r="AI873" s="1156"/>
      <c r="AJ873" s="1156"/>
      <c r="AK873" s="1156"/>
      <c r="AL873" s="1156"/>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2" t="s">
        <v>1005</v>
      </c>
      <c r="G877" s="1543"/>
      <c r="H877" s="1543"/>
      <c r="I877" s="1543"/>
      <c r="J877" s="1543"/>
      <c r="K877" s="1543"/>
      <c r="L877" s="1543"/>
      <c r="M877" s="1543"/>
      <c r="N877" s="1543"/>
      <c r="O877" s="1543"/>
      <c r="P877" s="1543"/>
      <c r="Q877" s="1543"/>
      <c r="R877" s="1543"/>
      <c r="S877" s="1543"/>
      <c r="T877" s="1544"/>
      <c r="U877" s="1180"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2" t="s">
        <v>1086</v>
      </c>
      <c r="G878" s="1183"/>
      <c r="H878" s="1183"/>
      <c r="I878" s="1183"/>
      <c r="J878" s="1183"/>
      <c r="K878" s="1183"/>
      <c r="L878" s="1183"/>
      <c r="M878" s="1183"/>
      <c r="N878" s="1183"/>
      <c r="O878" s="1183"/>
      <c r="P878" s="1183"/>
      <c r="Q878" s="1183"/>
      <c r="R878" s="1183"/>
      <c r="S878" s="1183"/>
      <c r="T878" s="1277"/>
      <c r="U878" s="1182"/>
      <c r="V878" s="1183"/>
      <c r="W878" s="1183"/>
      <c r="X878" s="1183"/>
      <c r="Y878" s="1183"/>
      <c r="Z878" s="118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4"/>
      <c r="G879" s="1185"/>
      <c r="H879" s="1185"/>
      <c r="I879" s="1185"/>
      <c r="J879" s="1185"/>
      <c r="K879" s="1185"/>
      <c r="L879" s="1185"/>
      <c r="M879" s="1185"/>
      <c r="N879" s="1185"/>
      <c r="O879" s="1185"/>
      <c r="P879" s="1185"/>
      <c r="Q879" s="1185"/>
      <c r="R879" s="1185"/>
      <c r="S879" s="1185"/>
      <c r="T879" s="1278"/>
      <c r="U879" s="1184"/>
      <c r="V879" s="1185"/>
      <c r="W879" s="1185"/>
      <c r="X879" s="1185"/>
      <c r="Y879" s="1185"/>
      <c r="Z879" s="1185"/>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5" t="s">
        <v>116</v>
      </c>
      <c r="V880" s="1110"/>
      <c r="W880" s="1110"/>
      <c r="X880" s="1110"/>
      <c r="Y880" s="1110"/>
      <c r="Z880" s="1176"/>
      <c r="AA880" s="1201">
        <v>1000000</v>
      </c>
      <c r="AB880" s="1142"/>
      <c r="AC880" s="1142"/>
      <c r="AD880" s="1142"/>
      <c r="AE880" s="1142"/>
      <c r="AF880" s="120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5" t="s">
        <v>132</v>
      </c>
      <c r="V881" s="1110"/>
      <c r="W881" s="1110"/>
      <c r="X881" s="1110"/>
      <c r="Y881" s="1110"/>
      <c r="Z881" s="1176"/>
      <c r="AA881" s="1201"/>
      <c r="AB881" s="1142"/>
      <c r="AC881" s="1142"/>
      <c r="AD881" s="1142"/>
      <c r="AE881" s="1142"/>
      <c r="AF881" s="120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5" t="s">
        <v>132</v>
      </c>
      <c r="V882" s="1110"/>
      <c r="W882" s="1110"/>
      <c r="X882" s="1110"/>
      <c r="Y882" s="1110"/>
      <c r="Z882" s="1176"/>
      <c r="AA882" s="1201"/>
      <c r="AB882" s="1142"/>
      <c r="AC882" s="1142"/>
      <c r="AD882" s="1142"/>
      <c r="AE882" s="1142"/>
      <c r="AF882" s="120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5" t="s">
        <v>132</v>
      </c>
      <c r="V883" s="1110"/>
      <c r="W883" s="1110"/>
      <c r="X883" s="1110"/>
      <c r="Y883" s="1110"/>
      <c r="Z883" s="1176"/>
      <c r="AA883" s="1201"/>
      <c r="AB883" s="1142"/>
      <c r="AC883" s="1142"/>
      <c r="AD883" s="1142"/>
      <c r="AE883" s="1142"/>
      <c r="AF883" s="120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5" t="s">
        <v>132</v>
      </c>
      <c r="V884" s="1110"/>
      <c r="W884" s="1110"/>
      <c r="X884" s="1110"/>
      <c r="Y884" s="1110"/>
      <c r="Z884" s="1176"/>
      <c r="AA884" s="1201"/>
      <c r="AB884" s="1142"/>
      <c r="AC884" s="1142"/>
      <c r="AD884" s="1142"/>
      <c r="AE884" s="1142"/>
      <c r="AF884" s="120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5" t="s">
        <v>132</v>
      </c>
      <c r="V885" s="1110"/>
      <c r="W885" s="1110"/>
      <c r="X885" s="1110"/>
      <c r="Y885" s="1110"/>
      <c r="Z885" s="1176"/>
      <c r="AA885" s="1201"/>
      <c r="AB885" s="1142"/>
      <c r="AC885" s="1142"/>
      <c r="AD885" s="1142"/>
      <c r="AE885" s="1142"/>
      <c r="AF885" s="120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5" t="s">
        <v>132</v>
      </c>
      <c r="V886" s="1110"/>
      <c r="W886" s="1110"/>
      <c r="X886" s="1110"/>
      <c r="Y886" s="1110"/>
      <c r="Z886" s="1176"/>
      <c r="AA886" s="1201"/>
      <c r="AB886" s="1142"/>
      <c r="AC886" s="1142"/>
      <c r="AD886" s="1142"/>
      <c r="AE886" s="1142"/>
      <c r="AF886" s="120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5" t="s">
        <v>132</v>
      </c>
      <c r="V887" s="1110"/>
      <c r="W887" s="1110"/>
      <c r="X887" s="1110"/>
      <c r="Y887" s="1110"/>
      <c r="Z887" s="1176"/>
      <c r="AA887" s="1201"/>
      <c r="AB887" s="1142"/>
      <c r="AC887" s="1142"/>
      <c r="AD887" s="1142"/>
      <c r="AE887" s="1142"/>
      <c r="AF887" s="120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75" t="s">
        <v>132</v>
      </c>
      <c r="V888" s="1110"/>
      <c r="W888" s="1110"/>
      <c r="X888" s="1110"/>
      <c r="Y888" s="1110"/>
      <c r="Z888" s="1176"/>
      <c r="AA888" s="1201"/>
      <c r="AB888" s="1142"/>
      <c r="AC888" s="1142"/>
      <c r="AD888" s="1142"/>
      <c r="AE888" s="1142"/>
      <c r="AF888" s="120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5" t="s">
        <v>132</v>
      </c>
      <c r="V889" s="1110"/>
      <c r="W889" s="1110"/>
      <c r="X889" s="1110"/>
      <c r="Y889" s="1110"/>
      <c r="Z889" s="1176"/>
      <c r="AA889" s="1201"/>
      <c r="AB889" s="1142"/>
      <c r="AC889" s="1142"/>
      <c r="AD889" s="1142"/>
      <c r="AE889" s="1142"/>
      <c r="AF889" s="120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4" t="s">
        <v>132</v>
      </c>
      <c r="V890" s="1285"/>
      <c r="W890" s="1285"/>
      <c r="X890" s="1285"/>
      <c r="Y890" s="1285"/>
      <c r="Z890" s="1286"/>
      <c r="AA890" s="1217"/>
      <c r="AB890" s="1218"/>
      <c r="AC890" s="1218"/>
      <c r="AD890" s="1218"/>
      <c r="AE890" s="1218"/>
      <c r="AF890" s="12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75" t="s">
        <v>132</v>
      </c>
      <c r="V891" s="1110"/>
      <c r="W891" s="1110"/>
      <c r="X891" s="1110"/>
      <c r="Y891" s="1110"/>
      <c r="Z891" s="1176"/>
      <c r="AA891" s="1201"/>
      <c r="AB891" s="1142"/>
      <c r="AC891" s="1142"/>
      <c r="AD891" s="1142"/>
      <c r="AE891" s="1142"/>
      <c r="AF891" s="120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75" t="s">
        <v>132</v>
      </c>
      <c r="V892" s="1110"/>
      <c r="W892" s="1110"/>
      <c r="X892" s="1110"/>
      <c r="Y892" s="1110"/>
      <c r="Z892" s="1176"/>
      <c r="AA892" s="1201"/>
      <c r="AB892" s="1142"/>
      <c r="AC892" s="1142"/>
      <c r="AD892" s="1142"/>
      <c r="AE892" s="1142"/>
      <c r="AF892" s="120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5" t="s">
        <v>132</v>
      </c>
      <c r="V893" s="1110"/>
      <c r="W893" s="1110"/>
      <c r="X893" s="1110"/>
      <c r="Y893" s="1110"/>
      <c r="Z893" s="1176"/>
      <c r="AA893" s="1201"/>
      <c r="AB893" s="1142"/>
      <c r="AC893" s="1142"/>
      <c r="AD893" s="1142"/>
      <c r="AE893" s="1142"/>
      <c r="AF893" s="120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30" t="s">
        <v>511</v>
      </c>
      <c r="Q894" s="1110"/>
      <c r="R894" s="1110"/>
      <c r="S894" s="1110"/>
      <c r="T894" s="1176"/>
      <c r="U894" s="1175" t="s">
        <v>132</v>
      </c>
      <c r="V894" s="1110"/>
      <c r="W894" s="1110"/>
      <c r="X894" s="1110"/>
      <c r="Y894" s="1110"/>
      <c r="Z894" s="1176"/>
      <c r="AA894" s="1201"/>
      <c r="AB894" s="1142"/>
      <c r="AC894" s="1142"/>
      <c r="AD894" s="1142"/>
      <c r="AE894" s="1142"/>
      <c r="AF894" s="120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50" t="s">
        <v>593</v>
      </c>
      <c r="J895" s="1204"/>
      <c r="K895" s="1204"/>
      <c r="L895" s="1204"/>
      <c r="M895" s="1204"/>
      <c r="N895" s="1204"/>
      <c r="O895" s="1204"/>
      <c r="P895" s="1204"/>
      <c r="Q895" s="1204"/>
      <c r="R895" s="1204"/>
      <c r="S895" s="1204"/>
      <c r="T895" s="1205"/>
      <c r="U895" s="1175" t="s">
        <v>132</v>
      </c>
      <c r="V895" s="1110"/>
      <c r="W895" s="1110"/>
      <c r="X895" s="1110"/>
      <c r="Y895" s="1110"/>
      <c r="Z895" s="1176"/>
      <c r="AA895" s="1201"/>
      <c r="AB895" s="1142"/>
      <c r="AC895" s="1142"/>
      <c r="AD895" s="1142"/>
      <c r="AE895" s="1142"/>
      <c r="AF895" s="120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50" t="s">
        <v>2476</v>
      </c>
      <c r="J896" s="1204"/>
      <c r="K896" s="1204"/>
      <c r="L896" s="1204"/>
      <c r="M896" s="1204"/>
      <c r="N896" s="1204"/>
      <c r="O896" s="1204"/>
      <c r="P896" s="1204"/>
      <c r="Q896" s="1204"/>
      <c r="R896" s="1204"/>
      <c r="S896" s="1204"/>
      <c r="T896" s="1205"/>
      <c r="U896" s="1175" t="s">
        <v>116</v>
      </c>
      <c r="V896" s="1110"/>
      <c r="W896" s="1110"/>
      <c r="X896" s="1110"/>
      <c r="Y896" s="1110"/>
      <c r="Z896" s="1176"/>
      <c r="AA896" s="1201">
        <v>15356330</v>
      </c>
      <c r="AB896" s="1142"/>
      <c r="AC896" s="1142"/>
      <c r="AD896" s="1142"/>
      <c r="AE896" s="1142"/>
      <c r="AF896" s="120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50" t="s">
        <v>2477</v>
      </c>
      <c r="J897" s="1204"/>
      <c r="K897" s="1204"/>
      <c r="L897" s="1204"/>
      <c r="M897" s="1204"/>
      <c r="N897" s="1204"/>
      <c r="O897" s="1204"/>
      <c r="P897" s="1204"/>
      <c r="Q897" s="1204"/>
      <c r="R897" s="1204"/>
      <c r="S897" s="1204"/>
      <c r="T897" s="1205"/>
      <c r="U897" s="1175" t="s">
        <v>511</v>
      </c>
      <c r="V897" s="1110"/>
      <c r="W897" s="1110"/>
      <c r="X897" s="1110"/>
      <c r="Y897" s="1110"/>
      <c r="Z897" s="1176"/>
      <c r="AA897" s="1201">
        <v>6000000</v>
      </c>
      <c r="AB897" s="1142"/>
      <c r="AC897" s="1142"/>
      <c r="AD897" s="1142"/>
      <c r="AE897" s="1142"/>
      <c r="AF897" s="120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50" t="s">
        <v>593</v>
      </c>
      <c r="J898" s="1204"/>
      <c r="K898" s="1204"/>
      <c r="L898" s="1204"/>
      <c r="M898" s="1204"/>
      <c r="N898" s="1204"/>
      <c r="O898" s="1204"/>
      <c r="P898" s="1204"/>
      <c r="Q898" s="1204"/>
      <c r="R898" s="1204"/>
      <c r="S898" s="1204"/>
      <c r="T898" s="1205"/>
      <c r="U898" s="1175" t="s">
        <v>132</v>
      </c>
      <c r="V898" s="1110"/>
      <c r="W898" s="1110"/>
      <c r="X898" s="1110"/>
      <c r="Y898" s="1110"/>
      <c r="Z898" s="1176"/>
      <c r="AA898" s="1201"/>
      <c r="AB898" s="1142"/>
      <c r="AC898" s="1142"/>
      <c r="AD898" s="1142"/>
      <c r="AE898" s="1142"/>
      <c r="AF898" s="120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212">
        <v>44741</v>
      </c>
      <c r="M903" s="1316"/>
      <c r="N903" s="1316"/>
      <c r="O903" s="1316"/>
      <c r="P903" s="1316"/>
      <c r="Q903" s="1316"/>
      <c r="R903" s="1316"/>
      <c r="S903" s="1353"/>
      <c r="U903" s="72" t="s">
        <v>868</v>
      </c>
      <c r="V903" s="9"/>
      <c r="W903" s="9"/>
      <c r="X903" s="9"/>
      <c r="Y903" s="9"/>
      <c r="Z903" s="9"/>
      <c r="AA903" s="9"/>
      <c r="AB903" s="9"/>
      <c r="AC903" s="9"/>
      <c r="AD903" s="52"/>
      <c r="AE903" s="1212"/>
      <c r="AF903" s="1213"/>
      <c r="AG903" s="1213"/>
      <c r="AH903" s="1213"/>
      <c r="AI903" s="1213"/>
      <c r="AJ903" s="1213"/>
      <c r="AK903" s="12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215" t="s">
        <v>2478</v>
      </c>
      <c r="M904" s="1316"/>
      <c r="N904" s="1316"/>
      <c r="O904" s="1316"/>
      <c r="P904" s="1316"/>
      <c r="Q904" s="1316"/>
      <c r="R904" s="1316"/>
      <c r="S904" s="1353"/>
      <c r="U904" s="72" t="s">
        <v>869</v>
      </c>
      <c r="V904" s="9"/>
      <c r="W904" s="9"/>
      <c r="X904" s="9"/>
      <c r="Y904" s="9"/>
      <c r="Z904" s="9"/>
      <c r="AA904" s="9"/>
      <c r="AB904" s="9"/>
      <c r="AC904" s="9"/>
      <c r="AD904" s="52"/>
      <c r="AE904" s="1215"/>
      <c r="AF904" s="1141"/>
      <c r="AG904" s="1141"/>
      <c r="AH904" s="1141"/>
      <c r="AI904" s="1141"/>
      <c r="AJ904" s="1141"/>
      <c r="AK904" s="12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50" t="s">
        <v>2479</v>
      </c>
      <c r="M905" s="1351"/>
      <c r="N905" s="1351"/>
      <c r="O905" s="1351"/>
      <c r="P905" s="1351"/>
      <c r="Q905" s="1351"/>
      <c r="R905" s="1351"/>
      <c r="S905" s="1352"/>
      <c r="U905" s="72" t="s">
        <v>1155</v>
      </c>
      <c r="V905" s="9"/>
      <c r="W905" s="9"/>
      <c r="AE905" s="1177" t="s">
        <v>84</v>
      </c>
      <c r="AF905" s="1178"/>
      <c r="AG905" s="1178"/>
      <c r="AH905" s="1178"/>
      <c r="AI905" s="1178"/>
      <c r="AJ905" s="1178"/>
      <c r="AK905" s="1179"/>
      <c r="AL905" s="74"/>
      <c r="AM905" s="43"/>
      <c r="AN905" s="43"/>
      <c r="AO905" s="43"/>
      <c r="AP905" s="43"/>
      <c r="AQ905" s="43"/>
      <c r="AR905" s="43"/>
      <c r="AS905" s="43"/>
      <c r="AT905" s="43"/>
      <c r="AU905" s="43"/>
      <c r="AV905" s="43"/>
      <c r="AW905" s="38" t="s">
        <v>620</v>
      </c>
      <c r="AX905" s="206">
        <v>20</v>
      </c>
      <c r="AY905" s="1224">
        <f>IF(AD941&gt;0,0.2,0)</f>
        <v>0</v>
      </c>
      <c r="AZ905" s="12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9">
        <v>0.5</v>
      </c>
      <c r="M906" s="1210"/>
      <c r="N906" s="1210"/>
      <c r="O906" s="1210"/>
      <c r="P906" s="1210"/>
      <c r="Q906" s="1210"/>
      <c r="R906" s="1210"/>
      <c r="S906" s="1211"/>
      <c r="U906" s="72" t="s">
        <v>870</v>
      </c>
      <c r="V906" s="9"/>
      <c r="W906" s="9"/>
      <c r="X906" s="9"/>
      <c r="Y906" s="9"/>
      <c r="Z906" s="9"/>
      <c r="AA906" s="9"/>
      <c r="AB906" s="9"/>
      <c r="AC906" s="9"/>
      <c r="AD906" s="52"/>
      <c r="AE906" s="1209"/>
      <c r="AF906" s="1210"/>
      <c r="AG906" s="1210"/>
      <c r="AH906" s="1210"/>
      <c r="AI906" s="1210"/>
      <c r="AJ906" s="1210"/>
      <c r="AK906" s="1211"/>
      <c r="AL906" s="74"/>
      <c r="AM906" s="43"/>
      <c r="AN906" s="43"/>
      <c r="AO906" s="43"/>
      <c r="AP906" s="43"/>
      <c r="AQ906" s="43"/>
      <c r="AR906" s="43"/>
      <c r="AS906" s="43"/>
      <c r="AT906" s="43"/>
      <c r="AU906" s="43"/>
      <c r="AV906" s="43"/>
      <c r="AX906">
        <v>5</v>
      </c>
      <c r="AY906" s="1224">
        <f>IF(AD944&gt;0,0.05,0)</f>
        <v>0</v>
      </c>
      <c r="AZ906" s="12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42">
        <v>25</v>
      </c>
      <c r="M907" s="1343"/>
      <c r="N907" s="1343"/>
      <c r="O907" s="1343"/>
      <c r="P907" s="1343"/>
      <c r="Q907" s="1343"/>
      <c r="R907" s="1343"/>
      <c r="S907" s="1344"/>
      <c r="U907" s="72" t="s">
        <v>871</v>
      </c>
      <c r="V907" s="9"/>
      <c r="W907" s="9"/>
      <c r="X907" s="9"/>
      <c r="Y907" s="9"/>
      <c r="Z907" s="9"/>
      <c r="AA907" s="9"/>
      <c r="AB907" s="9"/>
      <c r="AC907" s="9"/>
      <c r="AD907" s="52"/>
      <c r="AE907" s="1270"/>
      <c r="AF907" s="1271"/>
      <c r="AG907" s="1271"/>
      <c r="AH907" s="1271"/>
      <c r="AI907" s="1271"/>
      <c r="AJ907" s="1271"/>
      <c r="AK907" s="1272"/>
      <c r="AL907" s="74"/>
      <c r="AM907" s="43"/>
      <c r="AN907" s="43"/>
      <c r="AO907" s="43"/>
      <c r="AP907" s="43"/>
      <c r="AQ907" s="43"/>
      <c r="AR907" s="43"/>
      <c r="AS907" s="43"/>
      <c r="AT907" s="43"/>
      <c r="AU907" s="43"/>
      <c r="AV907" s="43"/>
      <c r="AW907" s="38" t="s">
        <v>621</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53">
        <v>464472</v>
      </c>
      <c r="M908" s="1154"/>
      <c r="N908" s="1154"/>
      <c r="O908" s="1154"/>
      <c r="P908" s="1154"/>
      <c r="Q908" s="1154"/>
      <c r="R908" s="1154"/>
      <c r="S908" s="1155"/>
      <c r="U908" s="72" t="s">
        <v>872</v>
      </c>
      <c r="V908" s="9"/>
      <c r="W908" s="9"/>
      <c r="X908" s="9"/>
      <c r="Y908" s="9"/>
      <c r="Z908" s="9"/>
      <c r="AA908" s="9"/>
      <c r="AB908" s="9"/>
      <c r="AC908" s="9"/>
      <c r="AD908" s="52"/>
      <c r="AE908" s="1201"/>
      <c r="AF908" s="1142"/>
      <c r="AG908" s="1142"/>
      <c r="AH908" s="1142"/>
      <c r="AI908" s="1142"/>
      <c r="AJ908" s="1142"/>
      <c r="AK908" s="1202"/>
      <c r="AL908" s="74"/>
      <c r="AM908" s="43"/>
      <c r="AN908" s="43"/>
      <c r="AO908" s="43"/>
      <c r="AP908" s="43"/>
      <c r="AQ908" s="43"/>
      <c r="AR908" s="43"/>
      <c r="AS908" s="43"/>
      <c r="AT908" s="43"/>
      <c r="AU908" s="43"/>
      <c r="AV908" s="43"/>
      <c r="AW908" s="38" t="s">
        <v>158</v>
      </c>
      <c r="AX908" s="206">
        <v>2</v>
      </c>
      <c r="AY908" s="1197">
        <f>IF(AD952&gt;0,0.02,0)</f>
        <v>0</v>
      </c>
      <c r="AZ908" s="119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53">
        <f>L908*40</f>
        <v>18578880</v>
      </c>
      <c r="M909" s="1154"/>
      <c r="N909" s="1154"/>
      <c r="O909" s="1154"/>
      <c r="P909" s="1154"/>
      <c r="Q909" s="1154"/>
      <c r="R909" s="1154"/>
      <c r="S909" s="1155"/>
      <c r="U909" s="72" t="s">
        <v>873</v>
      </c>
      <c r="V909" s="9"/>
      <c r="W909" s="9"/>
      <c r="X909" s="9"/>
      <c r="Y909" s="9"/>
      <c r="Z909" s="9"/>
      <c r="AA909" s="9"/>
      <c r="AB909" s="9"/>
      <c r="AC909" s="9"/>
      <c r="AD909" s="52"/>
      <c r="AE909" s="1201"/>
      <c r="AF909" s="1142"/>
      <c r="AG909" s="1142"/>
      <c r="AH909" s="1142"/>
      <c r="AI909" s="1142"/>
      <c r="AJ909" s="1142"/>
      <c r="AK909" s="1202"/>
      <c r="AL909" s="74"/>
      <c r="AM909" s="43"/>
      <c r="AN909" s="43"/>
      <c r="AO909" s="43"/>
      <c r="AP909" s="43"/>
      <c r="AQ909" s="43"/>
      <c r="AR909" s="43"/>
      <c r="AS909" s="43"/>
      <c r="AT909" s="43"/>
      <c r="AU909" s="43"/>
      <c r="AV909" s="43"/>
      <c r="AW909" s="38" t="s">
        <v>622</v>
      </c>
      <c r="AX909" s="206">
        <v>2</v>
      </c>
      <c r="AY909" s="1197">
        <f>IF(AD954&gt;0,0.02,0)</f>
        <v>0</v>
      </c>
      <c r="AZ909" s="119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38" t="s">
        <v>2480</v>
      </c>
      <c r="M910" s="1339"/>
      <c r="N910" s="1339"/>
      <c r="O910" s="1339"/>
      <c r="P910" s="1339"/>
      <c r="Q910" s="1339"/>
      <c r="R910" s="1339"/>
      <c r="S910" s="1340"/>
      <c r="U910" s="214" t="s">
        <v>2070</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623</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7"/>
      <c r="AZ911" s="119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7">
        <f>IF(AD971&gt;0,0.1,0)</f>
        <v>0</v>
      </c>
      <c r="AZ913" s="119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7"/>
      <c r="N915" s="1125"/>
      <c r="O915" s="1125"/>
      <c r="P915" s="1125"/>
      <c r="Q915" s="1125"/>
      <c r="R915" s="1125"/>
      <c r="S915" s="1158"/>
      <c r="T915" s="72" t="s">
        <v>994</v>
      </c>
      <c r="U915" s="9"/>
      <c r="V915" s="9"/>
      <c r="W915" s="9"/>
      <c r="X915" s="9"/>
      <c r="Y915" s="9"/>
      <c r="Z915" s="52"/>
      <c r="AA915" s="1157"/>
      <c r="AB915" s="1125"/>
      <c r="AC915" s="1125"/>
      <c r="AD915" s="1125"/>
      <c r="AE915" s="1125"/>
      <c r="AF915" s="1125"/>
      <c r="AG915" s="115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7"/>
      <c r="N916" s="1125"/>
      <c r="O916" s="1125"/>
      <c r="P916" s="1125"/>
      <c r="Q916" s="1125"/>
      <c r="R916" s="1125"/>
      <c r="S916" s="1158"/>
      <c r="T916" s="72" t="s">
        <v>993</v>
      </c>
      <c r="U916" s="9"/>
      <c r="V916" s="9"/>
      <c r="W916" s="9"/>
      <c r="X916" s="9"/>
      <c r="Y916" s="9"/>
      <c r="Z916" s="52"/>
      <c r="AA916" s="1157"/>
      <c r="AB916" s="1125"/>
      <c r="AC916" s="1125"/>
      <c r="AD916" s="1125"/>
      <c r="AE916" s="1125"/>
      <c r="AF916" s="1125"/>
      <c r="AG916" s="1158"/>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3" t="s">
        <v>132</v>
      </c>
      <c r="N917" s="1096"/>
      <c r="O917" s="1096"/>
      <c r="P917" s="1096"/>
      <c r="Q917" s="1096"/>
      <c r="R917" s="1096"/>
      <c r="S917" s="1174"/>
      <c r="T917" s="8" t="s">
        <v>597</v>
      </c>
      <c r="U917" s="9"/>
      <c r="V917" s="9"/>
      <c r="W917" s="9"/>
      <c r="X917" s="9"/>
      <c r="Y917" s="9"/>
      <c r="Z917" s="52"/>
      <c r="AA917" s="1157"/>
      <c r="AB917" s="1125"/>
      <c r="AC917" s="1125"/>
      <c r="AD917" s="1125"/>
      <c r="AE917" s="1125"/>
      <c r="AF917" s="1125"/>
      <c r="AG917" s="115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7"/>
      <c r="N918" s="1125"/>
      <c r="O918" s="1125"/>
      <c r="P918" s="1125"/>
      <c r="Q918" s="1125"/>
      <c r="R918" s="1125"/>
      <c r="S918" s="1158"/>
      <c r="T918" s="8" t="s">
        <v>598</v>
      </c>
      <c r="U918" s="9"/>
      <c r="V918" s="9"/>
      <c r="W918" s="9"/>
      <c r="X918" s="9"/>
      <c r="Y918" s="9"/>
      <c r="Z918" s="52"/>
      <c r="AA918" s="1157"/>
      <c r="AB918" s="1125"/>
      <c r="AC918" s="1125"/>
      <c r="AD918" s="1125"/>
      <c r="AE918" s="1125"/>
      <c r="AF918" s="1125"/>
      <c r="AG918" s="1158"/>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7"/>
      <c r="N919" s="1125"/>
      <c r="O919" s="1125"/>
      <c r="P919" s="1125"/>
      <c r="Q919" s="1125"/>
      <c r="R919" s="1125"/>
      <c r="S919" s="1158"/>
      <c r="T919" s="8" t="s">
        <v>522</v>
      </c>
      <c r="U919" s="9"/>
      <c r="V919" s="9"/>
      <c r="W919" s="9"/>
      <c r="X919" s="9"/>
      <c r="Y919" s="9"/>
      <c r="Z919" s="52"/>
      <c r="AA919" s="1157"/>
      <c r="AB919" s="1125"/>
      <c r="AC919" s="1125"/>
      <c r="AD919" s="1125"/>
      <c r="AE919" s="1125"/>
      <c r="AF919" s="1125"/>
      <c r="AG919" s="115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7" t="s">
        <v>84</v>
      </c>
      <c r="N920" s="1178"/>
      <c r="O920" s="1178"/>
      <c r="P920" s="1178"/>
      <c r="Q920" s="1178"/>
      <c r="R920" s="1178"/>
      <c r="S920" s="1179"/>
      <c r="T920" s="1335"/>
      <c r="U920" s="1336"/>
      <c r="V920" s="1336"/>
      <c r="W920" s="1336"/>
      <c r="X920" s="1336"/>
      <c r="Y920" s="1336"/>
      <c r="Z920" s="1337"/>
      <c r="AA920" s="1157"/>
      <c r="AB920" s="1125"/>
      <c r="AC920" s="1125"/>
      <c r="AD920" s="1125"/>
      <c r="AE920" s="1125"/>
      <c r="AF920" s="1125"/>
      <c r="AG920" s="115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7"/>
      <c r="N921" s="1125"/>
      <c r="O921" s="1125"/>
      <c r="P921" s="1125"/>
      <c r="Q921" s="1125"/>
      <c r="R921" s="1125"/>
      <c r="S921" s="1158"/>
      <c r="T921" s="1335"/>
      <c r="U921" s="1336"/>
      <c r="V921" s="1336"/>
      <c r="W921" s="1336"/>
      <c r="X921" s="1336"/>
      <c r="Y921" s="1336"/>
      <c r="Z921" s="1337"/>
      <c r="AA921" s="1157"/>
      <c r="AB921" s="1125"/>
      <c r="AC921" s="1125"/>
      <c r="AD921" s="1125"/>
      <c r="AE921" s="1125"/>
      <c r="AF921" s="1125"/>
      <c r="AG921" s="115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3" t="s">
        <v>511</v>
      </c>
      <c r="P922" s="1174"/>
      <c r="Q922" s="146"/>
      <c r="R922" s="146"/>
      <c r="S922" s="147"/>
      <c r="T922" s="6" t="s">
        <v>298</v>
      </c>
      <c r="U922" s="7"/>
      <c r="V922" s="7"/>
      <c r="W922" s="1330" t="s">
        <v>593</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41" t="s">
        <v>241</v>
      </c>
      <c r="G923" s="1302"/>
      <c r="H923" s="1302"/>
      <c r="I923" s="1302"/>
      <c r="J923" s="1302"/>
      <c r="K923" s="1302"/>
      <c r="L923" s="1302"/>
      <c r="M923" s="1157"/>
      <c r="N923" s="1125"/>
      <c r="O923" s="1125"/>
      <c r="P923" s="1125"/>
      <c r="Q923" s="1125"/>
      <c r="R923" s="1125"/>
      <c r="S923" s="1158"/>
      <c r="T923" s="53"/>
      <c r="U923" s="54"/>
      <c r="V923" s="54"/>
      <c r="W923" s="54"/>
      <c r="X923" s="54"/>
      <c r="Y923" s="54"/>
      <c r="Z923" s="226" t="s">
        <v>242</v>
      </c>
      <c r="AA923" s="1333"/>
      <c r="AB923" s="1299"/>
      <c r="AC923" s="1299"/>
      <c r="AD923" s="1299"/>
      <c r="AE923" s="1299"/>
      <c r="AF923" s="1299"/>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6" t="s">
        <v>137</v>
      </c>
      <c r="B927" s="1156"/>
      <c r="C927" s="1156"/>
      <c r="D927" s="1156"/>
      <c r="E927" s="1156"/>
      <c r="F927" s="1156"/>
      <c r="G927" s="1156"/>
      <c r="H927" s="1156"/>
      <c r="I927" s="1156"/>
      <c r="J927" s="1156"/>
      <c r="K927" s="1156"/>
      <c r="L927" s="1156"/>
      <c r="M927" s="1156"/>
      <c r="N927" s="1156"/>
      <c r="O927" s="1156"/>
      <c r="P927" s="1156"/>
      <c r="Q927" s="1156"/>
      <c r="R927" s="1156"/>
      <c r="S927" s="1156"/>
      <c r="T927" s="1156"/>
      <c r="U927" s="1156"/>
      <c r="V927" s="1156"/>
      <c r="W927" s="1156"/>
      <c r="X927" s="1156"/>
      <c r="Y927" s="1156"/>
      <c r="Z927" s="1156"/>
      <c r="AA927" s="1156"/>
      <c r="AB927" s="1156"/>
      <c r="AC927" s="1156"/>
      <c r="AD927" s="1156"/>
      <c r="AE927" s="1156"/>
      <c r="AF927" s="1156"/>
      <c r="AG927" s="1156"/>
      <c r="AH927" s="1156"/>
      <c r="AI927" s="1156"/>
      <c r="AJ927" s="1156"/>
      <c r="AK927" s="1156"/>
      <c r="AL927" s="115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6"/>
      <c r="B928" s="1156"/>
      <c r="C928" s="1156"/>
      <c r="D928" s="1156"/>
      <c r="E928" s="1156"/>
      <c r="F928" s="1156"/>
      <c r="G928" s="1156"/>
      <c r="H928" s="1156"/>
      <c r="I928" s="1156"/>
      <c r="J928" s="1156"/>
      <c r="K928" s="1156"/>
      <c r="L928" s="1156"/>
      <c r="M928" s="1156"/>
      <c r="N928" s="1156"/>
      <c r="O928" s="1156"/>
      <c r="P928" s="1156"/>
      <c r="Q928" s="1156"/>
      <c r="R928" s="1156"/>
      <c r="S928" s="1156"/>
      <c r="T928" s="1156"/>
      <c r="U928" s="1156"/>
      <c r="V928" s="1156"/>
      <c r="W928" s="1156"/>
      <c r="X928" s="1156"/>
      <c r="Y928" s="1156"/>
      <c r="Z928" s="1156"/>
      <c r="AA928" s="1156"/>
      <c r="AB928" s="1156"/>
      <c r="AC928" s="1156"/>
      <c r="AD928" s="1156"/>
      <c r="AE928" s="1156"/>
      <c r="AF928" s="1156"/>
      <c r="AG928" s="1156"/>
      <c r="AH928" s="1156"/>
      <c r="AI928" s="1156"/>
      <c r="AJ928" s="1156"/>
      <c r="AK928" s="1156"/>
      <c r="AL928" s="115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6" t="s">
        <v>453</v>
      </c>
      <c r="E932" s="1207"/>
      <c r="F932" s="1207"/>
      <c r="G932" s="1207"/>
      <c r="H932" s="1207"/>
      <c r="I932" s="1207"/>
      <c r="J932" s="1207"/>
      <c r="K932" s="1207"/>
      <c r="L932" s="1207"/>
      <c r="M932" s="1207"/>
      <c r="N932" s="1207"/>
      <c r="O932" s="1207"/>
      <c r="P932" s="1207"/>
      <c r="Q932" s="1208"/>
      <c r="R932" s="1206" t="s">
        <v>454</v>
      </c>
      <c r="S932" s="1207"/>
      <c r="T932" s="1207"/>
      <c r="U932" s="1207"/>
      <c r="V932" s="1207"/>
      <c r="W932" s="1207"/>
      <c r="X932" s="1207"/>
      <c r="Y932" s="1207"/>
      <c r="Z932" s="1207"/>
      <c r="AA932" s="1208"/>
      <c r="AB932" s="1206" t="s">
        <v>455</v>
      </c>
      <c r="AC932" s="1207"/>
      <c r="AD932" s="1207"/>
      <c r="AE932" s="1207"/>
      <c r="AF932" s="1207"/>
      <c r="AG932" s="1207"/>
      <c r="AH932" s="1207"/>
      <c r="AI932" s="1208"/>
      <c r="AJ932" s="1206" t="s">
        <v>456</v>
      </c>
      <c r="AK932" s="1207"/>
      <c r="AL932" s="1207"/>
      <c r="AM932" s="1207"/>
      <c r="AN932" s="1207"/>
      <c r="AO932" s="1207"/>
      <c r="AP932" s="1207"/>
      <c r="AQ932" s="120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7" t="s">
        <v>448</v>
      </c>
      <c r="E933" s="1198"/>
      <c r="F933" s="1198"/>
      <c r="G933" s="1198"/>
      <c r="H933" s="1198"/>
      <c r="I933" s="1198"/>
      <c r="J933" s="1198"/>
      <c r="K933" s="1198"/>
      <c r="L933" s="1198"/>
      <c r="M933" s="1198"/>
      <c r="N933" s="1198"/>
      <c r="O933" s="1198"/>
      <c r="P933" s="1198"/>
      <c r="Q933" s="1199"/>
      <c r="R933" s="1200">
        <f>IF(ISNA(IF($BA$805="4%",(INDEX($BC$819:$BG$876,MATCH($BO$805,$BB$819:$BB$876,0),MATCH(D933,$BC$817:$BG$817,0))),(INDEX($BJ$819:$BN$876,MATCH($BO$805,$BI$819:$BI$876,0),MATCH(D933,$BJ$817:$BN$817,0))))),0,IF($BA$805="4%",(INDEX($BC$819:$BG$876,MATCH($BO$805,$BB$819:$BB$876,0),MATCH(D933,$BC$817:$BG$817,0))),(INDEX($BJ$819:$BN$876,MATCH($BO$805,$BI$819:$BI$876,0),MATCH(D933,$BJ$817:$BN$817,0)))))</f>
        <v>532060</v>
      </c>
      <c r="S933" s="1200"/>
      <c r="T933" s="1200"/>
      <c r="U933" s="1200"/>
      <c r="V933" s="1200"/>
      <c r="W933" s="1200"/>
      <c r="X933" s="1200"/>
      <c r="Y933" s="1200"/>
      <c r="Z933" s="1200"/>
      <c r="AA933" s="1200"/>
      <c r="AB933" s="1322">
        <f>BN638</f>
        <v>37</v>
      </c>
      <c r="AC933" s="1323"/>
      <c r="AD933" s="1323"/>
      <c r="AE933" s="1323"/>
      <c r="AF933" s="1323"/>
      <c r="AG933" s="1323"/>
      <c r="AH933" s="1323"/>
      <c r="AI933" s="1324"/>
      <c r="AJ933" s="1325">
        <f>IF(ISERROR((R933*AB933)),0,(R933*AB933))</f>
        <v>19686220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7" t="s">
        <v>471</v>
      </c>
      <c r="E934" s="1198"/>
      <c r="F934" s="1198"/>
      <c r="G934" s="1198"/>
      <c r="H934" s="1198"/>
      <c r="I934" s="1198"/>
      <c r="J934" s="1198"/>
      <c r="K934" s="1198"/>
      <c r="L934" s="1198"/>
      <c r="M934" s="1198"/>
      <c r="N934" s="1198"/>
      <c r="O934" s="1198"/>
      <c r="P934" s="1198"/>
      <c r="Q934" s="1199"/>
      <c r="R934" s="1200">
        <f>IF(ISNA(IF($BA$805="4%",(INDEX($BC$819:$BG$876,MATCH($BO$805,$BB$819:$BB$876,0),MATCH(D934,$BC$817:$BG$817,0))),(INDEX($BJ$819:$BN$876,MATCH($BO$805,$BI$819:$BI$876,0),MATCH(D934,$BJ$817:$BN$817,0))))),0,IF($BA$805="4%",(INDEX($BC$819:$BG$876,MATCH($BO$805,$BB$819:$BB$876,0),MATCH(D934,$BC$817:$BG$817,0))),(INDEX($BJ$819:$BN$876,MATCH($BO$805,$BI$819:$BI$876,0),MATCH(D934,$BJ$817:$BN$817,0)))))</f>
        <v>613460</v>
      </c>
      <c r="S934" s="1200"/>
      <c r="T934" s="1200"/>
      <c r="U934" s="1200"/>
      <c r="V934" s="1200"/>
      <c r="W934" s="1200"/>
      <c r="X934" s="1200"/>
      <c r="Y934" s="1200"/>
      <c r="Z934" s="1200"/>
      <c r="AA934" s="1200"/>
      <c r="AB934" s="1322">
        <f>BS638</f>
        <v>8</v>
      </c>
      <c r="AC934" s="1323"/>
      <c r="AD934" s="1323"/>
      <c r="AE934" s="1323"/>
      <c r="AF934" s="1323"/>
      <c r="AG934" s="1323"/>
      <c r="AH934" s="1323"/>
      <c r="AI934" s="1324"/>
      <c r="AJ934" s="1325">
        <f>IF(ISERROR((R934*AB934)),0,(R934*AB934))</f>
        <v>4907680</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7" t="s">
        <v>817</v>
      </c>
      <c r="E935" s="1198"/>
      <c r="F935" s="1198"/>
      <c r="G935" s="1198"/>
      <c r="H935" s="1198"/>
      <c r="I935" s="1198"/>
      <c r="J935" s="1198"/>
      <c r="K935" s="1198"/>
      <c r="L935" s="1198"/>
      <c r="M935" s="1198"/>
      <c r="N935" s="1198"/>
      <c r="O935" s="1198"/>
      <c r="P935" s="1198"/>
      <c r="Q935" s="1199"/>
      <c r="R935" s="1200">
        <f>IF(ISNA(IF($BA$805="4%",(INDEX($BC$819:$BG$876,MATCH($BO$805,$BB$819:$BB$876,0),MATCH(D935,$BC$817:$BG$817,0))),(INDEX($BJ$819:$BN$876,MATCH($BO$805,$BI$819:$BI$876,0),MATCH(D935,$BJ$817:$BN$817,0))))),0,IF($BA$805="4%",(INDEX($BC$819:$BG$876,MATCH($BO$805,$BB$819:$BB$876,0),MATCH(D935,$BC$817:$BG$817,0))),(INDEX($BJ$819:$BN$876,MATCH($BO$805,$BI$819:$BI$876,0),MATCH(D935,$BJ$817:$BN$817,0)))))</f>
        <v>740000</v>
      </c>
      <c r="S935" s="1200"/>
      <c r="T935" s="1200"/>
      <c r="U935" s="1200"/>
      <c r="V935" s="1200"/>
      <c r="W935" s="1200"/>
      <c r="X935" s="1200"/>
      <c r="Y935" s="1200"/>
      <c r="Z935" s="1200"/>
      <c r="AA935" s="1200"/>
      <c r="AB935" s="1322">
        <f>BX638</f>
        <v>5</v>
      </c>
      <c r="AC935" s="1323"/>
      <c r="AD935" s="1323"/>
      <c r="AE935" s="1323"/>
      <c r="AF935" s="1323"/>
      <c r="AG935" s="1323"/>
      <c r="AH935" s="1323"/>
      <c r="AI935" s="1324"/>
      <c r="AJ935" s="1325">
        <f>IF(ISERROR((R935*AB935)),0,(R935*AB935))</f>
        <v>3700000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7" t="s">
        <v>818</v>
      </c>
      <c r="E936" s="1198"/>
      <c r="F936" s="1198"/>
      <c r="G936" s="1198"/>
      <c r="H936" s="1198"/>
      <c r="I936" s="1198"/>
      <c r="J936" s="1198"/>
      <c r="K936" s="1198"/>
      <c r="L936" s="1198"/>
      <c r="M936" s="1198"/>
      <c r="N936" s="1198"/>
      <c r="O936" s="1198"/>
      <c r="P936" s="1198"/>
      <c r="Q936" s="1199"/>
      <c r="R936" s="1200">
        <f>IF(ISNA(IF($BA$805="4%",(INDEX($BC$819:$BG$876,MATCH($BO$805,$BB$819:$BB$876,0),MATCH(D936,$BC$817:$BG$817,0))),(INDEX($BJ$819:$BN$876,MATCH($BO$805,$BI$819:$BI$876,0),MATCH(D936,$BJ$817:$BN$817,0))))),0,IF($BA$805="4%",(INDEX($BC$819:$BG$876,MATCH($BO$805,$BB$819:$BB$876,0),MATCH(D936,$BC$817:$BG$817,0))),(INDEX($BJ$819:$BN$876,MATCH($BO$805,$BI$819:$BI$876,0),MATCH(D936,$BJ$817:$BN$817,0)))))</f>
        <v>947200</v>
      </c>
      <c r="S936" s="1200"/>
      <c r="T936" s="1200"/>
      <c r="U936" s="1200"/>
      <c r="V936" s="1200"/>
      <c r="W936" s="1200"/>
      <c r="X936" s="1200"/>
      <c r="Y936" s="1200"/>
      <c r="Z936" s="1200"/>
      <c r="AA936" s="1200"/>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7" t="s">
        <v>829</v>
      </c>
      <c r="E937" s="1198"/>
      <c r="F937" s="1198"/>
      <c r="G937" s="1198"/>
      <c r="H937" s="1198"/>
      <c r="I937" s="1198"/>
      <c r="J937" s="1198"/>
      <c r="K937" s="1198"/>
      <c r="L937" s="1198"/>
      <c r="M937" s="1198"/>
      <c r="N937" s="1198"/>
      <c r="O937" s="1198"/>
      <c r="P937" s="1198"/>
      <c r="Q937" s="1199"/>
      <c r="R937" s="1200">
        <f>IF(ISNA(IF($BA$805="4%",(INDEX($BC$819:$BG$876,MATCH($BO$805,$BB$819:$BB$876,0),MATCH(D937,$BC$817:$BG$817,0))),(INDEX($BJ$819:$BN$876,MATCH($BO$805,$BI$819:$BI$876,0),MATCH(D937,$BJ$817:$BN$817,0))))),0,IF($BA$805="4%",(INDEX($BC$819:$BG$876,MATCH($BO$805,$BB$819:$BB$876,0),MATCH(D937,$BC$817:$BG$817,0))),(INDEX($BJ$819:$BN$876,MATCH($BO$805,$BI$819:$BI$876,0),MATCH(D937,$BJ$817:$BN$817,0)))))</f>
        <v>1055240</v>
      </c>
      <c r="S937" s="1200"/>
      <c r="T937" s="1200"/>
      <c r="U937" s="1200"/>
      <c r="V937" s="1200"/>
      <c r="W937" s="1200"/>
      <c r="X937" s="1200"/>
      <c r="Y937" s="1200"/>
      <c r="Z937" s="1200"/>
      <c r="AA937" s="1200"/>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2">
        <f>SUM(AB933:AI937)</f>
        <v>50</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5">
        <f>SUM(AJ933:AQ937)</f>
        <v>28293900</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81" t="s">
        <v>1984</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116</v>
      </c>
      <c r="AH941" s="1566"/>
      <c r="AI941" s="85"/>
      <c r="AJ941" s="1358">
        <f>ROUND(IF(AND(AG941="yes",D943&lt;&gt;""),AJ939*0.2,0),0)</f>
        <v>5658780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91" t="s">
        <v>2096</v>
      </c>
      <c r="E942" s="1192"/>
      <c r="F942" s="1192"/>
      <c r="G942" s="1192"/>
      <c r="H942" s="1192"/>
      <c r="I942" s="1192"/>
      <c r="J942" s="1192"/>
      <c r="K942" s="1192"/>
      <c r="L942" s="1192"/>
      <c r="M942" s="1192"/>
      <c r="N942" s="1192"/>
      <c r="O942" s="1192"/>
      <c r="P942" s="1192"/>
      <c r="Q942" s="1192"/>
      <c r="R942" s="1192"/>
      <c r="S942" s="1192"/>
      <c r="T942" s="1192"/>
      <c r="U942" s="1192"/>
      <c r="V942" s="1192"/>
      <c r="W942" s="1192"/>
      <c r="X942" s="1192"/>
      <c r="Y942" s="1192"/>
      <c r="Z942" s="1192"/>
      <c r="AA942" s="1192"/>
      <c r="AB942" s="1192"/>
      <c r="AC942" s="1192"/>
      <c r="AD942" s="1192"/>
      <c r="AE942" s="1193"/>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3" t="s">
        <v>2521</v>
      </c>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4" t="s">
        <v>2097</v>
      </c>
      <c r="E944" s="1148"/>
      <c r="F944" s="1148"/>
      <c r="G944" s="1148"/>
      <c r="H944" s="1148"/>
      <c r="I944" s="1148"/>
      <c r="J944" s="1148"/>
      <c r="K944" s="1148"/>
      <c r="L944" s="1148"/>
      <c r="M944" s="1148"/>
      <c r="N944" s="1148"/>
      <c r="O944" s="1148"/>
      <c r="P944" s="1148"/>
      <c r="Q944" s="1148"/>
      <c r="R944" s="1148"/>
      <c r="S944" s="1148"/>
      <c r="T944" s="1148"/>
      <c r="U944" s="1148"/>
      <c r="V944" s="1148"/>
      <c r="W944" s="1148"/>
      <c r="X944" s="1148"/>
      <c r="Y944" s="1148"/>
      <c r="Z944" s="1148"/>
      <c r="AA944" s="1148"/>
      <c r="AB944" s="1148"/>
      <c r="AC944" s="1148"/>
      <c r="AD944" s="1148"/>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91" t="s">
        <v>1985</v>
      </c>
      <c r="E945" s="1192"/>
      <c r="F945" s="1192"/>
      <c r="G945" s="1192"/>
      <c r="H945" s="1192"/>
      <c r="I945" s="1192"/>
      <c r="J945" s="1192"/>
      <c r="K945" s="1192"/>
      <c r="L945" s="1192"/>
      <c r="M945" s="1192"/>
      <c r="N945" s="1192"/>
      <c r="O945" s="1192"/>
      <c r="P945" s="1192"/>
      <c r="Q945" s="1192"/>
      <c r="R945" s="1192"/>
      <c r="S945" s="1192"/>
      <c r="T945" s="1192"/>
      <c r="U945" s="1192"/>
      <c r="V945" s="1192"/>
      <c r="W945" s="1192"/>
      <c r="X945" s="1192"/>
      <c r="Y945" s="1192"/>
      <c r="Z945" s="1192"/>
      <c r="AA945" s="1192"/>
      <c r="AB945" s="1192"/>
      <c r="AC945" s="1192"/>
      <c r="AD945" s="1192"/>
      <c r="AE945" s="1193"/>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91"/>
      <c r="E946" s="1192"/>
      <c r="F946" s="1192"/>
      <c r="G946" s="1192"/>
      <c r="H946" s="1192"/>
      <c r="I946" s="1192"/>
      <c r="J946" s="1192"/>
      <c r="K946" s="1192"/>
      <c r="L946" s="1192"/>
      <c r="M946" s="1192"/>
      <c r="N946" s="1192"/>
      <c r="O946" s="1192"/>
      <c r="P946" s="1192"/>
      <c r="Q946" s="1192"/>
      <c r="R946" s="1192"/>
      <c r="S946" s="1192"/>
      <c r="T946" s="1192"/>
      <c r="U946" s="1192"/>
      <c r="V946" s="1192"/>
      <c r="W946" s="1192"/>
      <c r="X946" s="1192"/>
      <c r="Y946" s="1192"/>
      <c r="Z946" s="1192"/>
      <c r="AA946" s="1192"/>
      <c r="AB946" s="1192"/>
      <c r="AC946" s="1192"/>
      <c r="AD946" s="1192"/>
      <c r="AE946" s="1193"/>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91"/>
      <c r="E947" s="1192"/>
      <c r="F947" s="1192"/>
      <c r="G947" s="1192"/>
      <c r="H947" s="1192"/>
      <c r="I947" s="1192"/>
      <c r="J947" s="1192"/>
      <c r="K947" s="1192"/>
      <c r="L947" s="1192"/>
      <c r="M947" s="1192"/>
      <c r="N947" s="1192"/>
      <c r="O947" s="1192"/>
      <c r="P947" s="1192"/>
      <c r="Q947" s="1192"/>
      <c r="R947" s="1192"/>
      <c r="S947" s="1192"/>
      <c r="T947" s="1192"/>
      <c r="U947" s="1192"/>
      <c r="V947" s="1192"/>
      <c r="W947" s="1192"/>
      <c r="X947" s="1192"/>
      <c r="Y947" s="1192"/>
      <c r="Z947" s="1192"/>
      <c r="AA947" s="1192"/>
      <c r="AB947" s="1192"/>
      <c r="AC947" s="1192"/>
      <c r="AD947" s="1192"/>
      <c r="AE947" s="1193"/>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91"/>
      <c r="E948" s="1192"/>
      <c r="F948" s="1192"/>
      <c r="G948" s="1192"/>
      <c r="H948" s="1192"/>
      <c r="I948" s="1192"/>
      <c r="J948" s="1192"/>
      <c r="K948" s="1192"/>
      <c r="L948" s="1192"/>
      <c r="M948" s="1192"/>
      <c r="N948" s="1192"/>
      <c r="O948" s="1192"/>
      <c r="P948" s="1192"/>
      <c r="Q948" s="1192"/>
      <c r="R948" s="1192"/>
      <c r="S948" s="1192"/>
      <c r="T948" s="1192"/>
      <c r="U948" s="1192"/>
      <c r="V948" s="1192"/>
      <c r="W948" s="1192"/>
      <c r="X948" s="1192"/>
      <c r="Y948" s="1192"/>
      <c r="Z948" s="1192"/>
      <c r="AA948" s="1192"/>
      <c r="AB948" s="1192"/>
      <c r="AC948" s="1192"/>
      <c r="AD948" s="1192"/>
      <c r="AE948" s="1193"/>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4"/>
      <c r="E949" s="1195"/>
      <c r="F949" s="1195"/>
      <c r="G949" s="1195"/>
      <c r="H949" s="1195"/>
      <c r="I949" s="1195"/>
      <c r="J949" s="1195"/>
      <c r="K949" s="1195"/>
      <c r="L949" s="1195"/>
      <c r="M949" s="1195"/>
      <c r="N949" s="1195"/>
      <c r="O949" s="1195"/>
      <c r="P949" s="1195"/>
      <c r="Q949" s="1195"/>
      <c r="R949" s="1195"/>
      <c r="S949" s="1195"/>
      <c r="T949" s="1195"/>
      <c r="U949" s="1195"/>
      <c r="V949" s="1195"/>
      <c r="W949" s="1195"/>
      <c r="X949" s="1195"/>
      <c r="Y949" s="1195"/>
      <c r="Z949" s="1195"/>
      <c r="AA949" s="1195"/>
      <c r="AB949" s="1195"/>
      <c r="AC949" s="1195"/>
      <c r="AD949" s="1195"/>
      <c r="AE949" s="1196"/>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4" t="s">
        <v>2098</v>
      </c>
      <c r="E950" s="1148"/>
      <c r="F950" s="1148"/>
      <c r="G950" s="1148"/>
      <c r="H950" s="1148"/>
      <c r="I950" s="1148"/>
      <c r="J950" s="1148"/>
      <c r="K950" s="1148"/>
      <c r="L950" s="1148"/>
      <c r="M950" s="1148"/>
      <c r="N950" s="1148"/>
      <c r="O950" s="1148"/>
      <c r="P950" s="1148"/>
      <c r="Q950" s="1148"/>
      <c r="R950" s="1148"/>
      <c r="S950" s="1148"/>
      <c r="T950" s="1148"/>
      <c r="U950" s="1148"/>
      <c r="V950" s="1148"/>
      <c r="W950" s="1148"/>
      <c r="X950" s="1148"/>
      <c r="Y950" s="1148"/>
      <c r="Z950" s="1148"/>
      <c r="AA950" s="1148"/>
      <c r="AB950" s="1148"/>
      <c r="AC950" s="1148"/>
      <c r="AD950" s="1148"/>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7" t="s">
        <v>2099</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4" t="s">
        <v>1986</v>
      </c>
      <c r="E954" s="1148"/>
      <c r="F954" s="1148"/>
      <c r="G954" s="1148"/>
      <c r="H954" s="1148"/>
      <c r="I954" s="1148"/>
      <c r="J954" s="1148"/>
      <c r="K954" s="1148"/>
      <c r="L954" s="1148"/>
      <c r="M954" s="1148"/>
      <c r="N954" s="1148"/>
      <c r="O954" s="1148"/>
      <c r="P954" s="1148"/>
      <c r="Q954" s="1148"/>
      <c r="R954" s="1148"/>
      <c r="S954" s="1148"/>
      <c r="T954" s="1148"/>
      <c r="U954" s="1148"/>
      <c r="V954" s="1148"/>
      <c r="W954" s="1148"/>
      <c r="X954" s="1148"/>
      <c r="Y954" s="1148"/>
      <c r="Z954" s="1148"/>
      <c r="AA954" s="1148"/>
      <c r="AB954" s="1148"/>
      <c r="AC954" s="1148"/>
      <c r="AD954" s="1148"/>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70" t="s">
        <v>1987</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4" t="s">
        <v>1988</v>
      </c>
      <c r="E956" s="1148"/>
      <c r="F956" s="1148"/>
      <c r="G956" s="1148"/>
      <c r="H956" s="1148"/>
      <c r="I956" s="1148"/>
      <c r="J956" s="1148"/>
      <c r="K956" s="1148"/>
      <c r="L956" s="1148"/>
      <c r="M956" s="1148"/>
      <c r="N956" s="1148"/>
      <c r="O956" s="1148"/>
      <c r="P956" s="1148"/>
      <c r="Q956" s="1148"/>
      <c r="R956" s="1148"/>
      <c r="S956" s="1148"/>
      <c r="T956" s="1148"/>
      <c r="U956" s="1148"/>
      <c r="V956" s="1148"/>
      <c r="W956" s="1148"/>
      <c r="X956" s="1148"/>
      <c r="Y956" s="1148"/>
      <c r="Z956" s="1148"/>
      <c r="AA956" s="1148"/>
      <c r="AB956" s="1148"/>
      <c r="AC956" s="1148"/>
      <c r="AD956" s="1148"/>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7" t="s">
        <v>1989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81" t="s">
        <v>1990</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7" t="s">
        <v>2100</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6" t="s">
        <v>1991</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6" t="str">
        <f>IF(AG963="yes","Please Select Type and Enter Amount:","")</f>
        <v/>
      </c>
      <c r="AG964" s="1167"/>
      <c r="AH964" s="1167"/>
      <c r="AI964" s="1168"/>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7" t="s">
        <v>1992</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6"/>
      <c r="AG965" s="1167"/>
      <c r="AH965" s="1167"/>
      <c r="AI965" s="1168"/>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9"/>
      <c r="AG966" s="1169"/>
      <c r="AH966" s="1169"/>
      <c r="AI966" s="1169"/>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9"/>
      <c r="AG967" s="1169"/>
      <c r="AH967" s="1169"/>
      <c r="AI967" s="1169"/>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4" t="s">
        <v>1993</v>
      </c>
      <c r="E968" s="1148"/>
      <c r="F968" s="1148"/>
      <c r="G968" s="1148"/>
      <c r="H968" s="1148"/>
      <c r="I968" s="1148"/>
      <c r="J968" s="1148"/>
      <c r="K968" s="1148"/>
      <c r="L968" s="1148"/>
      <c r="M968" s="1148"/>
      <c r="N968" s="1148"/>
      <c r="O968" s="1148"/>
      <c r="P968" s="1148"/>
      <c r="Q968" s="1148"/>
      <c r="R968" s="1148"/>
      <c r="S968" s="1148"/>
      <c r="T968" s="1148"/>
      <c r="U968" s="1148"/>
      <c r="V968" s="1148"/>
      <c r="W968" s="1148"/>
      <c r="X968" s="1148"/>
      <c r="Y968" s="1148"/>
      <c r="Z968" s="1148"/>
      <c r="AA968" s="1148"/>
      <c r="AB968" s="1148"/>
      <c r="AC968" s="1148"/>
      <c r="AD968" s="1148"/>
      <c r="AE968" s="1355"/>
      <c r="AF968" s="82"/>
      <c r="AG968" s="1356" t="s">
        <v>116</v>
      </c>
      <c r="AH968" s="1357"/>
      <c r="AI968" s="85"/>
      <c r="AJ968" s="1358">
        <f>ROUND(IF(AG968="Yes",AF970,0),0)</f>
        <v>305646</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7" t="s">
        <v>2101</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70" t="str">
        <f>IF(AG968="yes","Please Enter Amount:","")</f>
        <v>Please Enter Amount:</v>
      </c>
      <c r="AG969" s="1171"/>
      <c r="AH969" s="1171"/>
      <c r="AI969" s="1172"/>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9">
        <f>[4]EVERYTHING!$G$86</f>
        <v>305646.2450968019</v>
      </c>
      <c r="AG970" s="1169"/>
      <c r="AH970" s="1169"/>
      <c r="AI970" s="1169"/>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9"/>
      <c r="AG971" s="1169"/>
      <c r="AH971" s="1169"/>
      <c r="AI971" s="1169"/>
      <c r="AJ971" s="1361"/>
      <c r="AK971" s="1362"/>
      <c r="AL971" s="1362"/>
      <c r="AM971" s="1362"/>
      <c r="AN971" s="1362"/>
      <c r="AO971" s="1362"/>
      <c r="AP971" s="1362"/>
      <c r="AQ971" s="1363"/>
    </row>
    <row r="972" spans="1:97" ht="12.95" customHeight="1">
      <c r="A972" s="21"/>
      <c r="B972" s="82"/>
      <c r="C972" s="570" t="s">
        <v>609</v>
      </c>
      <c r="D972" s="1381" t="s">
        <v>1994</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116</v>
      </c>
      <c r="AH972" s="1357"/>
      <c r="AI972" s="85"/>
      <c r="AJ972" s="1358">
        <f>ROUND(IF(AG972="yes",(AJ939*0.1),0),0)</f>
        <v>2829390</v>
      </c>
      <c r="AK972" s="1359"/>
      <c r="AL972" s="1359"/>
      <c r="AM972" s="1359"/>
      <c r="AN972" s="1359"/>
      <c r="AO972" s="1359"/>
      <c r="AP972" s="1359"/>
      <c r="AQ972" s="1360"/>
    </row>
    <row r="973" spans="1:97" ht="12.95" customHeight="1">
      <c r="A973" s="21"/>
      <c r="B973" s="79"/>
      <c r="C973" s="571"/>
      <c r="D973" s="1367" t="s">
        <v>1995</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2.95"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2.95" customHeight="1">
      <c r="A975" s="569"/>
      <c r="B975" s="79"/>
      <c r="C975" s="570" t="s">
        <v>612</v>
      </c>
      <c r="D975" s="1354" t="s">
        <v>2102</v>
      </c>
      <c r="E975" s="1148"/>
      <c r="F975" s="1148"/>
      <c r="G975" s="1148"/>
      <c r="H975" s="1148"/>
      <c r="I975" s="1148"/>
      <c r="J975" s="1148"/>
      <c r="K975" s="1148"/>
      <c r="L975" s="1148"/>
      <c r="M975" s="1148"/>
      <c r="N975" s="1148"/>
      <c r="O975" s="1148"/>
      <c r="P975" s="1148"/>
      <c r="Q975" s="1148"/>
      <c r="R975" s="1148"/>
      <c r="S975" s="1148"/>
      <c r="T975" s="1148"/>
      <c r="U975" s="1148"/>
      <c r="V975" s="1148"/>
      <c r="W975" s="1148"/>
      <c r="X975" s="1148"/>
      <c r="Y975" s="1148"/>
      <c r="Z975" s="1148"/>
      <c r="AA975" s="1148"/>
      <c r="AB975" s="1148"/>
      <c r="AC975" s="1148"/>
      <c r="AD975" s="1148"/>
      <c r="AE975" s="1355"/>
      <c r="AF975" s="82"/>
      <c r="AG975" s="1356" t="s">
        <v>511</v>
      </c>
      <c r="AH975" s="1357"/>
      <c r="AI975" s="85"/>
      <c r="AJ975" s="1358">
        <f>ROUND(IF(AG975="yes",(AJ939*0.15),0),0)</f>
        <v>0</v>
      </c>
      <c r="AK975" s="1359"/>
      <c r="AL975" s="1359"/>
      <c r="AM975" s="1359"/>
      <c r="AN975" s="1359"/>
      <c r="AO975" s="1359"/>
      <c r="AP975" s="1359"/>
      <c r="AQ975" s="1360"/>
    </row>
    <row r="976" spans="1:97" ht="12.95" customHeight="1">
      <c r="A976" s="569"/>
      <c r="B976" s="79"/>
      <c r="C976" s="571"/>
      <c r="D976" s="1551" t="s">
        <v>2103</v>
      </c>
      <c r="E976" s="983"/>
      <c r="F976" s="983"/>
      <c r="G976" s="983"/>
      <c r="H976" s="983"/>
      <c r="I976" s="983"/>
      <c r="J976" s="983"/>
      <c r="K976" s="983"/>
      <c r="L976" s="983"/>
      <c r="M976" s="983"/>
      <c r="N976" s="983"/>
      <c r="O976" s="983"/>
      <c r="P976" s="983"/>
      <c r="Q976" s="983"/>
      <c r="R976" s="983"/>
      <c r="S976" s="983"/>
      <c r="T976" s="983"/>
      <c r="U976" s="983"/>
      <c r="V976" s="983"/>
      <c r="W976" s="983"/>
      <c r="X976" s="983"/>
      <c r="Y976" s="983"/>
      <c r="Z976" s="983"/>
      <c r="AA976" s="983"/>
      <c r="AB976" s="983"/>
      <c r="AC976" s="983"/>
      <c r="AD976" s="983"/>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1"/>
      <c r="E977" s="983"/>
      <c r="F977" s="983"/>
      <c r="G977" s="983"/>
      <c r="H977" s="983"/>
      <c r="I977" s="983"/>
      <c r="J977" s="983"/>
      <c r="K977" s="983"/>
      <c r="L977" s="983"/>
      <c r="M977" s="983"/>
      <c r="N977" s="983"/>
      <c r="O977" s="983"/>
      <c r="P977" s="983"/>
      <c r="Q977" s="983"/>
      <c r="R977" s="983"/>
      <c r="S977" s="983"/>
      <c r="T977" s="983"/>
      <c r="U977" s="983"/>
      <c r="V977" s="983"/>
      <c r="W977" s="983"/>
      <c r="X977" s="983"/>
      <c r="Y977" s="983"/>
      <c r="Z977" s="983"/>
      <c r="AA977" s="983"/>
      <c r="AB977" s="983"/>
      <c r="AC977" s="983"/>
      <c r="AD977" s="983"/>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81" t="s">
        <v>2104</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511</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1" t="s">
        <v>2105</v>
      </c>
      <c r="E980" s="983"/>
      <c r="F980" s="983"/>
      <c r="G980" s="983"/>
      <c r="H980" s="983"/>
      <c r="I980" s="983"/>
      <c r="J980" s="983"/>
      <c r="K980" s="983"/>
      <c r="L980" s="983"/>
      <c r="M980" s="983"/>
      <c r="N980" s="983"/>
      <c r="O980" s="983"/>
      <c r="P980" s="983"/>
      <c r="Q980" s="983"/>
      <c r="R980" s="983"/>
      <c r="S980" s="983"/>
      <c r="T980" s="983"/>
      <c r="U980" s="983"/>
      <c r="V980" s="983"/>
      <c r="W980" s="983"/>
      <c r="X980" s="983"/>
      <c r="Y980" s="983"/>
      <c r="Z980" s="983"/>
      <c r="AA980" s="983"/>
      <c r="AB980" s="983"/>
      <c r="AC980" s="983"/>
      <c r="AD980" s="983"/>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1"/>
      <c r="E981" s="983"/>
      <c r="F981" s="983"/>
      <c r="G981" s="983"/>
      <c r="H981" s="983"/>
      <c r="I981" s="983"/>
      <c r="J981" s="983"/>
      <c r="K981" s="983"/>
      <c r="L981" s="983"/>
      <c r="M981" s="983"/>
      <c r="N981" s="983"/>
      <c r="O981" s="983"/>
      <c r="P981" s="983"/>
      <c r="Q981" s="983"/>
      <c r="R981" s="983"/>
      <c r="S981" s="983"/>
      <c r="T981" s="983"/>
      <c r="U981" s="983"/>
      <c r="V981" s="983"/>
      <c r="W981" s="983"/>
      <c r="X981" s="983"/>
      <c r="Y981" s="983"/>
      <c r="Z981" s="983"/>
      <c r="AA981" s="983"/>
      <c r="AB981" s="983"/>
      <c r="AC981" s="983"/>
      <c r="AD981" s="983"/>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1"/>
      <c r="E982" s="983"/>
      <c r="F982" s="983"/>
      <c r="G982" s="983"/>
      <c r="H982" s="983"/>
      <c r="I982" s="983"/>
      <c r="J982" s="983"/>
      <c r="K982" s="983"/>
      <c r="L982" s="983"/>
      <c r="M982" s="983"/>
      <c r="N982" s="983"/>
      <c r="O982" s="983"/>
      <c r="P982" s="983"/>
      <c r="Q982" s="983"/>
      <c r="R982" s="983"/>
      <c r="S982" s="983"/>
      <c r="T982" s="983"/>
      <c r="U982" s="983"/>
      <c r="V982" s="983"/>
      <c r="W982" s="983"/>
      <c r="X982" s="983"/>
      <c r="Y982" s="983"/>
      <c r="Z982" s="983"/>
      <c r="AA982" s="983"/>
      <c r="AB982" s="983"/>
      <c r="AC982" s="983"/>
      <c r="AD982" s="983"/>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354" t="s">
        <v>1996</v>
      </c>
      <c r="E984" s="1148"/>
      <c r="F984" s="1148"/>
      <c r="G984" s="1148"/>
      <c r="H984" s="1148"/>
      <c r="I984" s="1148"/>
      <c r="J984" s="1148"/>
      <c r="K984" s="1148"/>
      <c r="L984" s="1148"/>
      <c r="M984" s="1148"/>
      <c r="N984" s="1148"/>
      <c r="O984" s="1148"/>
      <c r="P984" s="1148"/>
      <c r="Q984" s="1148"/>
      <c r="R984" s="1148"/>
      <c r="S984" s="1148"/>
      <c r="T984" s="1148"/>
      <c r="U984" s="1148"/>
      <c r="V984" s="1148"/>
      <c r="W984" s="1148"/>
      <c r="X984" s="1148"/>
      <c r="Y984" s="1148"/>
      <c r="Z984" s="1148"/>
      <c r="AA984" s="1148"/>
      <c r="AB984" s="1148"/>
      <c r="AC984" s="1148"/>
      <c r="AD984" s="1148"/>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7" t="s">
        <v>2238</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6" t="s">
        <v>785</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37087716</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9">
        <f>'Sources and Uses Budget'!S106+'Sources and Uses Budget'!T106</f>
        <v>43290053.646808423</v>
      </c>
      <c r="Y992" s="1349"/>
      <c r="Z992" s="1349"/>
      <c r="AA992" s="1349"/>
      <c r="AB992" s="1349"/>
      <c r="AC992" s="134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5">
        <f>IFERROR(X992/AJ988,"")</f>
        <v>1.1672342844409298</v>
      </c>
      <c r="Y993" s="1346"/>
      <c r="Z993" s="1346"/>
      <c r="AA993" s="1346"/>
      <c r="AB993" s="1346"/>
      <c r="AC993" s="134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8"/>
      <c r="F994" s="1148"/>
      <c r="G994" s="1148"/>
      <c r="H994" s="1148"/>
      <c r="I994" s="1148"/>
      <c r="J994" s="1148"/>
      <c r="K994" s="1148"/>
      <c r="L994" s="1148"/>
      <c r="M994" s="1148"/>
      <c r="N994" s="1148"/>
      <c r="O994" s="1148"/>
      <c r="P994" s="1148"/>
      <c r="Q994" s="1148"/>
      <c r="R994" s="1148"/>
      <c r="S994" s="1148"/>
      <c r="T994" s="1148"/>
      <c r="U994" s="1148"/>
      <c r="V994" s="1148"/>
      <c r="W994" s="1148"/>
      <c r="X994" s="1148"/>
      <c r="Y994" s="1148"/>
      <c r="Z994" s="1148"/>
      <c r="AA994" s="1148"/>
      <c r="AB994" s="1148"/>
      <c r="AC994" s="1148"/>
      <c r="AD994" s="1148"/>
      <c r="AE994" s="1148"/>
      <c r="AF994" s="1148"/>
      <c r="AG994" s="1148"/>
      <c r="AH994" s="1148"/>
      <c r="AI994" s="1148"/>
      <c r="AJ994" s="1148"/>
      <c r="AK994" s="114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8"/>
      <c r="E995" s="1148"/>
      <c r="F995" s="1148"/>
      <c r="G995" s="1148"/>
      <c r="H995" s="1148"/>
      <c r="I995" s="1148"/>
      <c r="J995" s="1148"/>
      <c r="K995" s="1148"/>
      <c r="L995" s="1148"/>
      <c r="M995" s="1148"/>
      <c r="N995" s="1148"/>
      <c r="O995" s="1148"/>
      <c r="P995" s="1148"/>
      <c r="Q995" s="1148"/>
      <c r="R995" s="1148"/>
      <c r="S995" s="1148"/>
      <c r="T995" s="1148"/>
      <c r="U995" s="1148"/>
      <c r="V995" s="1148"/>
      <c r="W995" s="1148"/>
      <c r="X995" s="1148"/>
      <c r="Y995" s="1148"/>
      <c r="Z995" s="1148"/>
      <c r="AA995" s="1148"/>
      <c r="AB995" s="1148"/>
      <c r="AC995" s="1148"/>
      <c r="AD995" s="1148"/>
      <c r="AE995" s="1148"/>
      <c r="AF995" s="1148"/>
      <c r="AG995" s="1148"/>
      <c r="AH995" s="1148"/>
      <c r="AI995" s="1148"/>
      <c r="AJ995" s="1148"/>
      <c r="AK995" s="114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8"/>
      <c r="E996" s="1148"/>
      <c r="F996" s="1148"/>
      <c r="G996" s="1148"/>
      <c r="H996" s="1148"/>
      <c r="I996" s="1148"/>
      <c r="J996" s="1148"/>
      <c r="K996" s="1148"/>
      <c r="L996" s="1148"/>
      <c r="M996" s="1148"/>
      <c r="N996" s="1148"/>
      <c r="O996" s="1148"/>
      <c r="P996" s="1148"/>
      <c r="Q996" s="1148"/>
      <c r="R996" s="1148"/>
      <c r="S996" s="1148"/>
      <c r="T996" s="1148"/>
      <c r="U996" s="1148"/>
      <c r="V996" s="1148"/>
      <c r="W996" s="1148"/>
      <c r="X996" s="1148"/>
      <c r="Y996" s="1148"/>
      <c r="Z996" s="1148"/>
      <c r="AA996" s="1148"/>
      <c r="AB996" s="1148"/>
      <c r="AC996" s="1148"/>
      <c r="AD996" s="1148"/>
      <c r="AE996" s="1148"/>
      <c r="AF996" s="1148"/>
      <c r="AG996" s="1148"/>
      <c r="AH996" s="1148"/>
      <c r="AI996" s="1148"/>
      <c r="AJ996" s="1148"/>
      <c r="AK996" s="114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9" t="s">
        <v>1033</v>
      </c>
      <c r="B1000" s="1149"/>
      <c r="C1000" s="1149"/>
      <c r="D1000" s="1149"/>
      <c r="E1000" s="1149"/>
      <c r="F1000" s="1149"/>
      <c r="G1000" s="1149"/>
      <c r="H1000" s="1149"/>
      <c r="I1000" s="1149"/>
      <c r="J1000" s="1149"/>
      <c r="K1000" s="1149"/>
      <c r="L1000" s="1149"/>
      <c r="M1000" s="1149"/>
      <c r="N1000" s="1149"/>
      <c r="O1000" s="1149"/>
      <c r="P1000" s="1149"/>
      <c r="Q1000" s="1149"/>
      <c r="R1000" s="1149"/>
      <c r="S1000" s="1149"/>
      <c r="T1000" s="1149"/>
      <c r="U1000" s="1149"/>
      <c r="V1000" s="1149"/>
      <c r="W1000" s="1149"/>
      <c r="X1000" s="1149"/>
      <c r="Y1000" s="1149"/>
      <c r="Z1000" s="1149"/>
      <c r="AA1000" s="1149"/>
      <c r="AB1000" s="1149"/>
      <c r="AC1000" s="1149"/>
      <c r="AD1000" s="1149"/>
      <c r="AE1000" s="1149"/>
      <c r="AF1000" s="1149"/>
      <c r="AG1000" s="1149"/>
      <c r="AH1000" s="1149"/>
      <c r="AI1000" s="1149"/>
      <c r="AJ1000" s="1149"/>
      <c r="AK1000" s="114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20" t="s">
        <v>132</v>
      </c>
      <c r="B1004" s="1120"/>
      <c r="C1004" s="12">
        <v>1</v>
      </c>
      <c r="D1004" s="986" t="s">
        <v>1588</v>
      </c>
      <c r="E1004" s="986"/>
      <c r="F1004" s="986"/>
      <c r="G1004" s="986"/>
      <c r="H1004" s="986"/>
      <c r="I1004" s="986"/>
      <c r="J1004" s="986"/>
      <c r="K1004" s="986"/>
      <c r="L1004" s="986"/>
      <c r="M1004" s="986"/>
      <c r="N1004" s="986"/>
      <c r="O1004" s="986"/>
      <c r="P1004" s="986"/>
      <c r="Q1004" s="986"/>
      <c r="R1004" s="986"/>
      <c r="S1004" s="986"/>
      <c r="T1004" s="986"/>
      <c r="U1004" s="986"/>
      <c r="V1004" s="986"/>
      <c r="W1004" s="986"/>
      <c r="X1004" s="986"/>
      <c r="Y1004" s="986"/>
      <c r="Z1004" s="986"/>
      <c r="AA1004" s="986"/>
      <c r="AB1004" s="986"/>
      <c r="AC1004" s="986"/>
      <c r="AD1004" s="986"/>
      <c r="AE1004" s="986"/>
      <c r="AF1004" s="986"/>
      <c r="AG1004" s="986"/>
      <c r="AH1004" s="986"/>
      <c r="AI1004" s="986"/>
      <c r="AJ1004" s="986"/>
      <c r="AK1004" s="98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6"/>
      <c r="E1005" s="986"/>
      <c r="F1005" s="986"/>
      <c r="G1005" s="986"/>
      <c r="H1005" s="986"/>
      <c r="I1005" s="986"/>
      <c r="J1005" s="986"/>
      <c r="K1005" s="986"/>
      <c r="L1005" s="986"/>
      <c r="M1005" s="986"/>
      <c r="N1005" s="986"/>
      <c r="O1005" s="986"/>
      <c r="P1005" s="986"/>
      <c r="Q1005" s="986"/>
      <c r="R1005" s="986"/>
      <c r="S1005" s="986"/>
      <c r="T1005" s="986"/>
      <c r="U1005" s="986"/>
      <c r="V1005" s="986"/>
      <c r="W1005" s="986"/>
      <c r="X1005" s="986"/>
      <c r="Y1005" s="986"/>
      <c r="Z1005" s="986"/>
      <c r="AA1005" s="986"/>
      <c r="AB1005" s="986"/>
      <c r="AC1005" s="986"/>
      <c r="AD1005" s="986"/>
      <c r="AE1005" s="986"/>
      <c r="AF1005" s="986"/>
      <c r="AG1005" s="986"/>
      <c r="AH1005" s="986"/>
      <c r="AI1005" s="986"/>
      <c r="AJ1005" s="986"/>
      <c r="AK1005" s="98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6"/>
      <c r="E1006" s="986"/>
      <c r="F1006" s="986"/>
      <c r="G1006" s="986"/>
      <c r="H1006" s="986"/>
      <c r="I1006" s="986"/>
      <c r="J1006" s="986"/>
      <c r="K1006" s="986"/>
      <c r="L1006" s="986"/>
      <c r="M1006" s="986"/>
      <c r="N1006" s="986"/>
      <c r="O1006" s="986"/>
      <c r="P1006" s="986"/>
      <c r="Q1006" s="986"/>
      <c r="R1006" s="986"/>
      <c r="S1006" s="986"/>
      <c r="T1006" s="986"/>
      <c r="U1006" s="986"/>
      <c r="V1006" s="986"/>
      <c r="W1006" s="986"/>
      <c r="X1006" s="986"/>
      <c r="Y1006" s="986"/>
      <c r="Z1006" s="986"/>
      <c r="AA1006" s="986"/>
      <c r="AB1006" s="986"/>
      <c r="AC1006" s="986"/>
      <c r="AD1006" s="986"/>
      <c r="AE1006" s="986"/>
      <c r="AF1006" s="986"/>
      <c r="AG1006" s="986"/>
      <c r="AH1006" s="986"/>
      <c r="AI1006" s="986"/>
      <c r="AJ1006" s="986"/>
      <c r="AK1006" s="98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6"/>
      <c r="E1007" s="986"/>
      <c r="F1007" s="986"/>
      <c r="G1007" s="986"/>
      <c r="H1007" s="986"/>
      <c r="I1007" s="986"/>
      <c r="J1007" s="986"/>
      <c r="K1007" s="986"/>
      <c r="L1007" s="986"/>
      <c r="M1007" s="986"/>
      <c r="N1007" s="986"/>
      <c r="O1007" s="986"/>
      <c r="P1007" s="986"/>
      <c r="Q1007" s="986"/>
      <c r="R1007" s="986"/>
      <c r="S1007" s="986"/>
      <c r="T1007" s="986"/>
      <c r="U1007" s="986"/>
      <c r="V1007" s="986"/>
      <c r="W1007" s="986"/>
      <c r="X1007" s="986"/>
      <c r="Y1007" s="986"/>
      <c r="Z1007" s="986"/>
      <c r="AA1007" s="986"/>
      <c r="AB1007" s="986"/>
      <c r="AC1007" s="986"/>
      <c r="AD1007" s="986"/>
      <c r="AE1007" s="986"/>
      <c r="AF1007" s="986"/>
      <c r="AG1007" s="986"/>
      <c r="AH1007" s="986"/>
      <c r="AI1007" s="986"/>
      <c r="AJ1007" s="986"/>
      <c r="AK1007" s="98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6"/>
      <c r="E1008" s="986"/>
      <c r="F1008" s="986"/>
      <c r="G1008" s="986"/>
      <c r="H1008" s="986"/>
      <c r="I1008" s="986"/>
      <c r="J1008" s="986"/>
      <c r="K1008" s="986"/>
      <c r="L1008" s="986"/>
      <c r="M1008" s="986"/>
      <c r="N1008" s="986"/>
      <c r="O1008" s="986"/>
      <c r="P1008" s="986"/>
      <c r="Q1008" s="986"/>
      <c r="R1008" s="986"/>
      <c r="S1008" s="986"/>
      <c r="T1008" s="986"/>
      <c r="U1008" s="986"/>
      <c r="V1008" s="986"/>
      <c r="W1008" s="986"/>
      <c r="X1008" s="986"/>
      <c r="Y1008" s="986"/>
      <c r="Z1008" s="986"/>
      <c r="AA1008" s="986"/>
      <c r="AB1008" s="986"/>
      <c r="AC1008" s="986"/>
      <c r="AD1008" s="986"/>
      <c r="AE1008" s="986"/>
      <c r="AF1008" s="986"/>
      <c r="AG1008" s="986"/>
      <c r="AH1008" s="986"/>
      <c r="AI1008" s="986"/>
      <c r="AJ1008" s="986"/>
      <c r="AK1008" s="98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6"/>
      <c r="E1009" s="986"/>
      <c r="F1009" s="986"/>
      <c r="G1009" s="986"/>
      <c r="H1009" s="986"/>
      <c r="I1009" s="986"/>
      <c r="J1009" s="986"/>
      <c r="K1009" s="986"/>
      <c r="L1009" s="986"/>
      <c r="M1009" s="986"/>
      <c r="N1009" s="986"/>
      <c r="O1009" s="986"/>
      <c r="P1009" s="986"/>
      <c r="Q1009" s="986"/>
      <c r="R1009" s="986"/>
      <c r="S1009" s="986"/>
      <c r="T1009" s="986"/>
      <c r="U1009" s="986"/>
      <c r="V1009" s="986"/>
      <c r="W1009" s="986"/>
      <c r="X1009" s="986"/>
      <c r="Y1009" s="986"/>
      <c r="Z1009" s="986"/>
      <c r="AA1009" s="986"/>
      <c r="AB1009" s="986"/>
      <c r="AC1009" s="986"/>
      <c r="AD1009" s="986"/>
      <c r="AE1009" s="986"/>
      <c r="AF1009" s="986"/>
      <c r="AG1009" s="986"/>
      <c r="AH1009" s="986"/>
      <c r="AI1009" s="986"/>
      <c r="AJ1009" s="986"/>
      <c r="AK1009" s="98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20" t="s">
        <v>132</v>
      </c>
      <c r="B1010" s="1120"/>
      <c r="C1010" s="12">
        <v>2</v>
      </c>
      <c r="D1010" s="980" t="s">
        <v>1589</v>
      </c>
      <c r="E1010" s="986"/>
      <c r="F1010" s="986"/>
      <c r="G1010" s="986"/>
      <c r="H1010" s="986"/>
      <c r="I1010" s="986"/>
      <c r="J1010" s="986"/>
      <c r="K1010" s="986"/>
      <c r="L1010" s="986"/>
      <c r="M1010" s="986"/>
      <c r="N1010" s="986"/>
      <c r="O1010" s="986"/>
      <c r="P1010" s="986"/>
      <c r="Q1010" s="986"/>
      <c r="R1010" s="986"/>
      <c r="S1010" s="986"/>
      <c r="T1010" s="986"/>
      <c r="U1010" s="986"/>
      <c r="V1010" s="986"/>
      <c r="W1010" s="986"/>
      <c r="X1010" s="986"/>
      <c r="Y1010" s="986"/>
      <c r="Z1010" s="986"/>
      <c r="AA1010" s="986"/>
      <c r="AB1010" s="986"/>
      <c r="AC1010" s="986"/>
      <c r="AD1010" s="986"/>
      <c r="AE1010" s="986"/>
      <c r="AF1010" s="986"/>
      <c r="AG1010" s="986"/>
      <c r="AH1010" s="986"/>
      <c r="AI1010" s="986"/>
      <c r="AJ1010" s="986"/>
      <c r="AK1010" s="98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6"/>
      <c r="E1011" s="986"/>
      <c r="F1011" s="986"/>
      <c r="G1011" s="986"/>
      <c r="H1011" s="986"/>
      <c r="I1011" s="986"/>
      <c r="J1011" s="986"/>
      <c r="K1011" s="986"/>
      <c r="L1011" s="986"/>
      <c r="M1011" s="986"/>
      <c r="N1011" s="986"/>
      <c r="O1011" s="986"/>
      <c r="P1011" s="986"/>
      <c r="Q1011" s="986"/>
      <c r="R1011" s="986"/>
      <c r="S1011" s="986"/>
      <c r="T1011" s="986"/>
      <c r="U1011" s="986"/>
      <c r="V1011" s="986"/>
      <c r="W1011" s="986"/>
      <c r="X1011" s="986"/>
      <c r="Y1011" s="986"/>
      <c r="Z1011" s="986"/>
      <c r="AA1011" s="986"/>
      <c r="AB1011" s="986"/>
      <c r="AC1011" s="986"/>
      <c r="AD1011" s="986"/>
      <c r="AE1011" s="986"/>
      <c r="AF1011" s="986"/>
      <c r="AG1011" s="986"/>
      <c r="AH1011" s="986"/>
      <c r="AI1011" s="986"/>
      <c r="AJ1011" s="986"/>
      <c r="AK1011" s="98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6"/>
      <c r="E1012" s="986"/>
      <c r="F1012" s="986"/>
      <c r="G1012" s="986"/>
      <c r="H1012" s="986"/>
      <c r="I1012" s="986"/>
      <c r="J1012" s="986"/>
      <c r="K1012" s="986"/>
      <c r="L1012" s="986"/>
      <c r="M1012" s="986"/>
      <c r="N1012" s="986"/>
      <c r="O1012" s="986"/>
      <c r="P1012" s="986"/>
      <c r="Q1012" s="986"/>
      <c r="R1012" s="986"/>
      <c r="S1012" s="986"/>
      <c r="T1012" s="986"/>
      <c r="U1012" s="986"/>
      <c r="V1012" s="986"/>
      <c r="W1012" s="986"/>
      <c r="X1012" s="986"/>
      <c r="Y1012" s="986"/>
      <c r="Z1012" s="986"/>
      <c r="AA1012" s="986"/>
      <c r="AB1012" s="986"/>
      <c r="AC1012" s="986"/>
      <c r="AD1012" s="986"/>
      <c r="AE1012" s="986"/>
      <c r="AF1012" s="986"/>
      <c r="AG1012" s="986"/>
      <c r="AH1012" s="986"/>
      <c r="AI1012" s="986"/>
      <c r="AJ1012" s="986"/>
      <c r="AK1012" s="98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6"/>
      <c r="E1013" s="986"/>
      <c r="F1013" s="986"/>
      <c r="G1013" s="986"/>
      <c r="H1013" s="986"/>
      <c r="I1013" s="986"/>
      <c r="J1013" s="986"/>
      <c r="K1013" s="986"/>
      <c r="L1013" s="986"/>
      <c r="M1013" s="986"/>
      <c r="N1013" s="986"/>
      <c r="O1013" s="986"/>
      <c r="P1013" s="986"/>
      <c r="Q1013" s="986"/>
      <c r="R1013" s="986"/>
      <c r="S1013" s="986"/>
      <c r="T1013" s="986"/>
      <c r="U1013" s="986"/>
      <c r="V1013" s="986"/>
      <c r="W1013" s="986"/>
      <c r="X1013" s="986"/>
      <c r="Y1013" s="986"/>
      <c r="Z1013" s="986"/>
      <c r="AA1013" s="986"/>
      <c r="AB1013" s="986"/>
      <c r="AC1013" s="986"/>
      <c r="AD1013" s="986"/>
      <c r="AE1013" s="986"/>
      <c r="AF1013" s="986"/>
      <c r="AG1013" s="986"/>
      <c r="AH1013" s="986"/>
      <c r="AI1013" s="986"/>
      <c r="AJ1013" s="986"/>
      <c r="AK1013" s="98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6"/>
      <c r="E1014" s="986"/>
      <c r="F1014" s="986"/>
      <c r="G1014" s="986"/>
      <c r="H1014" s="986"/>
      <c r="I1014" s="986"/>
      <c r="J1014" s="986"/>
      <c r="K1014" s="986"/>
      <c r="L1014" s="986"/>
      <c r="M1014" s="986"/>
      <c r="N1014" s="986"/>
      <c r="O1014" s="986"/>
      <c r="P1014" s="986"/>
      <c r="Q1014" s="986"/>
      <c r="R1014" s="986"/>
      <c r="S1014" s="986"/>
      <c r="T1014" s="986"/>
      <c r="U1014" s="986"/>
      <c r="V1014" s="986"/>
      <c r="W1014" s="986"/>
      <c r="X1014" s="986"/>
      <c r="Y1014" s="986"/>
      <c r="Z1014" s="986"/>
      <c r="AA1014" s="986"/>
      <c r="AB1014" s="986"/>
      <c r="AC1014" s="986"/>
      <c r="AD1014" s="986"/>
      <c r="AE1014" s="986"/>
      <c r="AF1014" s="986"/>
      <c r="AG1014" s="986"/>
      <c r="AH1014" s="986"/>
      <c r="AI1014" s="986"/>
      <c r="AJ1014" s="986"/>
      <c r="AK1014" s="98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6"/>
      <c r="E1015" s="986"/>
      <c r="F1015" s="986"/>
      <c r="G1015" s="986"/>
      <c r="H1015" s="986"/>
      <c r="I1015" s="986"/>
      <c r="J1015" s="986"/>
      <c r="K1015" s="986"/>
      <c r="L1015" s="986"/>
      <c r="M1015" s="986"/>
      <c r="N1015" s="986"/>
      <c r="O1015" s="986"/>
      <c r="P1015" s="986"/>
      <c r="Q1015" s="986"/>
      <c r="R1015" s="986"/>
      <c r="S1015" s="986"/>
      <c r="T1015" s="986"/>
      <c r="U1015" s="986"/>
      <c r="V1015" s="986"/>
      <c r="W1015" s="986"/>
      <c r="X1015" s="986"/>
      <c r="Y1015" s="986"/>
      <c r="Z1015" s="986"/>
      <c r="AA1015" s="986"/>
      <c r="AB1015" s="986"/>
      <c r="AC1015" s="986"/>
      <c r="AD1015" s="986"/>
      <c r="AE1015" s="986"/>
      <c r="AF1015" s="986"/>
      <c r="AG1015" s="986"/>
      <c r="AH1015" s="986"/>
      <c r="AI1015" s="986"/>
      <c r="AJ1015" s="986"/>
      <c r="AK1015" s="98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20" t="s">
        <v>132</v>
      </c>
      <c r="B1016" s="1120"/>
      <c r="C1016" s="12">
        <v>3</v>
      </c>
      <c r="D1016" s="980" t="s">
        <v>2350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986"/>
      <c r="AF1016" s="986"/>
      <c r="AG1016" s="986"/>
      <c r="AH1016" s="986"/>
      <c r="AI1016" s="986"/>
      <c r="AJ1016" s="986"/>
      <c r="AK1016" s="98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6"/>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986"/>
      <c r="AF1017" s="986"/>
      <c r="AG1017" s="986"/>
      <c r="AH1017" s="986"/>
      <c r="AI1017" s="986"/>
      <c r="AJ1017" s="986"/>
      <c r="AK1017" s="98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6"/>
      <c r="E1018" s="986"/>
      <c r="F1018" s="986"/>
      <c r="G1018" s="986"/>
      <c r="H1018" s="986"/>
      <c r="I1018" s="986"/>
      <c r="J1018" s="986"/>
      <c r="K1018" s="986"/>
      <c r="L1018" s="986"/>
      <c r="M1018" s="986"/>
      <c r="N1018" s="986"/>
      <c r="O1018" s="986"/>
      <c r="P1018" s="986"/>
      <c r="Q1018" s="986"/>
      <c r="R1018" s="986"/>
      <c r="S1018" s="986"/>
      <c r="T1018" s="986"/>
      <c r="U1018" s="986"/>
      <c r="V1018" s="986"/>
      <c r="W1018" s="986"/>
      <c r="X1018" s="986"/>
      <c r="Y1018" s="986"/>
      <c r="Z1018" s="986"/>
      <c r="AA1018" s="986"/>
      <c r="AB1018" s="986"/>
      <c r="AC1018" s="986"/>
      <c r="AD1018" s="986"/>
      <c r="AE1018" s="986"/>
      <c r="AF1018" s="986"/>
      <c r="AG1018" s="986"/>
      <c r="AH1018" s="986"/>
      <c r="AI1018" s="986"/>
      <c r="AJ1018" s="986"/>
      <c r="AK1018" s="98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6"/>
      <c r="E1019" s="986"/>
      <c r="F1019" s="986"/>
      <c r="G1019" s="986"/>
      <c r="H1019" s="986"/>
      <c r="I1019" s="986"/>
      <c r="J1019" s="986"/>
      <c r="K1019" s="986"/>
      <c r="L1019" s="986"/>
      <c r="M1019" s="986"/>
      <c r="N1019" s="986"/>
      <c r="O1019" s="986"/>
      <c r="P1019" s="986"/>
      <c r="Q1019" s="986"/>
      <c r="R1019" s="986"/>
      <c r="S1019" s="986"/>
      <c r="T1019" s="986"/>
      <c r="U1019" s="986"/>
      <c r="V1019" s="986"/>
      <c r="W1019" s="986"/>
      <c r="X1019" s="986"/>
      <c r="Y1019" s="986"/>
      <c r="Z1019" s="986"/>
      <c r="AA1019" s="986"/>
      <c r="AB1019" s="986"/>
      <c r="AC1019" s="986"/>
      <c r="AD1019" s="986"/>
      <c r="AE1019" s="986"/>
      <c r="AF1019" s="986"/>
      <c r="AG1019" s="986"/>
      <c r="AH1019" s="986"/>
      <c r="AI1019" s="986"/>
      <c r="AJ1019" s="986"/>
      <c r="AK1019" s="98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6"/>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986"/>
      <c r="AF1020" s="986"/>
      <c r="AG1020" s="986"/>
      <c r="AH1020" s="986"/>
      <c r="AI1020" s="986"/>
      <c r="AJ1020" s="986"/>
      <c r="AK1020" s="98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6"/>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986"/>
      <c r="AF1021" s="986"/>
      <c r="AG1021" s="986"/>
      <c r="AH1021" s="986"/>
      <c r="AI1021" s="986"/>
      <c r="AJ1021" s="986"/>
      <c r="AK1021" s="98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20" t="s">
        <v>132</v>
      </c>
      <c r="B1023" s="1120"/>
      <c r="C1023" s="12">
        <v>4</v>
      </c>
      <c r="D1023" s="980" t="s">
        <v>2147</v>
      </c>
      <c r="E1023" s="986"/>
      <c r="F1023" s="986"/>
      <c r="G1023" s="986"/>
      <c r="H1023" s="986"/>
      <c r="I1023" s="986"/>
      <c r="J1023" s="986"/>
      <c r="K1023" s="986"/>
      <c r="L1023" s="986"/>
      <c r="M1023" s="986"/>
      <c r="N1023" s="986"/>
      <c r="O1023" s="986"/>
      <c r="P1023" s="986"/>
      <c r="Q1023" s="986"/>
      <c r="R1023" s="986"/>
      <c r="S1023" s="986"/>
      <c r="T1023" s="986"/>
      <c r="U1023" s="986"/>
      <c r="V1023" s="986"/>
      <c r="W1023" s="986"/>
      <c r="X1023" s="986"/>
      <c r="Y1023" s="986"/>
      <c r="Z1023" s="986"/>
      <c r="AA1023" s="986"/>
      <c r="AB1023" s="986"/>
      <c r="AC1023" s="986"/>
      <c r="AD1023" s="986"/>
      <c r="AE1023" s="986"/>
      <c r="AF1023" s="986"/>
      <c r="AG1023" s="986"/>
      <c r="AH1023" s="986"/>
      <c r="AI1023" s="986"/>
      <c r="AJ1023" s="986"/>
      <c r="AK1023" s="98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6"/>
      <c r="E1024" s="986"/>
      <c r="F1024" s="986"/>
      <c r="G1024" s="986"/>
      <c r="H1024" s="986"/>
      <c r="I1024" s="986"/>
      <c r="J1024" s="986"/>
      <c r="K1024" s="986"/>
      <c r="L1024" s="986"/>
      <c r="M1024" s="986"/>
      <c r="N1024" s="986"/>
      <c r="O1024" s="986"/>
      <c r="P1024" s="986"/>
      <c r="Q1024" s="986"/>
      <c r="R1024" s="986"/>
      <c r="S1024" s="986"/>
      <c r="T1024" s="986"/>
      <c r="U1024" s="986"/>
      <c r="V1024" s="986"/>
      <c r="W1024" s="986"/>
      <c r="X1024" s="986"/>
      <c r="Y1024" s="986"/>
      <c r="Z1024" s="986"/>
      <c r="AA1024" s="986"/>
      <c r="AB1024" s="986"/>
      <c r="AC1024" s="986"/>
      <c r="AD1024" s="986"/>
      <c r="AE1024" s="986"/>
      <c r="AF1024" s="986"/>
      <c r="AG1024" s="986"/>
      <c r="AH1024" s="986"/>
      <c r="AI1024" s="986"/>
      <c r="AJ1024" s="986"/>
      <c r="AK1024" s="98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6"/>
      <c r="E1025" s="986"/>
      <c r="F1025" s="986"/>
      <c r="G1025" s="986"/>
      <c r="H1025" s="986"/>
      <c r="I1025" s="986"/>
      <c r="J1025" s="986"/>
      <c r="K1025" s="986"/>
      <c r="L1025" s="986"/>
      <c r="M1025" s="986"/>
      <c r="N1025" s="986"/>
      <c r="O1025" s="986"/>
      <c r="P1025" s="986"/>
      <c r="Q1025" s="986"/>
      <c r="R1025" s="986"/>
      <c r="S1025" s="986"/>
      <c r="T1025" s="986"/>
      <c r="U1025" s="986"/>
      <c r="V1025" s="986"/>
      <c r="W1025" s="986"/>
      <c r="X1025" s="986"/>
      <c r="Y1025" s="986"/>
      <c r="Z1025" s="986"/>
      <c r="AA1025" s="986"/>
      <c r="AB1025" s="986"/>
      <c r="AC1025" s="986"/>
      <c r="AD1025" s="986"/>
      <c r="AE1025" s="986"/>
      <c r="AF1025" s="986"/>
      <c r="AG1025" s="986"/>
      <c r="AH1025" s="986"/>
      <c r="AI1025" s="986"/>
      <c r="AJ1025" s="986"/>
      <c r="AK1025" s="98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20" t="s">
        <v>132</v>
      </c>
      <c r="B1026" s="1120"/>
      <c r="C1026" s="12">
        <v>5</v>
      </c>
      <c r="D1026" s="980" t="s">
        <v>1797</v>
      </c>
      <c r="E1026" s="986"/>
      <c r="F1026" s="986"/>
      <c r="G1026" s="986"/>
      <c r="H1026" s="986"/>
      <c r="I1026" s="986"/>
      <c r="J1026" s="986"/>
      <c r="K1026" s="986"/>
      <c r="L1026" s="986"/>
      <c r="M1026" s="986"/>
      <c r="N1026" s="986"/>
      <c r="O1026" s="986"/>
      <c r="P1026" s="986"/>
      <c r="Q1026" s="986"/>
      <c r="R1026" s="986"/>
      <c r="S1026" s="986"/>
      <c r="T1026" s="986"/>
      <c r="U1026" s="986"/>
      <c r="V1026" s="986"/>
      <c r="W1026" s="986"/>
      <c r="X1026" s="986"/>
      <c r="Y1026" s="986"/>
      <c r="Z1026" s="986"/>
      <c r="AA1026" s="986"/>
      <c r="AB1026" s="986"/>
      <c r="AC1026" s="986"/>
      <c r="AD1026" s="986"/>
      <c r="AE1026" s="986"/>
      <c r="AF1026" s="986"/>
      <c r="AG1026" s="986"/>
      <c r="AH1026" s="986"/>
      <c r="AI1026" s="986"/>
      <c r="AJ1026" s="986"/>
      <c r="AK1026" s="98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6"/>
      <c r="E1027" s="986"/>
      <c r="F1027" s="986"/>
      <c r="G1027" s="986"/>
      <c r="H1027" s="986"/>
      <c r="I1027" s="986"/>
      <c r="J1027" s="986"/>
      <c r="K1027" s="986"/>
      <c r="L1027" s="986"/>
      <c r="M1027" s="986"/>
      <c r="N1027" s="986"/>
      <c r="O1027" s="986"/>
      <c r="P1027" s="986"/>
      <c r="Q1027" s="986"/>
      <c r="R1027" s="986"/>
      <c r="S1027" s="986"/>
      <c r="T1027" s="986"/>
      <c r="U1027" s="986"/>
      <c r="V1027" s="986"/>
      <c r="W1027" s="986"/>
      <c r="X1027" s="986"/>
      <c r="Y1027" s="986"/>
      <c r="Z1027" s="986"/>
      <c r="AA1027" s="986"/>
      <c r="AB1027" s="986"/>
      <c r="AC1027" s="986"/>
      <c r="AD1027" s="986"/>
      <c r="AE1027" s="986"/>
      <c r="AF1027" s="986"/>
      <c r="AG1027" s="986"/>
      <c r="AH1027" s="986"/>
      <c r="AI1027" s="986"/>
      <c r="AJ1027" s="986"/>
      <c r="AK1027" s="98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6"/>
      <c r="E1028" s="986"/>
      <c r="F1028" s="986"/>
      <c r="G1028" s="986"/>
      <c r="H1028" s="986"/>
      <c r="I1028" s="986"/>
      <c r="J1028" s="986"/>
      <c r="K1028" s="986"/>
      <c r="L1028" s="986"/>
      <c r="M1028" s="986"/>
      <c r="N1028" s="986"/>
      <c r="O1028" s="986"/>
      <c r="P1028" s="986"/>
      <c r="Q1028" s="986"/>
      <c r="R1028" s="986"/>
      <c r="S1028" s="986"/>
      <c r="T1028" s="986"/>
      <c r="U1028" s="986"/>
      <c r="V1028" s="986"/>
      <c r="W1028" s="986"/>
      <c r="X1028" s="986"/>
      <c r="Y1028" s="986"/>
      <c r="Z1028" s="986"/>
      <c r="AA1028" s="986"/>
      <c r="AB1028" s="986"/>
      <c r="AC1028" s="986"/>
      <c r="AD1028" s="986"/>
      <c r="AE1028" s="986"/>
      <c r="AF1028" s="986"/>
      <c r="AG1028" s="986"/>
      <c r="AH1028" s="986"/>
      <c r="AI1028" s="986"/>
      <c r="AJ1028" s="986"/>
      <c r="AK1028" s="98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6"/>
      <c r="E1029" s="986"/>
      <c r="F1029" s="986"/>
      <c r="G1029" s="986"/>
      <c r="H1029" s="986"/>
      <c r="I1029" s="986"/>
      <c r="J1029" s="986"/>
      <c r="K1029" s="986"/>
      <c r="L1029" s="986"/>
      <c r="M1029" s="986"/>
      <c r="N1029" s="986"/>
      <c r="O1029" s="986"/>
      <c r="P1029" s="986"/>
      <c r="Q1029" s="986"/>
      <c r="R1029" s="986"/>
      <c r="S1029" s="986"/>
      <c r="T1029" s="986"/>
      <c r="U1029" s="986"/>
      <c r="V1029" s="986"/>
      <c r="W1029" s="986"/>
      <c r="X1029" s="986"/>
      <c r="Y1029" s="986"/>
      <c r="Z1029" s="986"/>
      <c r="AA1029" s="986"/>
      <c r="AB1029" s="986"/>
      <c r="AC1029" s="986"/>
      <c r="AD1029" s="986"/>
      <c r="AE1029" s="986"/>
      <c r="AF1029" s="986"/>
      <c r="AG1029" s="986"/>
      <c r="AH1029" s="986"/>
      <c r="AI1029" s="986"/>
      <c r="AJ1029" s="986"/>
      <c r="AK1029" s="98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6"/>
      <c r="E1030" s="986"/>
      <c r="F1030" s="986"/>
      <c r="G1030" s="986"/>
      <c r="H1030" s="986"/>
      <c r="I1030" s="986"/>
      <c r="J1030" s="986"/>
      <c r="K1030" s="986"/>
      <c r="L1030" s="986"/>
      <c r="M1030" s="986"/>
      <c r="N1030" s="986"/>
      <c r="O1030" s="986"/>
      <c r="P1030" s="986"/>
      <c r="Q1030" s="986"/>
      <c r="R1030" s="986"/>
      <c r="S1030" s="986"/>
      <c r="T1030" s="986"/>
      <c r="U1030" s="986"/>
      <c r="V1030" s="986"/>
      <c r="W1030" s="986"/>
      <c r="X1030" s="986"/>
      <c r="Y1030" s="986"/>
      <c r="Z1030" s="986"/>
      <c r="AA1030" s="986"/>
      <c r="AB1030" s="986"/>
      <c r="AC1030" s="986"/>
      <c r="AD1030" s="986"/>
      <c r="AE1030" s="986"/>
      <c r="AF1030" s="986"/>
      <c r="AG1030" s="986"/>
      <c r="AH1030" s="986"/>
      <c r="AI1030" s="986"/>
      <c r="AJ1030" s="986"/>
      <c r="AK1030" s="98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20" t="s">
        <v>132</v>
      </c>
      <c r="B1031" s="1120"/>
      <c r="C1031" s="12">
        <v>6</v>
      </c>
      <c r="D1031" s="986" t="s">
        <v>1590</v>
      </c>
      <c r="E1031" s="986"/>
      <c r="F1031" s="986"/>
      <c r="G1031" s="986"/>
      <c r="H1031" s="986"/>
      <c r="I1031" s="986"/>
      <c r="J1031" s="986"/>
      <c r="K1031" s="986"/>
      <c r="L1031" s="986"/>
      <c r="M1031" s="986"/>
      <c r="N1031" s="986"/>
      <c r="O1031" s="986"/>
      <c r="P1031" s="986"/>
      <c r="Q1031" s="986"/>
      <c r="R1031" s="986"/>
      <c r="S1031" s="986"/>
      <c r="T1031" s="986"/>
      <c r="U1031" s="986"/>
      <c r="V1031" s="986"/>
      <c r="W1031" s="986"/>
      <c r="X1031" s="986"/>
      <c r="Y1031" s="986"/>
      <c r="Z1031" s="986"/>
      <c r="AA1031" s="986"/>
      <c r="AB1031" s="986"/>
      <c r="AC1031" s="986"/>
      <c r="AD1031" s="986"/>
      <c r="AE1031" s="986"/>
      <c r="AF1031" s="986"/>
      <c r="AG1031" s="986"/>
      <c r="AH1031" s="986"/>
      <c r="AI1031" s="986"/>
      <c r="AJ1031" s="986"/>
      <c r="AK1031" s="98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6"/>
      <c r="E1032" s="986"/>
      <c r="F1032" s="986"/>
      <c r="G1032" s="986"/>
      <c r="H1032" s="986"/>
      <c r="I1032" s="986"/>
      <c r="J1032" s="986"/>
      <c r="K1032" s="986"/>
      <c r="L1032" s="986"/>
      <c r="M1032" s="986"/>
      <c r="N1032" s="986"/>
      <c r="O1032" s="986"/>
      <c r="P1032" s="986"/>
      <c r="Q1032" s="986"/>
      <c r="R1032" s="986"/>
      <c r="S1032" s="986"/>
      <c r="T1032" s="986"/>
      <c r="U1032" s="986"/>
      <c r="V1032" s="986"/>
      <c r="W1032" s="986"/>
      <c r="X1032" s="986"/>
      <c r="Y1032" s="986"/>
      <c r="Z1032" s="986"/>
      <c r="AA1032" s="986"/>
      <c r="AB1032" s="986"/>
      <c r="AC1032" s="986"/>
      <c r="AD1032" s="986"/>
      <c r="AE1032" s="986"/>
      <c r="AF1032" s="986"/>
      <c r="AG1032" s="986"/>
      <c r="AH1032" s="986"/>
      <c r="AI1032" s="986"/>
      <c r="AJ1032" s="986"/>
      <c r="AK1032" s="98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6"/>
      <c r="E1033" s="986"/>
      <c r="F1033" s="986"/>
      <c r="G1033" s="986"/>
      <c r="H1033" s="986"/>
      <c r="I1033" s="986"/>
      <c r="J1033" s="986"/>
      <c r="K1033" s="986"/>
      <c r="L1033" s="986"/>
      <c r="M1033" s="986"/>
      <c r="N1033" s="986"/>
      <c r="O1033" s="986"/>
      <c r="P1033" s="986"/>
      <c r="Q1033" s="986"/>
      <c r="R1033" s="986"/>
      <c r="S1033" s="986"/>
      <c r="T1033" s="986"/>
      <c r="U1033" s="986"/>
      <c r="V1033" s="986"/>
      <c r="W1033" s="986"/>
      <c r="X1033" s="986"/>
      <c r="Y1033" s="986"/>
      <c r="Z1033" s="986"/>
      <c r="AA1033" s="986"/>
      <c r="AB1033" s="986"/>
      <c r="AC1033" s="986"/>
      <c r="AD1033" s="986"/>
      <c r="AE1033" s="986"/>
      <c r="AF1033" s="986"/>
      <c r="AG1033" s="986"/>
      <c r="AH1033" s="986"/>
      <c r="AI1033" s="986"/>
      <c r="AJ1033" s="986"/>
      <c r="AK1033" s="98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20" t="s">
        <v>132</v>
      </c>
      <c r="B1034" s="1120"/>
      <c r="C1034" s="352">
        <v>7</v>
      </c>
      <c r="D1034" s="986" t="s">
        <v>1592</v>
      </c>
      <c r="E1034" s="986"/>
      <c r="F1034" s="986"/>
      <c r="G1034" s="986"/>
      <c r="H1034" s="986"/>
      <c r="I1034" s="986"/>
      <c r="J1034" s="986"/>
      <c r="K1034" s="986"/>
      <c r="L1034" s="986"/>
      <c r="M1034" s="986"/>
      <c r="N1034" s="986"/>
      <c r="O1034" s="986"/>
      <c r="P1034" s="986"/>
      <c r="Q1034" s="986"/>
      <c r="R1034" s="986"/>
      <c r="S1034" s="986"/>
      <c r="T1034" s="986"/>
      <c r="U1034" s="986"/>
      <c r="V1034" s="986"/>
      <c r="W1034" s="986"/>
      <c r="X1034" s="986"/>
      <c r="Y1034" s="986"/>
      <c r="Z1034" s="986"/>
      <c r="AA1034" s="986"/>
      <c r="AB1034" s="986"/>
      <c r="AC1034" s="986"/>
      <c r="AD1034" s="986"/>
      <c r="AE1034" s="986"/>
      <c r="AF1034" s="986"/>
      <c r="AG1034" s="986"/>
      <c r="AH1034" s="986"/>
      <c r="AI1034" s="986"/>
      <c r="AJ1034" s="986"/>
      <c r="AK1034" s="98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6"/>
      <c r="E1035" s="986"/>
      <c r="F1035" s="986"/>
      <c r="G1035" s="986"/>
      <c r="H1035" s="986"/>
      <c r="I1035" s="986"/>
      <c r="J1035" s="986"/>
      <c r="K1035" s="986"/>
      <c r="L1035" s="986"/>
      <c r="M1035" s="986"/>
      <c r="N1035" s="986"/>
      <c r="O1035" s="986"/>
      <c r="P1035" s="986"/>
      <c r="Q1035" s="986"/>
      <c r="R1035" s="986"/>
      <c r="S1035" s="986"/>
      <c r="T1035" s="986"/>
      <c r="U1035" s="986"/>
      <c r="V1035" s="986"/>
      <c r="W1035" s="986"/>
      <c r="X1035" s="986"/>
      <c r="Y1035" s="986"/>
      <c r="Z1035" s="986"/>
      <c r="AA1035" s="986"/>
      <c r="AB1035" s="986"/>
      <c r="AC1035" s="986"/>
      <c r="AD1035" s="986"/>
      <c r="AE1035" s="986"/>
      <c r="AF1035" s="986"/>
      <c r="AG1035" s="986"/>
      <c r="AH1035" s="986"/>
      <c r="AI1035" s="986"/>
      <c r="AJ1035" s="986"/>
      <c r="AK1035" s="98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6"/>
      <c r="E1036" s="986"/>
      <c r="F1036" s="986"/>
      <c r="G1036" s="986"/>
      <c r="H1036" s="986"/>
      <c r="I1036" s="986"/>
      <c r="J1036" s="986"/>
      <c r="K1036" s="986"/>
      <c r="L1036" s="986"/>
      <c r="M1036" s="986"/>
      <c r="N1036" s="986"/>
      <c r="O1036" s="986"/>
      <c r="P1036" s="986"/>
      <c r="Q1036" s="986"/>
      <c r="R1036" s="986"/>
      <c r="S1036" s="986"/>
      <c r="T1036" s="986"/>
      <c r="U1036" s="986"/>
      <c r="V1036" s="986"/>
      <c r="W1036" s="986"/>
      <c r="X1036" s="986"/>
      <c r="Y1036" s="986"/>
      <c r="Z1036" s="986"/>
      <c r="AA1036" s="986"/>
      <c r="AB1036" s="986"/>
      <c r="AC1036" s="986"/>
      <c r="AD1036" s="986"/>
      <c r="AE1036" s="986"/>
      <c r="AF1036" s="986"/>
      <c r="AG1036" s="986"/>
      <c r="AH1036" s="986"/>
      <c r="AI1036" s="986"/>
      <c r="AJ1036" s="986"/>
      <c r="AK1036" s="98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6"/>
      <c r="E1037" s="986"/>
      <c r="F1037" s="986"/>
      <c r="G1037" s="986"/>
      <c r="H1037" s="986"/>
      <c r="I1037" s="986"/>
      <c r="J1037" s="986"/>
      <c r="K1037" s="986"/>
      <c r="L1037" s="986"/>
      <c r="M1037" s="986"/>
      <c r="N1037" s="986"/>
      <c r="O1037" s="986"/>
      <c r="P1037" s="986"/>
      <c r="Q1037" s="986"/>
      <c r="R1037" s="986"/>
      <c r="S1037" s="986"/>
      <c r="T1037" s="986"/>
      <c r="U1037" s="986"/>
      <c r="V1037" s="986"/>
      <c r="W1037" s="986"/>
      <c r="X1037" s="986"/>
      <c r="Y1037" s="986"/>
      <c r="Z1037" s="986"/>
      <c r="AA1037" s="986"/>
      <c r="AB1037" s="986"/>
      <c r="AC1037" s="986"/>
      <c r="AD1037" s="986"/>
      <c r="AE1037" s="986"/>
      <c r="AF1037" s="986"/>
      <c r="AG1037" s="986"/>
      <c r="AH1037" s="986"/>
      <c r="AI1037" s="986"/>
      <c r="AJ1037" s="986"/>
      <c r="AK1037" s="98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20" t="s">
        <v>132</v>
      </c>
      <c r="B1038" s="1120"/>
      <c r="C1038" s="352">
        <v>8</v>
      </c>
      <c r="D1038" s="980" t="s">
        <v>2117</v>
      </c>
      <c r="E1038" s="986"/>
      <c r="F1038" s="986"/>
      <c r="G1038" s="986"/>
      <c r="H1038" s="986"/>
      <c r="I1038" s="986"/>
      <c r="J1038" s="986"/>
      <c r="K1038" s="986"/>
      <c r="L1038" s="986"/>
      <c r="M1038" s="986"/>
      <c r="N1038" s="986"/>
      <c r="O1038" s="986"/>
      <c r="P1038" s="986"/>
      <c r="Q1038" s="986"/>
      <c r="R1038" s="986"/>
      <c r="S1038" s="986"/>
      <c r="T1038" s="986"/>
      <c r="U1038" s="986"/>
      <c r="V1038" s="986"/>
      <c r="W1038" s="986"/>
      <c r="X1038" s="986"/>
      <c r="Y1038" s="986"/>
      <c r="Z1038" s="986"/>
      <c r="AA1038" s="986"/>
      <c r="AB1038" s="986"/>
      <c r="AC1038" s="986"/>
      <c r="AD1038" s="986"/>
      <c r="AE1038" s="986"/>
      <c r="AF1038" s="986"/>
      <c r="AG1038" s="986"/>
      <c r="AH1038" s="986"/>
      <c r="AI1038" s="986"/>
      <c r="AJ1038" s="986"/>
      <c r="AK1038" s="986"/>
    </row>
    <row r="1039" spans="1:97" ht="12.95" customHeight="1">
      <c r="A1039" s="1"/>
      <c r="B1039" s="1"/>
      <c r="C1039" s="352"/>
      <c r="D1039" s="986"/>
      <c r="E1039" s="986"/>
      <c r="F1039" s="986"/>
      <c r="G1039" s="986"/>
      <c r="H1039" s="986"/>
      <c r="I1039" s="986"/>
      <c r="J1039" s="986"/>
      <c r="K1039" s="986"/>
      <c r="L1039" s="986"/>
      <c r="M1039" s="986"/>
      <c r="N1039" s="986"/>
      <c r="O1039" s="986"/>
      <c r="P1039" s="986"/>
      <c r="Q1039" s="986"/>
      <c r="R1039" s="986"/>
      <c r="S1039" s="986"/>
      <c r="T1039" s="986"/>
      <c r="U1039" s="986"/>
      <c r="V1039" s="986"/>
      <c r="W1039" s="986"/>
      <c r="X1039" s="986"/>
      <c r="Y1039" s="986"/>
      <c r="Z1039" s="986"/>
      <c r="AA1039" s="986"/>
      <c r="AB1039" s="986"/>
      <c r="AC1039" s="986"/>
      <c r="AD1039" s="986"/>
      <c r="AE1039" s="986"/>
      <c r="AF1039" s="986"/>
      <c r="AG1039" s="986"/>
      <c r="AH1039" s="986"/>
      <c r="AI1039" s="986"/>
      <c r="AJ1039" s="986"/>
      <c r="AK1039" s="986"/>
    </row>
    <row r="1040" spans="1:97" ht="12.95" customHeight="1">
      <c r="A1040" s="1"/>
      <c r="B1040" s="1"/>
      <c r="C1040" s="352"/>
      <c r="D1040" s="986"/>
      <c r="E1040" s="986"/>
      <c r="F1040" s="986"/>
      <c r="G1040" s="986"/>
      <c r="H1040" s="986"/>
      <c r="I1040" s="986"/>
      <c r="J1040" s="986"/>
      <c r="K1040" s="986"/>
      <c r="L1040" s="986"/>
      <c r="M1040" s="986"/>
      <c r="N1040" s="986"/>
      <c r="O1040" s="986"/>
      <c r="P1040" s="986"/>
      <c r="Q1040" s="986"/>
      <c r="R1040" s="986"/>
      <c r="S1040" s="986"/>
      <c r="T1040" s="986"/>
      <c r="U1040" s="986"/>
      <c r="V1040" s="986"/>
      <c r="W1040" s="986"/>
      <c r="X1040" s="986"/>
      <c r="Y1040" s="986"/>
      <c r="Z1040" s="986"/>
      <c r="AA1040" s="986"/>
      <c r="AB1040" s="986"/>
      <c r="AC1040" s="986"/>
      <c r="AD1040" s="986"/>
      <c r="AE1040" s="986"/>
      <c r="AF1040" s="986"/>
      <c r="AG1040" s="986"/>
      <c r="AH1040" s="986"/>
      <c r="AI1040" s="986"/>
      <c r="AJ1040" s="986"/>
      <c r="AK1040" s="986"/>
    </row>
    <row r="1041" spans="1:38" ht="12.95" customHeight="1">
      <c r="A1041" s="44"/>
      <c r="B1041" s="32"/>
      <c r="C1041" s="352"/>
      <c r="D1041" s="986"/>
      <c r="E1041" s="986"/>
      <c r="F1041" s="986"/>
      <c r="G1041" s="986"/>
      <c r="H1041" s="986"/>
      <c r="I1041" s="986"/>
      <c r="J1041" s="986"/>
      <c r="K1041" s="986"/>
      <c r="L1041" s="986"/>
      <c r="M1041" s="986"/>
      <c r="N1041" s="986"/>
      <c r="O1041" s="986"/>
      <c r="P1041" s="986"/>
      <c r="Q1041" s="986"/>
      <c r="R1041" s="986"/>
      <c r="S1041" s="986"/>
      <c r="T1041" s="986"/>
      <c r="U1041" s="986"/>
      <c r="V1041" s="986"/>
      <c r="W1041" s="986"/>
      <c r="X1041" s="986"/>
      <c r="Y1041" s="986"/>
      <c r="Z1041" s="986"/>
      <c r="AA1041" s="986"/>
      <c r="AB1041" s="986"/>
      <c r="AC1041" s="986"/>
      <c r="AD1041" s="986"/>
      <c r="AE1041" s="986"/>
      <c r="AF1041" s="986"/>
      <c r="AG1041" s="986"/>
      <c r="AH1041" s="986"/>
      <c r="AI1041" s="986"/>
      <c r="AJ1041" s="986"/>
      <c r="AK1041" s="986"/>
    </row>
    <row r="1042" spans="1:38" ht="12.95" customHeight="1">
      <c r="A1042" s="1147" t="s">
        <v>132</v>
      </c>
      <c r="B1042" s="1147"/>
      <c r="C1042" s="352">
        <v>9</v>
      </c>
      <c r="D1042" s="980" t="s">
        <v>1591</v>
      </c>
      <c r="E1042" s="986"/>
      <c r="F1042" s="986"/>
      <c r="G1042" s="986"/>
      <c r="H1042" s="986"/>
      <c r="I1042" s="986"/>
      <c r="J1042" s="986"/>
      <c r="K1042" s="986"/>
      <c r="L1042" s="986"/>
      <c r="M1042" s="986"/>
      <c r="N1042" s="986"/>
      <c r="O1042" s="986"/>
      <c r="P1042" s="986"/>
      <c r="Q1042" s="986"/>
      <c r="R1042" s="986"/>
      <c r="S1042" s="986"/>
      <c r="T1042" s="986"/>
      <c r="U1042" s="986"/>
      <c r="V1042" s="986"/>
      <c r="W1042" s="986"/>
      <c r="X1042" s="986"/>
      <c r="Y1042" s="986"/>
      <c r="Z1042" s="986"/>
      <c r="AA1042" s="986"/>
      <c r="AB1042" s="986"/>
      <c r="AC1042" s="986"/>
      <c r="AD1042" s="986"/>
      <c r="AE1042" s="986"/>
      <c r="AF1042" s="986"/>
      <c r="AG1042" s="986"/>
      <c r="AH1042" s="986"/>
      <c r="AI1042" s="986"/>
      <c r="AJ1042" s="986"/>
      <c r="AK1042" s="986"/>
    </row>
    <row r="1043" spans="1:38" ht="12.95" customHeight="1">
      <c r="A1043" s="44"/>
      <c r="B1043" s="32"/>
      <c r="C1043" s="352"/>
      <c r="D1043" s="986"/>
      <c r="E1043" s="986"/>
      <c r="F1043" s="986"/>
      <c r="G1043" s="986"/>
      <c r="H1043" s="986"/>
      <c r="I1043" s="986"/>
      <c r="J1043" s="986"/>
      <c r="K1043" s="986"/>
      <c r="L1043" s="986"/>
      <c r="M1043" s="986"/>
      <c r="N1043" s="986"/>
      <c r="O1043" s="986"/>
      <c r="P1043" s="986"/>
      <c r="Q1043" s="986"/>
      <c r="R1043" s="986"/>
      <c r="S1043" s="986"/>
      <c r="T1043" s="986"/>
      <c r="U1043" s="986"/>
      <c r="V1043" s="986"/>
      <c r="W1043" s="986"/>
      <c r="X1043" s="986"/>
      <c r="Y1043" s="986"/>
      <c r="Z1043" s="986"/>
      <c r="AA1043" s="986"/>
      <c r="AB1043" s="986"/>
      <c r="AC1043" s="986"/>
      <c r="AD1043" s="986"/>
      <c r="AE1043" s="986"/>
      <c r="AF1043" s="986"/>
      <c r="AG1043" s="986"/>
      <c r="AH1043" s="986"/>
      <c r="AI1043" s="986"/>
      <c r="AJ1043" s="986"/>
      <c r="AK1043" s="986"/>
    </row>
    <row r="1044" spans="1:38" ht="12.95" customHeight="1">
      <c r="D1044" s="986"/>
      <c r="E1044" s="986"/>
      <c r="F1044" s="986"/>
      <c r="G1044" s="986"/>
      <c r="H1044" s="986"/>
      <c r="I1044" s="986"/>
      <c r="J1044" s="986"/>
      <c r="K1044" s="986"/>
      <c r="L1044" s="986"/>
      <c r="M1044" s="986"/>
      <c r="N1044" s="986"/>
      <c r="O1044" s="986"/>
      <c r="P1044" s="986"/>
      <c r="Q1044" s="986"/>
      <c r="R1044" s="986"/>
      <c r="S1044" s="986"/>
      <c r="T1044" s="986"/>
      <c r="U1044" s="986"/>
      <c r="V1044" s="986"/>
      <c r="W1044" s="986"/>
      <c r="X1044" s="986"/>
      <c r="Y1044" s="986"/>
      <c r="Z1044" s="986"/>
      <c r="AA1044" s="986"/>
      <c r="AB1044" s="986"/>
      <c r="AC1044" s="986"/>
      <c r="AD1044" s="986"/>
      <c r="AE1044" s="986"/>
      <c r="AF1044" s="986"/>
      <c r="AG1044" s="986"/>
      <c r="AH1044" s="986"/>
      <c r="AI1044" s="986"/>
      <c r="AJ1044" s="986"/>
      <c r="AK1044" s="986"/>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64" priority="39" stopIfTrue="1" operator="equal">
      <formula>"Please Enter Amount:"</formula>
    </cfRule>
  </conditionalFormatting>
  <conditionalFormatting sqref="B999 B997">
    <cfRule type="cellIs" dxfId="163" priority="44" stopIfTrue="1" operator="equal">
      <formula>#N/A</formula>
    </cfRule>
  </conditionalFormatting>
  <conditionalFormatting sqref="AG434:AJ434">
    <cfRule type="expression" dxfId="162" priority="46" stopIfTrue="1">
      <formula>"iserror(d31)"</formula>
    </cfRule>
  </conditionalFormatting>
  <conditionalFormatting sqref="AF964">
    <cfRule type="cellIs" dxfId="161" priority="40" stopIfTrue="1" operator="equal">
      <formula>"Please Enter Amount:"</formula>
    </cfRule>
  </conditionalFormatting>
  <conditionalFormatting sqref="AF969">
    <cfRule type="cellIs" dxfId="160" priority="38" stopIfTrue="1" operator="equal">
      <formula>"Please Enter Amount:"</formula>
    </cfRule>
  </conditionalFormatting>
  <conditionalFormatting sqref="E215:AA215">
    <cfRule type="expression" dxfId="159" priority="37">
      <formula>NOT($D$214="Special Needs")</formula>
    </cfRule>
  </conditionalFormatting>
  <conditionalFormatting sqref="AC215:AG215">
    <cfRule type="expression" dxfId="158" priority="36">
      <formula>NOT($D$214="Special Needs")</formula>
    </cfRule>
  </conditionalFormatting>
  <conditionalFormatting sqref="E216:AI216">
    <cfRule type="expression" dxfId="157" priority="35">
      <formula>AND($AC$215&gt;0,$AF$215&lt;75%)</formula>
    </cfRule>
  </conditionalFormatting>
  <conditionalFormatting sqref="E217:AA217">
    <cfRule type="expression" dxfId="156" priority="34">
      <formula>AND($AC$215&gt;0,$AF$215&lt;75%)</formula>
    </cfRule>
  </conditionalFormatting>
  <conditionalFormatting sqref="AC218:AN218">
    <cfRule type="expression" dxfId="155" priority="33">
      <formula>NOT(OR($D$214="Seniors",$E$217="Seniors"))</formula>
    </cfRule>
  </conditionalFormatting>
  <conditionalFormatting sqref="E218">
    <cfRule type="expression" dxfId="154" priority="32">
      <formula>NOT(OR($D$214="Seniors",$E$217="Seniors"))</formula>
    </cfRule>
  </conditionalFormatting>
  <conditionalFormatting sqref="E219">
    <cfRule type="expression" dxfId="153" priority="31">
      <formula>NOT($D$214="At-Risk")</formula>
    </cfRule>
  </conditionalFormatting>
  <conditionalFormatting sqref="AC219:AN219">
    <cfRule type="expression" dxfId="152" priority="30">
      <formula>NOT($D$214="At-Risk")</formula>
    </cfRule>
  </conditionalFormatting>
  <conditionalFormatting sqref="L501:AB501">
    <cfRule type="expression" dxfId="151" priority="29">
      <formula>AND(NOT(AC501="N/A"),AH501&lt;&gt;"",OR(L501="(specify here)",L501=""))</formula>
    </cfRule>
  </conditionalFormatting>
  <conditionalFormatting sqref="O512:AA512">
    <cfRule type="expression" dxfId="150" priority="28">
      <formula>AND(OR(AND(NOT(AC512="N/A"),AH512&lt;&gt;""),AND(NOT(AC513="N/A"),AH513&lt;&gt;""),AND(NOT(AC514="N/A"),AH514&lt;&gt;"")),OR(O512="(specify here)",O512=""))</formula>
    </cfRule>
  </conditionalFormatting>
  <conditionalFormatting sqref="P780:Y780">
    <cfRule type="expression" dxfId="149" priority="22">
      <formula>AND(Z780&lt;&gt;"",OR(P780="(specify here)",P780=""))</formula>
    </cfRule>
  </conditionalFormatting>
  <conditionalFormatting sqref="F795:L795">
    <cfRule type="expression" dxfId="148" priority="21">
      <formula>AND(OR(M795&lt;&gt;"",$Q$795&lt;&gt;"",$U$795&lt;&gt;"",$Y$795&lt;&gt;"",$AC$795&lt;&gt;"",$AG$795&lt;&gt;""),OR(F795="(specify here)",F795=""))</formula>
    </cfRule>
  </conditionalFormatting>
  <conditionalFormatting sqref="M810:V810">
    <cfRule type="expression" dxfId="147" priority="20">
      <formula>AND(W810&lt;&gt;"",OR(M810="(specify here)",M810=""))</formula>
    </cfRule>
  </conditionalFormatting>
  <conditionalFormatting sqref="M825:V825">
    <cfRule type="expression" dxfId="146" priority="19">
      <formula>AND(W825&lt;&gt;"",OR(M825="(specify here)",M825=""))</formula>
    </cfRule>
  </conditionalFormatting>
  <conditionalFormatting sqref="M835:V835">
    <cfRule type="expression" dxfId="145" priority="18">
      <formula>AND(W835&lt;&gt;"",OR(M835="(specify here)",M835=""))</formula>
    </cfRule>
  </conditionalFormatting>
  <conditionalFormatting sqref="M838:V842">
    <cfRule type="expression" dxfId="144" priority="17">
      <formula>AND(W838&lt;&gt;"",OR(M838="(specify here)",M838=""))</formula>
    </cfRule>
  </conditionalFormatting>
  <conditionalFormatting sqref="E857:AB857">
    <cfRule type="expression" dxfId="143" priority="16">
      <formula>AND(AC857&lt;&gt;"",OR(E857="Other (Specify):",E857=""))</formula>
    </cfRule>
  </conditionalFormatting>
  <conditionalFormatting sqref="E858:AB858">
    <cfRule type="expression" dxfId="142" priority="15">
      <formula>AND(AC858&lt;&gt;"",OR(E858="Other (Specify):",E858=""))</formula>
    </cfRule>
  </conditionalFormatting>
  <conditionalFormatting sqref="W922:AG922">
    <cfRule type="expression" dxfId="141" priority="12">
      <formula>AND($AA$923&lt;&gt;"",OR($W$922="",$W$922="(specify here)"))</formula>
    </cfRule>
  </conditionalFormatting>
  <conditionalFormatting sqref="O515:AA515">
    <cfRule type="expression" dxfId="140" priority="11">
      <formula>AND(OR(AND(NOT(AC515="N/A"),AH515&lt;&gt;""),AND(NOT(AC516="N/A"),AH516&lt;&gt;""),AND(NOT(AC517="N/A"),AH517&lt;&gt;"")),OR(O515="(specify here)",O515=""))</formula>
    </cfRule>
  </conditionalFormatting>
  <conditionalFormatting sqref="O518:AA518">
    <cfRule type="expression" dxfId="139" priority="10">
      <formula>AND(OR(AND(NOT(AC518="N/A"),AH518&lt;&gt;""),AND(NOT(AC519="N/A"),AH519&lt;&gt;""),AND(NOT(AC520="N/A"),AH520&lt;&gt;"")),OR(O518="(specify here)",O518=""))</formula>
    </cfRule>
  </conditionalFormatting>
  <conditionalFormatting sqref="O521:AA521">
    <cfRule type="expression" dxfId="138" priority="9">
      <formula>AND(OR(AND(NOT(AC521="N/A"),AH521&lt;&gt;""),AND(NOT(AC522="N/A"),AH522&lt;&gt;""),AND(NOT(AC523="N/A"),AH523&lt;&gt;"")),OR(O521="(specify here)",O521=""))</formula>
    </cfRule>
  </conditionalFormatting>
  <conditionalFormatting sqref="O524:AA524">
    <cfRule type="expression" dxfId="137" priority="8">
      <formula>AND(OR(AND(NOT(AC524="N/A"),AH524&lt;&gt;""),AND(NOT(AC525="N/A"),AH525&lt;&gt;""),AND(NOT(AC526="N/A"),AH526&lt;&gt;"")),OR(O524="(specify here)",O524=""))</formula>
    </cfRule>
  </conditionalFormatting>
  <conditionalFormatting sqref="O527:AA527">
    <cfRule type="expression" dxfId="136" priority="7">
      <formula>AND(OR(AND(NOT(AC527="N/A"),AH527&lt;&gt;""),AND(NOT(AC528="N/A"),AH528&lt;&gt;""),AND(NOT(AC529="N/A"),AH529&lt;&gt;"")),OR(O527="(specify here)",O527=""))</formula>
    </cfRule>
  </conditionalFormatting>
  <conditionalFormatting sqref="Q546:AS557 C546:C557 M546:M557 AC619:AS629 Z619:Z629 Q619:Q629 T619:T629 W619:W629">
    <cfRule type="expression" dxfId="135" priority="6">
      <formula>$AT546="!"</formula>
    </cfRule>
  </conditionalFormatting>
  <conditionalFormatting sqref="C718:AH719">
    <cfRule type="expression" dxfId="134" priority="4">
      <formula>NOT($D$214="Special Needs")</formula>
    </cfRule>
  </conditionalFormatting>
  <conditionalFormatting sqref="U720">
    <cfRule type="expression" dxfId="133" priority="3">
      <formula>NOT($D$214="Special Needs")</formula>
    </cfRule>
  </conditionalFormatting>
  <conditionalFormatting sqref="AG720:AJ720">
    <cfRule type="expression" dxfId="132" priority="2">
      <formula>NOT($D$214="Special Needs")</formula>
    </cfRule>
  </conditionalFormatting>
  <conditionalFormatting sqref="C622">
    <cfRule type="expression" dxfId="0" priority="1">
      <formula>$AT622="!"</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J2" sqref="J2"/>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1)First Republic Bank Permanent Loan</v>
      </c>
      <c r="G2" s="233" t="str">
        <f>Application!B619&amp;Application!C619</f>
        <v xml:space="preserve">2)County of Santa Clara </v>
      </c>
      <c r="H2" s="233" t="str">
        <f>Application!B620&amp;Application!C620</f>
        <v xml:space="preserve">3)City of Palo Alto </v>
      </c>
      <c r="I2" s="233" t="str">
        <f>Application!B621&amp;Application!C621</f>
        <v>4)Value of Donated Land (GP equity or deferred fee or sponsor loan TBD based on investor negotiations)</v>
      </c>
      <c r="J2" s="233" t="str">
        <f>Application!B622&amp;Application!C622</f>
        <v>5)GP Equity (Eden Investments, Inc., an affiliate of Eden Housing, Inc.)</v>
      </c>
      <c r="K2" s="233" t="str">
        <f>Application!B623&amp;Application!C623</f>
        <v>6)Accrued interest on soft sources</v>
      </c>
      <c r="L2" s="233" t="str">
        <f>Application!B624&amp;Application!C624</f>
        <v>7)Local Fee Waivers</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6000000</v>
      </c>
      <c r="C4" s="241">
        <v>6000000</v>
      </c>
      <c r="D4" s="241"/>
      <c r="E4" s="241">
        <f>B4-SUM(F4:Q4)</f>
        <v>0</v>
      </c>
      <c r="F4" s="241"/>
      <c r="G4" s="241"/>
      <c r="H4" s="241"/>
      <c r="I4" s="241">
        <v>6000000</v>
      </c>
      <c r="J4" s="241"/>
      <c r="K4" s="241"/>
      <c r="L4" s="241"/>
      <c r="M4" s="241"/>
      <c r="N4" s="241"/>
      <c r="O4" s="241"/>
      <c r="P4" s="241"/>
      <c r="Q4" s="241"/>
      <c r="R4" s="241">
        <f>C4</f>
        <v>6000000</v>
      </c>
      <c r="S4" s="242"/>
      <c r="T4" s="242"/>
      <c r="U4" s="237"/>
    </row>
    <row r="5" spans="1:21" s="238" customFormat="1" ht="13.5">
      <c r="A5" s="300" t="s">
        <v>73</v>
      </c>
      <c r="B5" s="240">
        <f>SUM(C5+D5)</f>
        <v>140000</v>
      </c>
      <c r="C5" s="241">
        <f>[4]EVERYTHING!$E$35</f>
        <v>131080.59671353205</v>
      </c>
      <c r="D5" s="241">
        <f>[4]EVERYTHING!$F$35</f>
        <v>8919.4032864679466</v>
      </c>
      <c r="E5" s="241">
        <f t="shared" ref="E5:E7" si="0">B5-SUM(F5:Q5)</f>
        <v>140000</v>
      </c>
      <c r="F5" s="241"/>
      <c r="G5" s="241"/>
      <c r="H5" s="241"/>
      <c r="I5" s="241"/>
      <c r="J5" s="241"/>
      <c r="K5" s="241"/>
      <c r="L5" s="241"/>
      <c r="M5" s="241"/>
      <c r="N5" s="241"/>
      <c r="O5" s="241"/>
      <c r="P5" s="241"/>
      <c r="Q5" s="241"/>
      <c r="R5" s="241">
        <f>SUM(E5:Q5)</f>
        <v>140000</v>
      </c>
      <c r="S5" s="242"/>
      <c r="T5" s="242"/>
      <c r="U5" s="237"/>
    </row>
    <row r="6" spans="1:21" s="238" customFormat="1">
      <c r="A6" s="239" t="s">
        <v>365</v>
      </c>
      <c r="B6" s="240">
        <f>SUM(C6+D6)</f>
        <v>100000</v>
      </c>
      <c r="C6" s="241">
        <f>[4]EVERYTHING!$E$32</f>
        <v>93628.997652522899</v>
      </c>
      <c r="D6" s="241">
        <f>[4]EVERYTHING!$F$32</f>
        <v>6371.0023474771006</v>
      </c>
      <c r="E6" s="241">
        <f t="shared" si="0"/>
        <v>100000</v>
      </c>
      <c r="F6" s="241"/>
      <c r="G6" s="241"/>
      <c r="H6" s="241"/>
      <c r="I6" s="241"/>
      <c r="J6" s="241"/>
      <c r="K6" s="241"/>
      <c r="L6" s="241"/>
      <c r="M6" s="241"/>
      <c r="N6" s="241"/>
      <c r="O6" s="241"/>
      <c r="P6" s="241"/>
      <c r="Q6" s="241"/>
      <c r="R6" s="241">
        <f>SUM(E6:Q6)</f>
        <v>100000</v>
      </c>
      <c r="S6" s="242"/>
      <c r="T6" s="242"/>
      <c r="U6" s="237"/>
    </row>
    <row r="7" spans="1:21" s="238" customFormat="1">
      <c r="A7" s="239" t="s">
        <v>297</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6240000</v>
      </c>
      <c r="C8" s="240">
        <f t="shared" ref="C8:R8" si="1">SUM(C4:C7)</f>
        <v>6224709.594366055</v>
      </c>
      <c r="D8" s="240">
        <f t="shared" si="1"/>
        <v>15290.405633945047</v>
      </c>
      <c r="E8" s="240">
        <f t="shared" si="1"/>
        <v>240000</v>
      </c>
      <c r="F8" s="240">
        <f t="shared" si="1"/>
        <v>0</v>
      </c>
      <c r="G8" s="240">
        <f t="shared" si="1"/>
        <v>0</v>
      </c>
      <c r="H8" s="240">
        <f t="shared" si="1"/>
        <v>0</v>
      </c>
      <c r="I8" s="240">
        <f t="shared" si="1"/>
        <v>6000000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6240000</v>
      </c>
      <c r="S8" s="242"/>
      <c r="T8" s="242"/>
      <c r="U8" s="237"/>
    </row>
    <row r="9" spans="1:21" s="238" customFormat="1">
      <c r="A9" s="239" t="s">
        <v>1796</v>
      </c>
      <c r="B9" s="240">
        <f>SUM(C9+D9)</f>
        <v>0</v>
      </c>
      <c r="C9" s="241"/>
      <c r="D9" s="241"/>
      <c r="E9" s="241">
        <f>B9-SUM(F9:Q9)</f>
        <v>0</v>
      </c>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314697</v>
      </c>
      <c r="C10" s="241">
        <f>[4]EVERYTHING!$E$36</f>
        <v>294647.64674256003</v>
      </c>
      <c r="D10" s="241">
        <f>[4]EVERYTHING!$F$36</f>
        <v>20049.353257439972</v>
      </c>
      <c r="E10" s="241">
        <f>B10-SUM(F10:Q10)</f>
        <v>314697</v>
      </c>
      <c r="F10" s="241"/>
      <c r="G10" s="241"/>
      <c r="H10" s="241"/>
      <c r="I10" s="241"/>
      <c r="J10" s="241"/>
      <c r="K10" s="241"/>
      <c r="L10" s="241"/>
      <c r="M10" s="241"/>
      <c r="N10" s="241"/>
      <c r="O10" s="241"/>
      <c r="P10" s="241"/>
      <c r="Q10" s="241"/>
      <c r="R10" s="241">
        <f>SUM(E10:Q10)</f>
        <v>314697</v>
      </c>
      <c r="S10" s="241">
        <f>C10</f>
        <v>294647.64674256003</v>
      </c>
      <c r="T10" s="241"/>
      <c r="U10" s="237"/>
    </row>
    <row r="11" spans="1:21" s="238" customFormat="1">
      <c r="A11" s="243" t="s">
        <v>617</v>
      </c>
      <c r="B11" s="240">
        <f>SUM(C11:D11)</f>
        <v>314697</v>
      </c>
      <c r="C11" s="240">
        <f t="shared" ref="C11:T11" si="2">SUM(C9:C10)</f>
        <v>294647.64674256003</v>
      </c>
      <c r="D11" s="240">
        <f t="shared" si="2"/>
        <v>20049.353257439972</v>
      </c>
      <c r="E11" s="240">
        <f t="shared" si="2"/>
        <v>314697</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314697</v>
      </c>
      <c r="S11" s="242"/>
      <c r="T11" s="240">
        <f t="shared" si="2"/>
        <v>0</v>
      </c>
      <c r="U11" s="237"/>
    </row>
    <row r="12" spans="1:21" s="238" customFormat="1">
      <c r="A12" s="243" t="s">
        <v>747</v>
      </c>
      <c r="B12" s="240">
        <f t="shared" ref="B12:R12" si="3">SUM(B8+B11)</f>
        <v>6554697</v>
      </c>
      <c r="C12" s="240">
        <f t="shared" si="3"/>
        <v>6519357.241108615</v>
      </c>
      <c r="D12" s="240">
        <f t="shared" si="3"/>
        <v>35339.75889138502</v>
      </c>
      <c r="E12" s="240">
        <f t="shared" si="3"/>
        <v>554697</v>
      </c>
      <c r="F12" s="240">
        <f t="shared" si="3"/>
        <v>0</v>
      </c>
      <c r="G12" s="240">
        <f t="shared" si="3"/>
        <v>0</v>
      </c>
      <c r="H12" s="240">
        <f t="shared" si="3"/>
        <v>0</v>
      </c>
      <c r="I12" s="240">
        <f t="shared" si="3"/>
        <v>6000000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6554697</v>
      </c>
      <c r="S12" s="242"/>
      <c r="T12" s="242"/>
      <c r="U12" s="237"/>
    </row>
    <row r="13" spans="1:21" s="238" customFormat="1">
      <c r="A13" s="469" t="s">
        <v>1157</v>
      </c>
      <c r="B13" s="240">
        <f>SUM(C13+D13)</f>
        <v>46177</v>
      </c>
      <c r="C13" s="241">
        <f>[4]EVERYTHING!$E$33</f>
        <v>43235.062246005502</v>
      </c>
      <c r="D13" s="241">
        <f>[4]EVERYTHING!$F$33</f>
        <v>2941.9377539944981</v>
      </c>
      <c r="E13" s="241">
        <f>B13-SUM(F13:Q13)</f>
        <v>46177</v>
      </c>
      <c r="F13" s="241"/>
      <c r="G13" s="241"/>
      <c r="H13" s="241"/>
      <c r="I13" s="241"/>
      <c r="J13" s="241"/>
      <c r="K13" s="241"/>
      <c r="L13" s="241"/>
      <c r="M13" s="241"/>
      <c r="N13" s="241"/>
      <c r="O13" s="241"/>
      <c r="P13" s="241"/>
      <c r="Q13" s="241"/>
      <c r="R13" s="241">
        <f>SUM(E13:Q13)</f>
        <v>46177</v>
      </c>
      <c r="S13" s="241"/>
      <c r="T13" s="241"/>
      <c r="U13" s="237"/>
    </row>
    <row r="14" spans="1:21" s="238" customFormat="1" ht="24">
      <c r="A14" s="239" t="s">
        <v>1189</v>
      </c>
      <c r="B14" s="240">
        <f>SUM(C14+D14)</f>
        <v>0</v>
      </c>
      <c r="C14" s="241"/>
      <c r="D14" s="241"/>
      <c r="E14" s="241">
        <f>B14-SUM(F14:Q14)</f>
        <v>0</v>
      </c>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f>B15-SUM(F15:Q15)</f>
        <v>0</v>
      </c>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958</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959</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960</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2051</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564</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237</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961</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7">SUM(C29+D29)</f>
        <v>2638010</v>
      </c>
      <c r="C29" s="241">
        <f>[4]EVERYTHING!$E$39</f>
        <v>2469942.3209733195</v>
      </c>
      <c r="D29" s="241">
        <f>[4]EVERYTHING!$F$39</f>
        <v>168067.67902668053</v>
      </c>
      <c r="E29" s="241">
        <f>B29-SUM(F29:Q29)</f>
        <v>2638010</v>
      </c>
      <c r="F29" s="241"/>
      <c r="G29" s="241"/>
      <c r="H29" s="241"/>
      <c r="I29" s="241"/>
      <c r="J29" s="241"/>
      <c r="K29" s="241"/>
      <c r="L29" s="241"/>
      <c r="M29" s="241"/>
      <c r="N29" s="241"/>
      <c r="O29" s="241"/>
      <c r="P29" s="241"/>
      <c r="Q29" s="241"/>
      <c r="R29" s="241">
        <f t="shared" ref="R29:R37" si="8">SUM(E29:Q29)</f>
        <v>2638010</v>
      </c>
      <c r="S29" s="241">
        <f>[4]EVERYTHING!$G$39</f>
        <v>1963135.3209733195</v>
      </c>
      <c r="T29" s="241"/>
      <c r="U29" s="237"/>
    </row>
    <row r="30" spans="1:21" s="238" customFormat="1">
      <c r="A30" s="239" t="s">
        <v>955</v>
      </c>
      <c r="B30" s="240">
        <f t="shared" si="7"/>
        <v>26207721</v>
      </c>
      <c r="C30" s="241">
        <f>[4]EVERYTHING!$E$40+[4]EVERYTHING!$E$43</f>
        <v>24538026.479869753</v>
      </c>
      <c r="D30" s="241">
        <f>[4]EVERYTHING!$F$40+[4]EVERYTHING!$F$43</f>
        <v>1669694.5201302464</v>
      </c>
      <c r="E30" s="241">
        <f t="shared" ref="E30:E37" si="9">B30-SUM(F30:Q30)</f>
        <v>4337291</v>
      </c>
      <c r="F30" s="241">
        <f>Application!AO618</f>
        <v>6514000</v>
      </c>
      <c r="G30" s="241">
        <f>Application!AO619</f>
        <v>12000000</v>
      </c>
      <c r="H30" s="241">
        <f>Application!AO620</f>
        <v>3356330</v>
      </c>
      <c r="I30" s="241"/>
      <c r="J30" s="241">
        <f>Application!AO622</f>
        <v>100</v>
      </c>
      <c r="K30" s="241"/>
      <c r="L30" s="241"/>
      <c r="M30" s="241"/>
      <c r="N30" s="241"/>
      <c r="O30" s="241"/>
      <c r="P30" s="241"/>
      <c r="Q30" s="241"/>
      <c r="R30" s="241">
        <f t="shared" si="8"/>
        <v>26207721</v>
      </c>
      <c r="S30" s="241">
        <f>C30</f>
        <v>24538026.479869753</v>
      </c>
      <c r="T30" s="241"/>
      <c r="U30" s="237"/>
    </row>
    <row r="31" spans="1:21" s="238" customFormat="1">
      <c r="A31" s="239" t="s">
        <v>956</v>
      </c>
      <c r="B31" s="240">
        <f t="shared" si="7"/>
        <v>2133350</v>
      </c>
      <c r="C31" s="241">
        <f>[4]EVERYTHING!$E$44</f>
        <v>1997434.2214200974</v>
      </c>
      <c r="D31" s="241">
        <f>[4]EVERYTHING!$F$44</f>
        <v>135915.7785799026</v>
      </c>
      <c r="E31" s="241">
        <f t="shared" si="9"/>
        <v>2133350</v>
      </c>
      <c r="F31" s="241"/>
      <c r="G31" s="241"/>
      <c r="H31" s="241"/>
      <c r="I31" s="241"/>
      <c r="J31" s="241"/>
      <c r="K31" s="241"/>
      <c r="L31" s="241"/>
      <c r="M31" s="241"/>
      <c r="N31" s="241"/>
      <c r="O31" s="241"/>
      <c r="P31" s="241"/>
      <c r="Q31" s="241"/>
      <c r="R31" s="241">
        <f t="shared" si="8"/>
        <v>2133350</v>
      </c>
      <c r="S31" s="241">
        <f>C31</f>
        <v>1997434.2214200974</v>
      </c>
      <c r="T31" s="241"/>
      <c r="U31" s="237"/>
    </row>
    <row r="32" spans="1:21" s="238" customFormat="1">
      <c r="A32" s="239" t="s">
        <v>957</v>
      </c>
      <c r="B32" s="240">
        <f t="shared" si="7"/>
        <v>695831.5</v>
      </c>
      <c r="C32" s="241">
        <f>[4]EVERYTHING!$E$46/2</f>
        <v>651500.0588005149</v>
      </c>
      <c r="D32" s="241">
        <f>[4]EVERYTHING!$F$46/2</f>
        <v>44331.441199485096</v>
      </c>
      <c r="E32" s="241">
        <f t="shared" si="9"/>
        <v>695831.5</v>
      </c>
      <c r="F32" s="241"/>
      <c r="G32" s="241"/>
      <c r="H32" s="241"/>
      <c r="I32" s="241"/>
      <c r="J32" s="241"/>
      <c r="K32" s="241"/>
      <c r="L32" s="241"/>
      <c r="M32" s="241"/>
      <c r="N32" s="241"/>
      <c r="O32" s="241"/>
      <c r="P32" s="241"/>
      <c r="Q32" s="241"/>
      <c r="R32" s="241">
        <f t="shared" si="8"/>
        <v>695831.5</v>
      </c>
      <c r="S32" s="241">
        <f t="shared" ref="S32:S37" si="10">C32</f>
        <v>651500.0588005149</v>
      </c>
      <c r="T32" s="241"/>
      <c r="U32" s="237"/>
    </row>
    <row r="33" spans="1:21" s="238" customFormat="1">
      <c r="A33" s="239" t="s">
        <v>958</v>
      </c>
      <c r="B33" s="240">
        <f t="shared" si="7"/>
        <v>695831.5</v>
      </c>
      <c r="C33" s="241">
        <f>C32</f>
        <v>651500.0588005149</v>
      </c>
      <c r="D33" s="241">
        <f>D32</f>
        <v>44331.441199485096</v>
      </c>
      <c r="E33" s="241">
        <f t="shared" si="9"/>
        <v>695831.5</v>
      </c>
      <c r="F33" s="241"/>
      <c r="G33" s="241"/>
      <c r="H33" s="241"/>
      <c r="I33" s="241"/>
      <c r="J33" s="241"/>
      <c r="K33" s="241"/>
      <c r="L33" s="241"/>
      <c r="M33" s="241"/>
      <c r="N33" s="241"/>
      <c r="O33" s="241"/>
      <c r="P33" s="241"/>
      <c r="Q33" s="241"/>
      <c r="R33" s="241">
        <f t="shared" si="8"/>
        <v>695831.5</v>
      </c>
      <c r="S33" s="241">
        <f t="shared" si="10"/>
        <v>651500.0588005149</v>
      </c>
      <c r="T33" s="241"/>
      <c r="U33" s="237"/>
    </row>
    <row r="34" spans="1:21" s="238" customFormat="1">
      <c r="A34" s="239" t="s">
        <v>959</v>
      </c>
      <c r="B34" s="240">
        <f t="shared" si="7"/>
        <v>0</v>
      </c>
      <c r="C34" s="241"/>
      <c r="D34" s="241"/>
      <c r="E34" s="241">
        <f t="shared" si="9"/>
        <v>0</v>
      </c>
      <c r="F34" s="241"/>
      <c r="G34" s="241"/>
      <c r="H34" s="241"/>
      <c r="I34" s="241"/>
      <c r="J34" s="241"/>
      <c r="K34" s="241"/>
      <c r="L34" s="241"/>
      <c r="M34" s="241"/>
      <c r="N34" s="241"/>
      <c r="O34" s="241"/>
      <c r="P34" s="241"/>
      <c r="Q34" s="241"/>
      <c r="R34" s="241">
        <f t="shared" si="8"/>
        <v>0</v>
      </c>
      <c r="S34" s="241">
        <f t="shared" si="10"/>
        <v>0</v>
      </c>
      <c r="T34" s="241"/>
      <c r="U34" s="237"/>
    </row>
    <row r="35" spans="1:21" s="238" customFormat="1">
      <c r="A35" s="239" t="s">
        <v>960</v>
      </c>
      <c r="B35" s="240">
        <f t="shared" si="7"/>
        <v>244980</v>
      </c>
      <c r="C35" s="241">
        <f>[4]EVERYTHING!$E$45</f>
        <v>229372.31844915063</v>
      </c>
      <c r="D35" s="241">
        <f>[4]EVERYTHING!$F$45</f>
        <v>15607.681550849375</v>
      </c>
      <c r="E35" s="241">
        <f t="shared" si="9"/>
        <v>244980</v>
      </c>
      <c r="F35" s="241"/>
      <c r="G35" s="241"/>
      <c r="H35" s="241"/>
      <c r="I35" s="241"/>
      <c r="J35" s="241"/>
      <c r="K35" s="241"/>
      <c r="L35" s="241"/>
      <c r="M35" s="241"/>
      <c r="N35" s="241"/>
      <c r="O35" s="241"/>
      <c r="P35" s="241"/>
      <c r="Q35" s="241"/>
      <c r="R35" s="241">
        <f t="shared" si="8"/>
        <v>244980</v>
      </c>
      <c r="S35" s="241">
        <f t="shared" si="10"/>
        <v>229372.31844915063</v>
      </c>
      <c r="T35" s="241"/>
      <c r="U35" s="237"/>
    </row>
    <row r="36" spans="1:21" s="238" customFormat="1">
      <c r="A36" s="250" t="s">
        <v>2051</v>
      </c>
      <c r="B36" s="240">
        <f t="shared" si="7"/>
        <v>0</v>
      </c>
      <c r="C36" s="241"/>
      <c r="D36" s="241"/>
      <c r="E36" s="241">
        <f t="shared" si="9"/>
        <v>0</v>
      </c>
      <c r="F36" s="241"/>
      <c r="G36" s="241"/>
      <c r="H36" s="241"/>
      <c r="I36" s="241"/>
      <c r="J36" s="241"/>
      <c r="K36" s="241"/>
      <c r="L36" s="241"/>
      <c r="M36" s="241"/>
      <c r="N36" s="241"/>
      <c r="O36" s="241"/>
      <c r="P36" s="241"/>
      <c r="Q36" s="241"/>
      <c r="R36" s="241">
        <f t="shared" si="8"/>
        <v>0</v>
      </c>
      <c r="S36" s="241">
        <f t="shared" si="10"/>
        <v>0</v>
      </c>
      <c r="T36" s="241"/>
      <c r="U36" s="237"/>
    </row>
    <row r="37" spans="1:21" s="238" customFormat="1" ht="24">
      <c r="A37" s="246" t="s">
        <v>2528</v>
      </c>
      <c r="B37" s="240">
        <f t="shared" si="7"/>
        <v>1692069</v>
      </c>
      <c r="C37" s="241">
        <f>[4]EVERYTHING!$E$41+[4]EVERYTHING!$E$42</f>
        <v>1638575.8344397605</v>
      </c>
      <c r="D37" s="241">
        <f>[4]EVERYTHING!$F$41+[4]EVERYTHING!$F$42</f>
        <v>53493.165560239344</v>
      </c>
      <c r="E37" s="241">
        <f t="shared" si="9"/>
        <v>1692069</v>
      </c>
      <c r="F37" s="241"/>
      <c r="G37" s="241"/>
      <c r="H37" s="241"/>
      <c r="I37" s="241"/>
      <c r="J37" s="241"/>
      <c r="K37" s="241"/>
      <c r="L37" s="241"/>
      <c r="M37" s="241"/>
      <c r="N37" s="241"/>
      <c r="O37" s="241"/>
      <c r="P37" s="241"/>
      <c r="Q37" s="241"/>
      <c r="R37" s="241">
        <f t="shared" si="8"/>
        <v>1692069</v>
      </c>
      <c r="S37" s="241">
        <f t="shared" si="10"/>
        <v>1638575.8344397605</v>
      </c>
      <c r="T37" s="241"/>
      <c r="U37" s="237"/>
    </row>
    <row r="38" spans="1:21" s="238" customFormat="1">
      <c r="A38" s="243" t="s">
        <v>963</v>
      </c>
      <c r="B38" s="240">
        <f t="shared" si="7"/>
        <v>34307793</v>
      </c>
      <c r="C38" s="240">
        <f>SUM(C29:C37)</f>
        <v>32176351.292753112</v>
      </c>
      <c r="D38" s="240">
        <f>SUM(D29:D37)</f>
        <v>2131441.7072468884</v>
      </c>
      <c r="E38" s="240">
        <f>SUM(E29:E37)</f>
        <v>12437363</v>
      </c>
      <c r="F38" s="240">
        <f t="shared" ref="F38:T38" si="11">SUM(F29:F37)</f>
        <v>6514000</v>
      </c>
      <c r="G38" s="240">
        <f t="shared" si="11"/>
        <v>12000000</v>
      </c>
      <c r="H38" s="240">
        <f t="shared" si="11"/>
        <v>3356330</v>
      </c>
      <c r="I38" s="240">
        <f t="shared" si="11"/>
        <v>0</v>
      </c>
      <c r="J38" s="240">
        <f t="shared" si="11"/>
        <v>100</v>
      </c>
      <c r="K38" s="240">
        <f t="shared" si="11"/>
        <v>0</v>
      </c>
      <c r="L38" s="240">
        <f t="shared" si="11"/>
        <v>0</v>
      </c>
      <c r="M38" s="240">
        <f t="shared" si="11"/>
        <v>0</v>
      </c>
      <c r="N38" s="240">
        <f t="shared" si="11"/>
        <v>0</v>
      </c>
      <c r="O38" s="240">
        <f t="shared" si="11"/>
        <v>0</v>
      </c>
      <c r="P38" s="240">
        <f t="shared" si="11"/>
        <v>0</v>
      </c>
      <c r="Q38" s="240">
        <f t="shared" si="11"/>
        <v>0</v>
      </c>
      <c r="R38" s="240">
        <f t="shared" si="11"/>
        <v>34307793</v>
      </c>
      <c r="S38" s="244">
        <f t="shared" si="11"/>
        <v>31669544.292753112</v>
      </c>
      <c r="T38" s="244">
        <f t="shared" si="11"/>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2025980</v>
      </c>
      <c r="C40" s="241">
        <f>[4]EVERYTHING!$E$49</f>
        <v>1896904.7666405835</v>
      </c>
      <c r="D40" s="241">
        <f>[4]EVERYTHING!$F$49</f>
        <v>129075.23335941642</v>
      </c>
      <c r="E40" s="241">
        <f t="shared" ref="E40:E41" si="12">B40-SUM(F40:Q40)</f>
        <v>2025980</v>
      </c>
      <c r="F40" s="241"/>
      <c r="G40" s="241"/>
      <c r="H40" s="241"/>
      <c r="I40" s="241"/>
      <c r="J40" s="241"/>
      <c r="K40" s="241"/>
      <c r="L40" s="241"/>
      <c r="M40" s="241"/>
      <c r="N40" s="241"/>
      <c r="O40" s="241"/>
      <c r="P40" s="241"/>
      <c r="Q40" s="241"/>
      <c r="R40" s="241">
        <f>SUM(E40:Q40)</f>
        <v>2025980</v>
      </c>
      <c r="S40" s="241">
        <f t="shared" ref="S40:S41" si="13">C40</f>
        <v>1896904.7666405835</v>
      </c>
      <c r="T40" s="241"/>
      <c r="U40" s="237"/>
    </row>
    <row r="41" spans="1:21" s="238" customFormat="1">
      <c r="A41" s="239" t="s">
        <v>966</v>
      </c>
      <c r="B41" s="240">
        <f>SUM(C41+D41)</f>
        <v>0</v>
      </c>
      <c r="C41" s="241"/>
      <c r="D41" s="241"/>
      <c r="E41" s="241">
        <f t="shared" si="12"/>
        <v>0</v>
      </c>
      <c r="F41" s="241"/>
      <c r="G41" s="241"/>
      <c r="H41" s="241"/>
      <c r="I41" s="241"/>
      <c r="J41" s="241"/>
      <c r="K41" s="241"/>
      <c r="L41" s="241"/>
      <c r="M41" s="241"/>
      <c r="N41" s="241"/>
      <c r="O41" s="241"/>
      <c r="P41" s="241"/>
      <c r="Q41" s="241"/>
      <c r="R41" s="241">
        <f>SUM(E41:Q41)</f>
        <v>0</v>
      </c>
      <c r="S41" s="241">
        <f t="shared" si="13"/>
        <v>0</v>
      </c>
      <c r="T41" s="241"/>
      <c r="U41" s="237"/>
    </row>
    <row r="42" spans="1:21" s="238" customFormat="1">
      <c r="A42" s="243" t="s">
        <v>967</v>
      </c>
      <c r="B42" s="240">
        <f>SUM(C42:D42)</f>
        <v>2025980</v>
      </c>
      <c r="C42" s="240">
        <f>SUM(C39:C41)</f>
        <v>1896904.7666405835</v>
      </c>
      <c r="D42" s="240">
        <f>SUM(D39:D41)</f>
        <v>129075.23335941642</v>
      </c>
      <c r="E42" s="240">
        <f t="shared" ref="E42:T42" si="14">SUM(E40:E41)</f>
        <v>2025980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2025980</v>
      </c>
      <c r="S42" s="244">
        <f t="shared" si="14"/>
        <v>1896904.7666405835</v>
      </c>
      <c r="T42" s="244">
        <f t="shared" si="14"/>
        <v>0</v>
      </c>
      <c r="U42" s="237"/>
    </row>
    <row r="43" spans="1:21" s="238" customFormat="1">
      <c r="A43" s="243" t="s">
        <v>968</v>
      </c>
      <c r="B43" s="240">
        <f>SUM(C43:D43)</f>
        <v>397457</v>
      </c>
      <c r="C43" s="241">
        <f>[4]EVERYTHING!$E$52</f>
        <v>372135.00519978796</v>
      </c>
      <c r="D43" s="241">
        <f>[4]EVERYTHING!$F$52</f>
        <v>25321.994800212036</v>
      </c>
      <c r="E43" s="241">
        <f t="shared" ref="E43" si="15">B43-SUM(F43:Q43)</f>
        <v>397457</v>
      </c>
      <c r="F43" s="241">
        <v>0</v>
      </c>
      <c r="G43" s="241"/>
      <c r="H43" s="241"/>
      <c r="I43" s="241"/>
      <c r="J43" s="241"/>
      <c r="K43" s="241"/>
      <c r="L43" s="241"/>
      <c r="M43" s="241"/>
      <c r="N43" s="241"/>
      <c r="O43" s="241"/>
      <c r="P43" s="241"/>
      <c r="Q43" s="241"/>
      <c r="R43" s="241">
        <f>SUM(E43:Q43)</f>
        <v>397457</v>
      </c>
      <c r="S43" s="241">
        <f t="shared" ref="S43" si="16">C43</f>
        <v>372135.00519978796</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7">SUM(C45+D45)</f>
        <v>4764968</v>
      </c>
      <c r="C45" s="241">
        <f>[4]EVERYTHING!$E$54</f>
        <v>4461391.7768634679</v>
      </c>
      <c r="D45" s="241">
        <f>[4]EVERYTHING!$F$54</f>
        <v>303576.22313653212</v>
      </c>
      <c r="E45" s="241">
        <f t="shared" ref="E45:E52" si="18">B45-SUM(F45:Q45)</f>
        <v>4764968</v>
      </c>
      <c r="F45" s="241"/>
      <c r="G45" s="241"/>
      <c r="H45" s="241"/>
      <c r="I45" s="241"/>
      <c r="J45" s="241"/>
      <c r="K45" s="241"/>
      <c r="L45" s="241"/>
      <c r="M45" s="241"/>
      <c r="N45" s="241"/>
      <c r="O45" s="241"/>
      <c r="P45" s="241"/>
      <c r="Q45" s="241"/>
      <c r="R45" s="241">
        <f t="shared" ref="R45:R52" si="19">SUM(E45:Q45)</f>
        <v>4764968</v>
      </c>
      <c r="S45" s="241">
        <f>[4]EVERYTHING!$G$54</f>
        <v>2081982.5163479953</v>
      </c>
      <c r="T45" s="241"/>
      <c r="U45" s="237"/>
    </row>
    <row r="46" spans="1:21" s="238" customFormat="1">
      <c r="A46" s="239" t="s">
        <v>971</v>
      </c>
      <c r="B46" s="240">
        <f t="shared" si="17"/>
        <v>274233.75454017858</v>
      </c>
      <c r="C46" s="241">
        <f>[4]EVERYTHING!$E$56</f>
        <v>256762.31560084922</v>
      </c>
      <c r="D46" s="241">
        <f>[4]EVERYTHING!$F$56</f>
        <v>17471.438939329353</v>
      </c>
      <c r="E46" s="241">
        <f t="shared" si="18"/>
        <v>274233.75454017858</v>
      </c>
      <c r="F46" s="241"/>
      <c r="G46" s="241"/>
      <c r="H46" s="241"/>
      <c r="I46" s="241"/>
      <c r="J46" s="241"/>
      <c r="K46" s="241"/>
      <c r="L46" s="241"/>
      <c r="M46" s="241"/>
      <c r="N46" s="241"/>
      <c r="O46" s="241"/>
      <c r="P46" s="241"/>
      <c r="Q46" s="241"/>
      <c r="R46" s="241">
        <f t="shared" si="19"/>
        <v>274233.75454017858</v>
      </c>
      <c r="S46" s="241">
        <f t="shared" ref="S46:S52" si="20">C46</f>
        <v>256762.31560084922</v>
      </c>
      <c r="T46" s="241"/>
      <c r="U46" s="237"/>
    </row>
    <row r="47" spans="1:21" s="238" customFormat="1" ht="12" customHeight="1">
      <c r="A47" s="239" t="s">
        <v>972</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f t="shared" si="20"/>
        <v>0</v>
      </c>
      <c r="T47" s="241"/>
      <c r="U47" s="237"/>
    </row>
    <row r="48" spans="1:21" s="238" customFormat="1">
      <c r="A48" s="239" t="s">
        <v>973</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f t="shared" si="20"/>
        <v>0</v>
      </c>
      <c r="T48" s="241"/>
      <c r="U48" s="237"/>
    </row>
    <row r="49" spans="1:21" s="238" customFormat="1">
      <c r="A49" s="239" t="s">
        <v>976</v>
      </c>
      <c r="B49" s="240">
        <f t="shared" si="17"/>
        <v>65000</v>
      </c>
      <c r="C49" s="241">
        <f>[4]EVERYTHING!$E$60</f>
        <v>60858.848474139886</v>
      </c>
      <c r="D49" s="241">
        <f>[4]EVERYTHING!$F$60</f>
        <v>4141.1515258601139</v>
      </c>
      <c r="E49" s="241">
        <f t="shared" si="18"/>
        <v>65000</v>
      </c>
      <c r="F49" s="241"/>
      <c r="G49" s="241"/>
      <c r="H49" s="241"/>
      <c r="I49" s="241"/>
      <c r="J49" s="241"/>
      <c r="K49" s="241"/>
      <c r="L49" s="241"/>
      <c r="M49" s="241"/>
      <c r="N49" s="241"/>
      <c r="O49" s="241"/>
      <c r="P49" s="241"/>
      <c r="Q49" s="241"/>
      <c r="R49" s="241">
        <f t="shared" si="19"/>
        <v>65000</v>
      </c>
      <c r="S49" s="241">
        <f t="shared" si="20"/>
        <v>60858.848474139886</v>
      </c>
      <c r="T49" s="241"/>
      <c r="U49" s="237"/>
    </row>
    <row r="50" spans="1:21" s="238" customFormat="1">
      <c r="A50" s="239" t="s">
        <v>974</v>
      </c>
      <c r="B50" s="240">
        <f t="shared" si="17"/>
        <v>8000</v>
      </c>
      <c r="C50" s="241">
        <f>[4]EVERYTHING!$E$58</f>
        <v>7490.3198122018321</v>
      </c>
      <c r="D50" s="241">
        <f>[4]EVERYTHING!$F$58</f>
        <v>509.68018779816794</v>
      </c>
      <c r="E50" s="241">
        <f t="shared" si="18"/>
        <v>8000</v>
      </c>
      <c r="F50" s="241"/>
      <c r="G50" s="241"/>
      <c r="H50" s="241"/>
      <c r="I50" s="241"/>
      <c r="J50" s="241"/>
      <c r="K50" s="241"/>
      <c r="L50" s="241"/>
      <c r="M50" s="241"/>
      <c r="N50" s="241"/>
      <c r="O50" s="241"/>
      <c r="P50" s="241"/>
      <c r="Q50" s="241"/>
      <c r="R50" s="241">
        <f t="shared" si="19"/>
        <v>8000</v>
      </c>
      <c r="S50" s="241">
        <f t="shared" si="20"/>
        <v>7490.3198122018321</v>
      </c>
      <c r="T50" s="241"/>
      <c r="U50" s="237"/>
    </row>
    <row r="51" spans="1:21" s="238" customFormat="1">
      <c r="A51" s="239" t="s">
        <v>975</v>
      </c>
      <c r="B51" s="240">
        <f t="shared" si="17"/>
        <v>800219</v>
      </c>
      <c r="C51" s="241">
        <f>[4]EVERYTHING!$E$59</f>
        <v>749237.02872504224</v>
      </c>
      <c r="D51" s="241">
        <f>[4]EVERYTHING!$F$59</f>
        <v>50981.971274957759</v>
      </c>
      <c r="E51" s="241">
        <f t="shared" si="18"/>
        <v>800219</v>
      </c>
      <c r="F51" s="241"/>
      <c r="G51" s="241"/>
      <c r="H51" s="241"/>
      <c r="I51" s="241"/>
      <c r="J51" s="241"/>
      <c r="K51" s="241"/>
      <c r="L51" s="241"/>
      <c r="M51" s="241"/>
      <c r="N51" s="241"/>
      <c r="O51" s="241"/>
      <c r="P51" s="241"/>
      <c r="Q51" s="241"/>
      <c r="R51" s="241">
        <f t="shared" si="19"/>
        <v>800219</v>
      </c>
      <c r="S51" s="241">
        <f t="shared" si="20"/>
        <v>749237.02872504224</v>
      </c>
      <c r="T51" s="241"/>
      <c r="U51" s="237"/>
    </row>
    <row r="52" spans="1:21" s="238" customFormat="1">
      <c r="A52" s="246" t="s">
        <v>2529</v>
      </c>
      <c r="B52" s="240">
        <f t="shared" si="17"/>
        <v>481037.03724999999</v>
      </c>
      <c r="C52" s="241">
        <f>[4]EVERYTHING!$E$57</f>
        <v>481037.03724999999</v>
      </c>
      <c r="D52" s="241">
        <f>[4]EVERYTHING!$F$57</f>
        <v>0</v>
      </c>
      <c r="E52" s="241">
        <f t="shared" si="18"/>
        <v>0</v>
      </c>
      <c r="F52" s="241"/>
      <c r="G52" s="241"/>
      <c r="H52" s="241"/>
      <c r="I52" s="241"/>
      <c r="J52" s="241"/>
      <c r="K52" s="241">
        <f>Application!AO623</f>
        <v>481037.03724999999</v>
      </c>
      <c r="L52" s="241"/>
      <c r="M52" s="241"/>
      <c r="N52" s="241"/>
      <c r="O52" s="241"/>
      <c r="P52" s="241"/>
      <c r="Q52" s="241"/>
      <c r="R52" s="241">
        <f t="shared" si="19"/>
        <v>481037.03724999999</v>
      </c>
      <c r="S52" s="241">
        <f t="shared" si="20"/>
        <v>481037.03724999999</v>
      </c>
      <c r="T52" s="241"/>
      <c r="U52" s="237"/>
    </row>
    <row r="53" spans="1:21" s="248" customFormat="1">
      <c r="A53" s="243" t="s">
        <v>977</v>
      </c>
      <c r="B53" s="244">
        <f>SUM(C53:D53)</f>
        <v>6393457.791790178</v>
      </c>
      <c r="C53" s="244">
        <f t="shared" ref="C53:T53" si="21">SUM(C45:C52)</f>
        <v>6016777.3267257009</v>
      </c>
      <c r="D53" s="244">
        <f t="shared" si="21"/>
        <v>376680.46506447752</v>
      </c>
      <c r="E53" s="244">
        <f t="shared" si="21"/>
        <v>5912420.7545401789</v>
      </c>
      <c r="F53" s="244">
        <f t="shared" si="21"/>
        <v>0</v>
      </c>
      <c r="G53" s="244">
        <f t="shared" si="21"/>
        <v>0</v>
      </c>
      <c r="H53" s="244">
        <f t="shared" si="21"/>
        <v>0</v>
      </c>
      <c r="I53" s="244">
        <f t="shared" si="21"/>
        <v>0</v>
      </c>
      <c r="J53" s="244">
        <f t="shared" si="21"/>
        <v>0</v>
      </c>
      <c r="K53" s="244">
        <f t="shared" si="21"/>
        <v>481037.03724999999</v>
      </c>
      <c r="L53" s="244">
        <f t="shared" si="21"/>
        <v>0</v>
      </c>
      <c r="M53" s="244">
        <f t="shared" si="21"/>
        <v>0</v>
      </c>
      <c r="N53" s="244">
        <f t="shared" si="21"/>
        <v>0</v>
      </c>
      <c r="O53" s="244">
        <f t="shared" si="21"/>
        <v>0</v>
      </c>
      <c r="P53" s="244">
        <f t="shared" si="21"/>
        <v>0</v>
      </c>
      <c r="Q53" s="244">
        <f t="shared" si="21"/>
        <v>0</v>
      </c>
      <c r="R53" s="240">
        <f t="shared" si="21"/>
        <v>6393457.791790179</v>
      </c>
      <c r="S53" s="244">
        <f t="shared" si="21"/>
        <v>3637368.0662102289</v>
      </c>
      <c r="T53" s="244">
        <f t="shared" si="21"/>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22">SUM(C55+D55)</f>
        <v>100140</v>
      </c>
      <c r="C55" s="241">
        <f>[4]EVERYTHING!$E$63</f>
        <v>100140</v>
      </c>
      <c r="D55" s="241"/>
      <c r="E55" s="241">
        <f t="shared" ref="E55:E60" si="23">B55-SUM(F55:Q55)</f>
        <v>100140</v>
      </c>
      <c r="F55" s="241"/>
      <c r="G55" s="241"/>
      <c r="H55" s="241"/>
      <c r="I55" s="241"/>
      <c r="J55" s="241"/>
      <c r="K55" s="241"/>
      <c r="L55" s="241"/>
      <c r="M55" s="241"/>
      <c r="N55" s="241"/>
      <c r="O55" s="241"/>
      <c r="P55" s="241"/>
      <c r="Q55" s="241"/>
      <c r="R55" s="241">
        <f t="shared" ref="R55:R60" si="24">SUM(E55:Q55)</f>
        <v>100140</v>
      </c>
      <c r="S55" s="242"/>
      <c r="T55" s="242"/>
      <c r="U55" s="237"/>
    </row>
    <row r="56" spans="1:21" s="238" customFormat="1" ht="12" customHeight="1">
      <c r="A56" s="239" t="s">
        <v>972</v>
      </c>
      <c r="B56" s="240">
        <f t="shared" si="22"/>
        <v>0</v>
      </c>
      <c r="C56" s="241"/>
      <c r="D56" s="241"/>
      <c r="E56" s="241">
        <f t="shared" si="23"/>
        <v>0</v>
      </c>
      <c r="F56" s="241"/>
      <c r="G56" s="241"/>
      <c r="H56" s="241"/>
      <c r="I56" s="241"/>
      <c r="J56" s="241"/>
      <c r="K56" s="241"/>
      <c r="L56" s="241"/>
      <c r="M56" s="241"/>
      <c r="N56" s="241"/>
      <c r="O56" s="241"/>
      <c r="P56" s="241"/>
      <c r="Q56" s="241"/>
      <c r="R56" s="241">
        <f t="shared" si="24"/>
        <v>0</v>
      </c>
      <c r="S56" s="242"/>
      <c r="T56" s="242"/>
      <c r="U56" s="237"/>
    </row>
    <row r="57" spans="1:21" s="238" customFormat="1">
      <c r="A57" s="239" t="s">
        <v>976</v>
      </c>
      <c r="B57" s="240">
        <f t="shared" si="22"/>
        <v>15000</v>
      </c>
      <c r="C57" s="241">
        <f>[4]EVERYTHING!$E$65</f>
        <v>15000</v>
      </c>
      <c r="D57" s="241"/>
      <c r="E57" s="241">
        <f t="shared" si="23"/>
        <v>15000</v>
      </c>
      <c r="F57" s="241"/>
      <c r="G57" s="241"/>
      <c r="H57" s="241"/>
      <c r="I57" s="241"/>
      <c r="J57" s="241"/>
      <c r="K57" s="241"/>
      <c r="L57" s="241"/>
      <c r="M57" s="241"/>
      <c r="N57" s="241"/>
      <c r="O57" s="241"/>
      <c r="P57" s="241"/>
      <c r="Q57" s="241"/>
      <c r="R57" s="241">
        <f t="shared" si="24"/>
        <v>15000</v>
      </c>
      <c r="S57" s="242"/>
      <c r="T57" s="242"/>
      <c r="U57" s="237"/>
    </row>
    <row r="58" spans="1:21" s="238" customFormat="1">
      <c r="A58" s="239" t="s">
        <v>974</v>
      </c>
      <c r="B58" s="240">
        <f t="shared" si="22"/>
        <v>0</v>
      </c>
      <c r="C58" s="241"/>
      <c r="D58" s="241"/>
      <c r="E58" s="241">
        <f t="shared" si="23"/>
        <v>0</v>
      </c>
      <c r="F58" s="241"/>
      <c r="G58" s="241"/>
      <c r="H58" s="241"/>
      <c r="I58" s="241"/>
      <c r="J58" s="241"/>
      <c r="K58" s="241"/>
      <c r="L58" s="241"/>
      <c r="M58" s="241"/>
      <c r="N58" s="241"/>
      <c r="O58" s="241"/>
      <c r="P58" s="241"/>
      <c r="Q58" s="241"/>
      <c r="R58" s="241">
        <f t="shared" si="24"/>
        <v>0</v>
      </c>
      <c r="S58" s="242"/>
      <c r="T58" s="242"/>
      <c r="U58" s="237"/>
    </row>
    <row r="59" spans="1:21" s="238" customFormat="1">
      <c r="A59" s="239" t="s">
        <v>975</v>
      </c>
      <c r="B59" s="240">
        <f t="shared" si="22"/>
        <v>0</v>
      </c>
      <c r="C59" s="241"/>
      <c r="D59" s="241"/>
      <c r="E59" s="241">
        <f t="shared" si="23"/>
        <v>0</v>
      </c>
      <c r="F59" s="241"/>
      <c r="G59" s="241"/>
      <c r="H59" s="241"/>
      <c r="I59" s="241"/>
      <c r="J59" s="241"/>
      <c r="K59" s="241"/>
      <c r="L59" s="241"/>
      <c r="M59" s="241"/>
      <c r="N59" s="241"/>
      <c r="O59" s="241"/>
      <c r="P59" s="241"/>
      <c r="Q59" s="241"/>
      <c r="R59" s="241">
        <f t="shared" si="24"/>
        <v>0</v>
      </c>
      <c r="S59" s="242"/>
      <c r="T59" s="242"/>
      <c r="U59" s="237"/>
    </row>
    <row r="60" spans="1:21" s="238" customFormat="1">
      <c r="A60" s="246" t="s">
        <v>2530</v>
      </c>
      <c r="B60" s="240">
        <f t="shared" si="22"/>
        <v>30000</v>
      </c>
      <c r="C60" s="241">
        <f>[4]EVERYTHING!$E$66</f>
        <v>30000</v>
      </c>
      <c r="D60" s="241"/>
      <c r="E60" s="241">
        <f t="shared" si="23"/>
        <v>30000</v>
      </c>
      <c r="F60" s="241"/>
      <c r="G60" s="241"/>
      <c r="H60" s="241"/>
      <c r="I60" s="241"/>
      <c r="J60" s="241"/>
      <c r="K60" s="241"/>
      <c r="L60" s="241"/>
      <c r="M60" s="241"/>
      <c r="N60" s="241"/>
      <c r="O60" s="241"/>
      <c r="P60" s="241"/>
      <c r="Q60" s="241"/>
      <c r="R60" s="241">
        <f t="shared" si="24"/>
        <v>30000</v>
      </c>
      <c r="S60" s="242"/>
      <c r="T60" s="242"/>
      <c r="U60" s="237"/>
    </row>
    <row r="61" spans="1:21" s="238" customFormat="1" ht="13.9" customHeight="1">
      <c r="A61" s="243" t="s">
        <v>529</v>
      </c>
      <c r="B61" s="240">
        <f>SUM(C61:D61)</f>
        <v>145140</v>
      </c>
      <c r="C61" s="240">
        <f t="shared" ref="C61:R61" si="25">SUM(C55:C60)</f>
        <v>145140</v>
      </c>
      <c r="D61" s="240">
        <f t="shared" si="25"/>
        <v>0</v>
      </c>
      <c r="E61" s="240">
        <f t="shared" si="25"/>
        <v>145140</v>
      </c>
      <c r="F61" s="240">
        <f t="shared" si="25"/>
        <v>0</v>
      </c>
      <c r="G61" s="240">
        <f t="shared" si="25"/>
        <v>0</v>
      </c>
      <c r="H61" s="240">
        <f t="shared" si="25"/>
        <v>0</v>
      </c>
      <c r="I61" s="240">
        <f t="shared" si="25"/>
        <v>0</v>
      </c>
      <c r="J61" s="240">
        <f t="shared" si="25"/>
        <v>0</v>
      </c>
      <c r="K61" s="240">
        <f t="shared" si="25"/>
        <v>0</v>
      </c>
      <c r="L61" s="240">
        <f t="shared" si="25"/>
        <v>0</v>
      </c>
      <c r="M61" s="240">
        <f t="shared" si="25"/>
        <v>0</v>
      </c>
      <c r="N61" s="240">
        <f t="shared" si="25"/>
        <v>0</v>
      </c>
      <c r="O61" s="240">
        <f t="shared" si="25"/>
        <v>0</v>
      </c>
      <c r="P61" s="240">
        <f t="shared" si="25"/>
        <v>0</v>
      </c>
      <c r="Q61" s="240">
        <f t="shared" si="25"/>
        <v>0</v>
      </c>
      <c r="R61" s="240">
        <f t="shared" si="25"/>
        <v>145140</v>
      </c>
      <c r="S61" s="242"/>
      <c r="T61" s="242"/>
      <c r="U61" s="237"/>
    </row>
    <row r="62" spans="1:21" s="238" customFormat="1">
      <c r="A62" s="249" t="s">
        <v>530</v>
      </c>
      <c r="B62" s="240">
        <f>SUM(C62:D62)</f>
        <v>49870701.791790172</v>
      </c>
      <c r="C62" s="240">
        <f t="shared" ref="C62:R62" si="26">SUM(C8+C11+C13+C14+C15+C26+C27+C38+C42+C43+C53+C61)</f>
        <v>47169900.694673799</v>
      </c>
      <c r="D62" s="240">
        <f t="shared" si="26"/>
        <v>2700801.0971163739</v>
      </c>
      <c r="E62" s="240">
        <f t="shared" si="26"/>
        <v>21519234.754540179</v>
      </c>
      <c r="F62" s="240">
        <f t="shared" si="26"/>
        <v>6514000</v>
      </c>
      <c r="G62" s="240">
        <f t="shared" si="26"/>
        <v>12000000</v>
      </c>
      <c r="H62" s="240">
        <f t="shared" si="26"/>
        <v>3356330</v>
      </c>
      <c r="I62" s="240">
        <f t="shared" si="26"/>
        <v>6000000</v>
      </c>
      <c r="J62" s="240">
        <f t="shared" si="26"/>
        <v>100</v>
      </c>
      <c r="K62" s="240">
        <f t="shared" si="26"/>
        <v>481037.03724999999</v>
      </c>
      <c r="L62" s="240">
        <f t="shared" si="26"/>
        <v>0</v>
      </c>
      <c r="M62" s="240">
        <f t="shared" si="26"/>
        <v>0</v>
      </c>
      <c r="N62" s="240">
        <f t="shared" si="26"/>
        <v>0</v>
      </c>
      <c r="O62" s="240">
        <f t="shared" si="26"/>
        <v>0</v>
      </c>
      <c r="P62" s="240">
        <f t="shared" si="26"/>
        <v>0</v>
      </c>
      <c r="Q62" s="240">
        <f t="shared" si="26"/>
        <v>0</v>
      </c>
      <c r="R62" s="240">
        <f t="shared" si="26"/>
        <v>49870701.79179018</v>
      </c>
      <c r="S62" s="240">
        <f>SUM(S10+S13+S14+S15+S26+S27+S38+S42+S43+S53)</f>
        <v>37870599.777546272</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f>[4]EVERYTHING!$E$70</f>
        <v>60858.848474139886</v>
      </c>
      <c r="D64" s="241">
        <f>[4]EVERYTHING!$F$70</f>
        <v>4141.1515258601139</v>
      </c>
      <c r="E64" s="241">
        <f>B64-SUM(F64:Q64)</f>
        <v>65000</v>
      </c>
      <c r="F64" s="241"/>
      <c r="G64" s="241"/>
      <c r="H64" s="241"/>
      <c r="I64" s="241"/>
      <c r="J64" s="241"/>
      <c r="K64" s="241"/>
      <c r="L64" s="241"/>
      <c r="M64" s="241"/>
      <c r="N64" s="241"/>
      <c r="O64" s="241"/>
      <c r="P64" s="241"/>
      <c r="Q64" s="241"/>
      <c r="R64" s="241">
        <f>SUM(E64:Q64)</f>
        <v>65000</v>
      </c>
      <c r="S64" s="241">
        <f t="shared" ref="S64:S67" si="27">C64</f>
        <v>60858.848474139886</v>
      </c>
      <c r="T64" s="241"/>
      <c r="U64" s="237"/>
    </row>
    <row r="65" spans="1:21" s="238" customFormat="1" ht="24">
      <c r="A65" s="239" t="s">
        <v>2053</v>
      </c>
      <c r="B65" s="240">
        <f>SUM(C65+D65)</f>
        <v>0</v>
      </c>
      <c r="C65" s="241"/>
      <c r="D65" s="241"/>
      <c r="E65" s="241">
        <f t="shared" ref="E65:E68" si="28">B65-SUM(F65:Q65)</f>
        <v>0</v>
      </c>
      <c r="F65" s="241"/>
      <c r="G65" s="241"/>
      <c r="H65" s="241"/>
      <c r="I65" s="241"/>
      <c r="J65" s="241"/>
      <c r="K65" s="241"/>
      <c r="L65" s="241"/>
      <c r="M65" s="241"/>
      <c r="N65" s="241"/>
      <c r="O65" s="241"/>
      <c r="P65" s="241"/>
      <c r="Q65" s="241"/>
      <c r="R65" s="241">
        <f>SUM(E65:Q65)</f>
        <v>0</v>
      </c>
      <c r="S65" s="241">
        <f t="shared" si="27"/>
        <v>0</v>
      </c>
      <c r="T65" s="241"/>
      <c r="U65" s="237"/>
    </row>
    <row r="66" spans="1:21" s="238" customFormat="1" ht="24">
      <c r="A66" s="239" t="s">
        <v>2054</v>
      </c>
      <c r="B66" s="240">
        <f>SUM(C66+D66)</f>
        <v>0</v>
      </c>
      <c r="C66" s="241"/>
      <c r="D66" s="241"/>
      <c r="E66" s="241">
        <f t="shared" si="28"/>
        <v>0</v>
      </c>
      <c r="F66" s="241"/>
      <c r="G66" s="241"/>
      <c r="H66" s="241"/>
      <c r="I66" s="241"/>
      <c r="J66" s="241"/>
      <c r="K66" s="241"/>
      <c r="L66" s="241"/>
      <c r="M66" s="241"/>
      <c r="N66" s="241"/>
      <c r="O66" s="241"/>
      <c r="P66" s="241"/>
      <c r="Q66" s="241"/>
      <c r="R66" s="241">
        <f>SUM(E66:Q66)</f>
        <v>0</v>
      </c>
      <c r="S66" s="241">
        <f t="shared" si="27"/>
        <v>0</v>
      </c>
      <c r="T66" s="241"/>
      <c r="U66" s="237"/>
    </row>
    <row r="67" spans="1:21" s="238" customFormat="1">
      <c r="A67" s="239" t="s">
        <v>2055</v>
      </c>
      <c r="B67" s="240">
        <f>SUM(C67+D67)</f>
        <v>0</v>
      </c>
      <c r="C67" s="241"/>
      <c r="D67" s="241"/>
      <c r="E67" s="241">
        <f t="shared" si="28"/>
        <v>0</v>
      </c>
      <c r="F67" s="241"/>
      <c r="G67" s="241"/>
      <c r="H67" s="241"/>
      <c r="I67" s="241"/>
      <c r="J67" s="241"/>
      <c r="K67" s="241"/>
      <c r="L67" s="241"/>
      <c r="M67" s="241"/>
      <c r="N67" s="241"/>
      <c r="O67" s="241"/>
      <c r="P67" s="241"/>
      <c r="Q67" s="241"/>
      <c r="R67" s="241">
        <f>SUM(E67:Q67)</f>
        <v>0</v>
      </c>
      <c r="S67" s="241">
        <f t="shared" si="27"/>
        <v>0</v>
      </c>
      <c r="T67" s="241"/>
      <c r="U67" s="237"/>
    </row>
    <row r="68" spans="1:21" s="238" customFormat="1" ht="24">
      <c r="A68" s="246" t="s">
        <v>2531</v>
      </c>
      <c r="B68" s="240">
        <f>SUM(C68+D68)</f>
        <v>130000</v>
      </c>
      <c r="C68" s="241">
        <f>[4]EVERYTHING!$E$71+[4]EVERYTHING!$E$72</f>
        <v>126814.49882626145</v>
      </c>
      <c r="D68" s="241">
        <f>[4]EVERYTHING!$F$71+[4]EVERYTHING!$F$72</f>
        <v>3185.5011737385503</v>
      </c>
      <c r="E68" s="241">
        <f t="shared" si="28"/>
        <v>130000</v>
      </c>
      <c r="F68" s="241"/>
      <c r="G68" s="241"/>
      <c r="H68" s="241"/>
      <c r="I68" s="241"/>
      <c r="J68" s="241"/>
      <c r="K68" s="241"/>
      <c r="L68" s="241"/>
      <c r="M68" s="241"/>
      <c r="N68" s="241"/>
      <c r="O68" s="241"/>
      <c r="P68" s="241"/>
      <c r="Q68" s="241"/>
      <c r="R68" s="241">
        <f>SUM(E68:Q68)</f>
        <v>130000</v>
      </c>
      <c r="S68" s="241">
        <f>C68</f>
        <v>126814.49882626145</v>
      </c>
      <c r="T68" s="241"/>
      <c r="U68" s="237"/>
    </row>
    <row r="69" spans="1:21" s="238" customFormat="1">
      <c r="A69" s="243" t="s">
        <v>2056</v>
      </c>
      <c r="B69" s="240">
        <f>SUM(C69:D69)</f>
        <v>195000</v>
      </c>
      <c r="C69" s="240">
        <f>SUM(C63:C68)</f>
        <v>187673.34730040134</v>
      </c>
      <c r="D69" s="240">
        <f>SUM(D63:D68)</f>
        <v>7326.6526995986642</v>
      </c>
      <c r="E69" s="240">
        <f t="shared" ref="E69:T69" si="29">SUM(E64:E68)</f>
        <v>195000</v>
      </c>
      <c r="F69" s="240">
        <f t="shared" si="29"/>
        <v>0</v>
      </c>
      <c r="G69" s="240">
        <f t="shared" si="29"/>
        <v>0</v>
      </c>
      <c r="H69" s="240">
        <f t="shared" si="29"/>
        <v>0</v>
      </c>
      <c r="I69" s="240">
        <f t="shared" si="29"/>
        <v>0</v>
      </c>
      <c r="J69" s="240">
        <f t="shared" si="29"/>
        <v>0</v>
      </c>
      <c r="K69" s="240">
        <f t="shared" si="29"/>
        <v>0</v>
      </c>
      <c r="L69" s="240">
        <f t="shared" si="29"/>
        <v>0</v>
      </c>
      <c r="M69" s="240">
        <f t="shared" si="29"/>
        <v>0</v>
      </c>
      <c r="N69" s="240">
        <f t="shared" si="29"/>
        <v>0</v>
      </c>
      <c r="O69" s="240">
        <f t="shared" si="29"/>
        <v>0</v>
      </c>
      <c r="P69" s="240">
        <f t="shared" si="29"/>
        <v>0</v>
      </c>
      <c r="Q69" s="240">
        <f t="shared" si="29"/>
        <v>0</v>
      </c>
      <c r="R69" s="240">
        <f t="shared" si="29"/>
        <v>195000</v>
      </c>
      <c r="S69" s="244">
        <f t="shared" si="29"/>
        <v>187673.34730040134</v>
      </c>
      <c r="T69" s="244">
        <f t="shared" si="29"/>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ref="E72:E75" si="30">B72-SUM(F72:Q72)</f>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30"/>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261050</v>
      </c>
      <c r="C74" s="241">
        <f>[4]EVERYTHING!$E$75</f>
        <v>261050</v>
      </c>
      <c r="D74" s="241"/>
      <c r="E74" s="241">
        <f t="shared" si="30"/>
        <v>261050</v>
      </c>
      <c r="F74" s="241"/>
      <c r="G74" s="241"/>
      <c r="H74" s="241"/>
      <c r="I74" s="241"/>
      <c r="J74" s="241"/>
      <c r="K74" s="241"/>
      <c r="L74" s="241"/>
      <c r="M74" s="241"/>
      <c r="N74" s="241"/>
      <c r="O74" s="241"/>
      <c r="P74" s="241"/>
      <c r="Q74" s="241"/>
      <c r="R74" s="241">
        <f>SUM(E74:Q74)</f>
        <v>261050</v>
      </c>
      <c r="S74" s="242"/>
      <c r="T74" s="242"/>
      <c r="U74" s="237"/>
    </row>
    <row r="75" spans="1:21" s="238" customFormat="1">
      <c r="A75" s="246" t="s">
        <v>564</v>
      </c>
      <c r="B75" s="240">
        <f>SUM(C75+D75)</f>
        <v>0</v>
      </c>
      <c r="C75" s="241"/>
      <c r="D75" s="241"/>
      <c r="E75" s="241">
        <f t="shared" si="30"/>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261050</v>
      </c>
      <c r="C76" s="240">
        <f t="shared" ref="C76:Q76" si="31">SUM(C71:C75)</f>
        <v>261050</v>
      </c>
      <c r="D76" s="240">
        <f t="shared" si="31"/>
        <v>0</v>
      </c>
      <c r="E76" s="240">
        <f>SUM(E71:E75)</f>
        <v>261050</v>
      </c>
      <c r="F76" s="240">
        <f>SUM(F71:F75)</f>
        <v>0</v>
      </c>
      <c r="G76" s="240">
        <f>SUM(G71:G75)</f>
        <v>0</v>
      </c>
      <c r="H76" s="240">
        <f t="shared" si="31"/>
        <v>0</v>
      </c>
      <c r="I76" s="240">
        <f t="shared" si="31"/>
        <v>0</v>
      </c>
      <c r="J76" s="240">
        <f t="shared" si="31"/>
        <v>0</v>
      </c>
      <c r="K76" s="240">
        <f t="shared" si="31"/>
        <v>0</v>
      </c>
      <c r="L76" s="240">
        <f t="shared" si="31"/>
        <v>0</v>
      </c>
      <c r="M76" s="240">
        <f t="shared" si="31"/>
        <v>0</v>
      </c>
      <c r="N76" s="240">
        <f t="shared" si="31"/>
        <v>0</v>
      </c>
      <c r="O76" s="240">
        <f t="shared" si="31"/>
        <v>0</v>
      </c>
      <c r="P76" s="240">
        <f t="shared" si="31"/>
        <v>0</v>
      </c>
      <c r="Q76" s="240">
        <f t="shared" si="31"/>
        <v>0</v>
      </c>
      <c r="R76" s="240">
        <f>SUM(R71:R75)</f>
        <v>261050</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1628124.5</v>
      </c>
      <c r="C78" s="241">
        <f>[4]EVERYTHING!$E$81</f>
        <v>1524396.6498851504</v>
      </c>
      <c r="D78" s="241">
        <f>[4]EVERYTHING!$F$81</f>
        <v>103727.85011484963</v>
      </c>
      <c r="E78" s="241">
        <f>B78-SUM(F78:Q78)</f>
        <v>1628124.5</v>
      </c>
      <c r="F78" s="241"/>
      <c r="G78" s="241"/>
      <c r="H78" s="241"/>
      <c r="I78" s="241"/>
      <c r="J78" s="241"/>
      <c r="K78" s="241"/>
      <c r="L78" s="241"/>
      <c r="M78" s="241"/>
      <c r="N78" s="241"/>
      <c r="O78" s="241"/>
      <c r="P78" s="241"/>
      <c r="Q78" s="241"/>
      <c r="R78" s="241">
        <f>SUM(E78:Q78)</f>
        <v>1628124.5</v>
      </c>
      <c r="S78" s="241">
        <f t="shared" ref="S78:S79" si="32">C78</f>
        <v>1524396.6498851504</v>
      </c>
      <c r="T78" s="241"/>
      <c r="U78" s="237"/>
    </row>
    <row r="79" spans="1:21" s="238" customFormat="1">
      <c r="A79" s="239" t="s">
        <v>569</v>
      </c>
      <c r="B79" s="240">
        <f>SUM(C79+D79)</f>
        <v>449658.566227009</v>
      </c>
      <c r="C79" s="241">
        <f>[4]EVERYTHING!$E$93</f>
        <v>421010.80841705442</v>
      </c>
      <c r="D79" s="241">
        <f>[4]EVERYTHING!$F$93</f>
        <v>28647.757809954579</v>
      </c>
      <c r="E79" s="241">
        <f>B79-SUM(F79:Q79)</f>
        <v>449658.566227009</v>
      </c>
      <c r="F79" s="241"/>
      <c r="G79" s="241"/>
      <c r="H79" s="241"/>
      <c r="I79" s="241"/>
      <c r="J79" s="241"/>
      <c r="K79" s="241"/>
      <c r="L79" s="241"/>
      <c r="M79" s="241"/>
      <c r="N79" s="241"/>
      <c r="O79" s="241"/>
      <c r="P79" s="241"/>
      <c r="Q79" s="241"/>
      <c r="R79" s="241">
        <f>SUM(E79:Q79)</f>
        <v>449658.566227009</v>
      </c>
      <c r="S79" s="241">
        <f t="shared" si="32"/>
        <v>421010.80841705442</v>
      </c>
      <c r="T79" s="241"/>
      <c r="U79" s="237"/>
    </row>
    <row r="80" spans="1:21" s="238" customFormat="1">
      <c r="A80" s="243" t="s">
        <v>1818</v>
      </c>
      <c r="B80" s="240">
        <f>SUM(C80:D80)</f>
        <v>2077783.0662270091</v>
      </c>
      <c r="C80" s="681">
        <f>SUM(C78:C79)</f>
        <v>1945407.4583022047</v>
      </c>
      <c r="D80" s="681">
        <f t="shared" ref="D80:R80" si="33">SUM(D78:D79)</f>
        <v>132375.60792480421</v>
      </c>
      <c r="E80" s="681">
        <f t="shared" si="33"/>
        <v>2077783.0662270091</v>
      </c>
      <c r="F80" s="681">
        <f t="shared" si="33"/>
        <v>0</v>
      </c>
      <c r="G80" s="681">
        <f t="shared" si="33"/>
        <v>0</v>
      </c>
      <c r="H80" s="681">
        <f t="shared" si="33"/>
        <v>0</v>
      </c>
      <c r="I80" s="681">
        <f t="shared" si="33"/>
        <v>0</v>
      </c>
      <c r="J80" s="681">
        <f t="shared" si="33"/>
        <v>0</v>
      </c>
      <c r="K80" s="681">
        <f t="shared" si="33"/>
        <v>0</v>
      </c>
      <c r="L80" s="681">
        <f t="shared" si="33"/>
        <v>0</v>
      </c>
      <c r="M80" s="681">
        <f t="shared" si="33"/>
        <v>0</v>
      </c>
      <c r="N80" s="681">
        <f t="shared" si="33"/>
        <v>0</v>
      </c>
      <c r="O80" s="681">
        <f t="shared" si="33"/>
        <v>0</v>
      </c>
      <c r="P80" s="681">
        <f t="shared" si="33"/>
        <v>0</v>
      </c>
      <c r="Q80" s="681">
        <f t="shared" si="33"/>
        <v>0</v>
      </c>
      <c r="R80" s="681">
        <f t="shared" si="33"/>
        <v>2077783.0662270091</v>
      </c>
      <c r="S80" s="681">
        <f>SUM(S78:S79)</f>
        <v>1945407.4583022047</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122090</v>
      </c>
      <c r="C82" s="241">
        <f>[4]EVERYTHING!$E$83</f>
        <v>122090</v>
      </c>
      <c r="D82" s="241"/>
      <c r="E82" s="241">
        <f>B82-SUM(F82:Q82)</f>
        <v>122090</v>
      </c>
      <c r="F82" s="241"/>
      <c r="G82" s="241"/>
      <c r="H82" s="241"/>
      <c r="I82" s="241"/>
      <c r="J82" s="241"/>
      <c r="K82" s="241"/>
      <c r="L82" s="241"/>
      <c r="M82" s="241"/>
      <c r="N82" s="241"/>
      <c r="O82" s="241"/>
      <c r="P82" s="241"/>
      <c r="Q82" s="241"/>
      <c r="R82" s="241">
        <f>SUM(E82:Q82)</f>
        <v>122090</v>
      </c>
      <c r="S82" s="242"/>
      <c r="T82" s="242"/>
      <c r="U82" s="237"/>
    </row>
    <row r="83" spans="1:21" s="238" customFormat="1">
      <c r="A83" s="239" t="s">
        <v>547</v>
      </c>
      <c r="B83" s="240">
        <f t="shared" ref="B83:B93" si="34">SUM(C83+D83)</f>
        <v>54466</v>
      </c>
      <c r="C83" s="241">
        <f>[4]EVERYTHING!$E$90</f>
        <v>50995.969861423124</v>
      </c>
      <c r="D83" s="241">
        <f>[4]EVERYTHING!$F$90</f>
        <v>3470.0301385768762</v>
      </c>
      <c r="E83" s="241">
        <f t="shared" ref="E83:E94" si="35">B83-SUM(F83:Q83)</f>
        <v>54466</v>
      </c>
      <c r="F83" s="241"/>
      <c r="G83" s="241"/>
      <c r="H83" s="241"/>
      <c r="I83" s="241"/>
      <c r="J83" s="241"/>
      <c r="K83" s="241"/>
      <c r="L83" s="241"/>
      <c r="M83" s="241"/>
      <c r="N83" s="241"/>
      <c r="O83" s="241"/>
      <c r="P83" s="241"/>
      <c r="Q83" s="241"/>
      <c r="R83" s="241">
        <f t="shared" ref="R83:R93" si="36">SUM(E83:Q83)</f>
        <v>54466</v>
      </c>
      <c r="S83" s="241">
        <f t="shared" ref="S83:S94" si="37">C83</f>
        <v>50995.969861423124</v>
      </c>
      <c r="T83" s="241"/>
      <c r="U83" s="237"/>
    </row>
    <row r="84" spans="1:21" s="238" customFormat="1">
      <c r="A84" s="239" t="s">
        <v>548</v>
      </c>
      <c r="B84" s="240">
        <f t="shared" si="34"/>
        <v>4153144.57</v>
      </c>
      <c r="C84" s="241">
        <v>4132346.57</v>
      </c>
      <c r="D84" s="241">
        <v>20798</v>
      </c>
      <c r="E84" s="241">
        <f t="shared" si="35"/>
        <v>326444</v>
      </c>
      <c r="F84" s="241"/>
      <c r="G84" s="241"/>
      <c r="H84" s="241"/>
      <c r="I84" s="241"/>
      <c r="J84" s="241"/>
      <c r="K84" s="241"/>
      <c r="L84" s="241">
        <f>Application!AO624</f>
        <v>3826700.57</v>
      </c>
      <c r="M84" s="241"/>
      <c r="N84" s="241"/>
      <c r="O84" s="241"/>
      <c r="P84" s="241"/>
      <c r="Q84" s="241"/>
      <c r="R84" s="241">
        <f t="shared" si="36"/>
        <v>4153144.57</v>
      </c>
      <c r="S84" s="241">
        <f>[4]EVERYTHING!$G$86</f>
        <v>305646.2450968019</v>
      </c>
      <c r="T84" s="241"/>
      <c r="U84" s="237"/>
    </row>
    <row r="85" spans="1:21" s="238" customFormat="1">
      <c r="A85" s="239" t="s">
        <v>549</v>
      </c>
      <c r="B85" s="240">
        <f t="shared" si="34"/>
        <v>450000</v>
      </c>
      <c r="C85" s="241">
        <f>[4]EVERYTHING!$E$87</f>
        <v>421330.48943635309</v>
      </c>
      <c r="D85" s="241">
        <f>[4]EVERYTHING!$F$87</f>
        <v>28669.510563646909</v>
      </c>
      <c r="E85" s="241">
        <f t="shared" si="35"/>
        <v>450000</v>
      </c>
      <c r="F85" s="241"/>
      <c r="G85" s="241"/>
      <c r="H85" s="241"/>
      <c r="I85" s="241"/>
      <c r="J85" s="241"/>
      <c r="K85" s="241"/>
      <c r="L85" s="241"/>
      <c r="M85" s="241"/>
      <c r="N85" s="241"/>
      <c r="O85" s="241"/>
      <c r="P85" s="241"/>
      <c r="Q85" s="241"/>
      <c r="R85" s="241">
        <f t="shared" si="36"/>
        <v>450000</v>
      </c>
      <c r="S85" s="241">
        <f t="shared" si="37"/>
        <v>421330.48943635309</v>
      </c>
      <c r="T85" s="241"/>
      <c r="U85" s="237"/>
    </row>
    <row r="86" spans="1:21" s="238" customFormat="1">
      <c r="A86" s="239" t="s">
        <v>550</v>
      </c>
      <c r="B86" s="240">
        <f t="shared" si="34"/>
        <v>0</v>
      </c>
      <c r="C86" s="241"/>
      <c r="D86" s="241"/>
      <c r="E86" s="241">
        <f t="shared" si="35"/>
        <v>0</v>
      </c>
      <c r="F86" s="241"/>
      <c r="G86" s="241"/>
      <c r="H86" s="241"/>
      <c r="I86" s="241"/>
      <c r="J86" s="241"/>
      <c r="K86" s="241"/>
      <c r="L86" s="241"/>
      <c r="M86" s="241"/>
      <c r="N86" s="241"/>
      <c r="O86" s="241"/>
      <c r="P86" s="241"/>
      <c r="Q86" s="241"/>
      <c r="R86" s="241">
        <f t="shared" si="36"/>
        <v>0</v>
      </c>
      <c r="S86" s="241">
        <f t="shared" si="37"/>
        <v>0</v>
      </c>
      <c r="T86" s="241"/>
      <c r="U86" s="237"/>
    </row>
    <row r="87" spans="1:21" s="238" customFormat="1">
      <c r="A87" s="239" t="s">
        <v>551</v>
      </c>
      <c r="B87" s="240">
        <f t="shared" si="34"/>
        <v>115000</v>
      </c>
      <c r="C87" s="241">
        <f>[4]EVERYTHING!$E$89</f>
        <v>115000</v>
      </c>
      <c r="D87" s="241">
        <f>[4]EVERYTHING!$F$89</f>
        <v>0</v>
      </c>
      <c r="E87" s="241">
        <f t="shared" si="35"/>
        <v>115000</v>
      </c>
      <c r="F87" s="241"/>
      <c r="G87" s="241"/>
      <c r="H87" s="241"/>
      <c r="I87" s="241"/>
      <c r="J87" s="241"/>
      <c r="K87" s="241"/>
      <c r="L87" s="241"/>
      <c r="M87" s="241"/>
      <c r="N87" s="241"/>
      <c r="O87" s="241"/>
      <c r="P87" s="241"/>
      <c r="Q87" s="241"/>
      <c r="R87" s="241">
        <f t="shared" si="36"/>
        <v>115000</v>
      </c>
      <c r="S87" s="242"/>
      <c r="T87" s="242"/>
      <c r="U87" s="237"/>
    </row>
    <row r="88" spans="1:21" s="238" customFormat="1">
      <c r="A88" s="239" t="s">
        <v>552</v>
      </c>
      <c r="B88" s="240">
        <f t="shared" si="34"/>
        <v>100000</v>
      </c>
      <c r="C88" s="241">
        <f>[4]EVERYTHING!$E$91</f>
        <v>100000</v>
      </c>
      <c r="D88" s="241">
        <f>[4]EVERYTHING!$F$91</f>
        <v>0</v>
      </c>
      <c r="E88" s="241">
        <f t="shared" si="35"/>
        <v>100000</v>
      </c>
      <c r="F88" s="241"/>
      <c r="G88" s="241"/>
      <c r="H88" s="241"/>
      <c r="I88" s="241"/>
      <c r="J88" s="241"/>
      <c r="K88" s="241"/>
      <c r="L88" s="241"/>
      <c r="M88" s="241"/>
      <c r="N88" s="241"/>
      <c r="O88" s="241"/>
      <c r="P88" s="241"/>
      <c r="Q88" s="241"/>
      <c r="R88" s="241">
        <f t="shared" si="36"/>
        <v>100000</v>
      </c>
      <c r="S88" s="241">
        <f t="shared" si="37"/>
        <v>100000</v>
      </c>
      <c r="T88" s="241"/>
      <c r="U88" s="237"/>
    </row>
    <row r="89" spans="1:21" s="238" customFormat="1">
      <c r="A89" s="239" t="s">
        <v>553</v>
      </c>
      <c r="B89" s="240">
        <f t="shared" si="34"/>
        <v>10000</v>
      </c>
      <c r="C89" s="241">
        <f>[4]EVERYTHING!$E$88</f>
        <v>10000</v>
      </c>
      <c r="D89" s="241">
        <f>[4]EVERYTHING!$F$88</f>
        <v>0</v>
      </c>
      <c r="E89" s="241">
        <f t="shared" si="35"/>
        <v>10000</v>
      </c>
      <c r="F89" s="241"/>
      <c r="G89" s="241"/>
      <c r="H89" s="241"/>
      <c r="I89" s="241"/>
      <c r="J89" s="241"/>
      <c r="K89" s="241"/>
      <c r="L89" s="241"/>
      <c r="M89" s="241"/>
      <c r="N89" s="241"/>
      <c r="O89" s="241"/>
      <c r="P89" s="241"/>
      <c r="Q89" s="241"/>
      <c r="R89" s="241">
        <f t="shared" si="36"/>
        <v>10000</v>
      </c>
      <c r="S89" s="241">
        <f>[4]EVERYTHING!$G$88</f>
        <v>0</v>
      </c>
      <c r="T89" s="241"/>
      <c r="U89" s="237"/>
    </row>
    <row r="90" spans="1:21" s="238" customFormat="1">
      <c r="A90" s="250" t="s">
        <v>1367</v>
      </c>
      <c r="B90" s="240">
        <f t="shared" si="34"/>
        <v>0</v>
      </c>
      <c r="C90" s="241"/>
      <c r="D90" s="241"/>
      <c r="E90" s="241">
        <f t="shared" si="35"/>
        <v>0</v>
      </c>
      <c r="F90" s="241"/>
      <c r="G90" s="241"/>
      <c r="H90" s="241"/>
      <c r="I90" s="241"/>
      <c r="J90" s="241"/>
      <c r="K90" s="241"/>
      <c r="L90" s="241"/>
      <c r="M90" s="241"/>
      <c r="N90" s="241"/>
      <c r="O90" s="241"/>
      <c r="P90" s="241"/>
      <c r="Q90" s="241"/>
      <c r="R90" s="241">
        <f t="shared" si="36"/>
        <v>0</v>
      </c>
      <c r="S90" s="241">
        <f t="shared" si="37"/>
        <v>0</v>
      </c>
      <c r="T90" s="241"/>
      <c r="U90" s="237"/>
    </row>
    <row r="91" spans="1:21" s="238" customFormat="1">
      <c r="A91" s="250" t="s">
        <v>1816</v>
      </c>
      <c r="B91" s="240">
        <f t="shared" si="34"/>
        <v>10000</v>
      </c>
      <c r="C91" s="241">
        <f>[4]EVERYTHING!$E$80</f>
        <v>9362.8997652522903</v>
      </c>
      <c r="D91" s="241">
        <f>[4]EVERYTHING!$F$80</f>
        <v>637.10023474770969</v>
      </c>
      <c r="E91" s="241">
        <f t="shared" si="35"/>
        <v>10000</v>
      </c>
      <c r="F91" s="241"/>
      <c r="G91" s="241"/>
      <c r="H91" s="241"/>
      <c r="I91" s="241"/>
      <c r="J91" s="241"/>
      <c r="K91" s="241"/>
      <c r="L91" s="241"/>
      <c r="M91" s="241"/>
      <c r="N91" s="241"/>
      <c r="O91" s="241"/>
      <c r="P91" s="241"/>
      <c r="Q91" s="241"/>
      <c r="R91" s="241">
        <f t="shared" si="36"/>
        <v>10000</v>
      </c>
      <c r="S91" s="241">
        <f t="shared" si="37"/>
        <v>9362.8997652522903</v>
      </c>
      <c r="T91" s="241"/>
      <c r="U91" s="237"/>
    </row>
    <row r="92" spans="1:21" s="238" customFormat="1">
      <c r="A92" s="246" t="s">
        <v>2532</v>
      </c>
      <c r="B92" s="240">
        <f t="shared" si="34"/>
        <v>212581</v>
      </c>
      <c r="C92" s="241">
        <f>[4]EVERYTHING!$E$84</f>
        <v>199037.45949970972</v>
      </c>
      <c r="D92" s="241">
        <f>[4]EVERYTHING!$F$84</f>
        <v>13543.540500290284</v>
      </c>
      <c r="E92" s="241">
        <f t="shared" si="35"/>
        <v>212581</v>
      </c>
      <c r="F92" s="241"/>
      <c r="G92" s="241"/>
      <c r="H92" s="241"/>
      <c r="I92" s="241"/>
      <c r="J92" s="241"/>
      <c r="K92" s="241"/>
      <c r="L92" s="241"/>
      <c r="M92" s="241"/>
      <c r="N92" s="241"/>
      <c r="O92" s="241"/>
      <c r="P92" s="241"/>
      <c r="Q92" s="241"/>
      <c r="R92" s="241">
        <f t="shared" si="36"/>
        <v>212581</v>
      </c>
      <c r="S92" s="241">
        <f t="shared" si="37"/>
        <v>199037.45949970972</v>
      </c>
      <c r="T92" s="241"/>
      <c r="U92" s="237"/>
    </row>
    <row r="93" spans="1:21" s="238" customFormat="1">
      <c r="A93" s="246" t="s">
        <v>564</v>
      </c>
      <c r="B93" s="240">
        <f t="shared" si="34"/>
        <v>0</v>
      </c>
      <c r="C93" s="241"/>
      <c r="D93" s="241"/>
      <c r="E93" s="241">
        <f t="shared" si="35"/>
        <v>0</v>
      </c>
      <c r="F93" s="241"/>
      <c r="G93" s="241"/>
      <c r="H93" s="241"/>
      <c r="I93" s="241"/>
      <c r="J93" s="241"/>
      <c r="K93" s="241"/>
      <c r="L93" s="241"/>
      <c r="M93" s="241"/>
      <c r="N93" s="241"/>
      <c r="O93" s="241"/>
      <c r="P93" s="241"/>
      <c r="Q93" s="241"/>
      <c r="R93" s="241">
        <f t="shared" si="36"/>
        <v>0</v>
      </c>
      <c r="S93" s="241">
        <f t="shared" si="37"/>
        <v>0</v>
      </c>
      <c r="T93" s="241"/>
      <c r="U93" s="237"/>
    </row>
    <row r="94" spans="1:21" s="238" customFormat="1">
      <c r="A94" s="246" t="s">
        <v>564</v>
      </c>
      <c r="B94" s="240">
        <f>SUM(C94+D94)</f>
        <v>0</v>
      </c>
      <c r="C94" s="241"/>
      <c r="D94" s="241"/>
      <c r="E94" s="241">
        <f t="shared" si="35"/>
        <v>0</v>
      </c>
      <c r="F94" s="241"/>
      <c r="G94" s="241"/>
      <c r="H94" s="241"/>
      <c r="I94" s="241"/>
      <c r="J94" s="241"/>
      <c r="K94" s="241"/>
      <c r="L94" s="241"/>
      <c r="M94" s="241"/>
      <c r="N94" s="241"/>
      <c r="O94" s="241"/>
      <c r="P94" s="241"/>
      <c r="Q94" s="241"/>
      <c r="R94" s="241">
        <f>SUM(E94:Q94)</f>
        <v>0</v>
      </c>
      <c r="S94" s="241">
        <f t="shared" si="37"/>
        <v>0</v>
      </c>
      <c r="T94" s="241"/>
      <c r="U94" s="237"/>
    </row>
    <row r="95" spans="1:21" s="238" customFormat="1">
      <c r="A95" s="243" t="s">
        <v>554</v>
      </c>
      <c r="B95" s="240">
        <f>SUM(C95:D95)</f>
        <v>5227281.5699999994</v>
      </c>
      <c r="C95" s="240">
        <f t="shared" ref="C95:R95" si="38">SUM(C82:C94)</f>
        <v>5160163.388562738</v>
      </c>
      <c r="D95" s="240">
        <f t="shared" si="38"/>
        <v>67118.181437261781</v>
      </c>
      <c r="E95" s="240">
        <f t="shared" si="38"/>
        <v>1400581</v>
      </c>
      <c r="F95" s="240">
        <f t="shared" si="38"/>
        <v>0</v>
      </c>
      <c r="G95" s="240">
        <f t="shared" si="38"/>
        <v>0</v>
      </c>
      <c r="H95" s="240">
        <f t="shared" si="38"/>
        <v>0</v>
      </c>
      <c r="I95" s="240">
        <f t="shared" si="38"/>
        <v>0</v>
      </c>
      <c r="J95" s="240">
        <f t="shared" si="38"/>
        <v>0</v>
      </c>
      <c r="K95" s="240">
        <f t="shared" si="38"/>
        <v>0</v>
      </c>
      <c r="L95" s="240">
        <f t="shared" si="38"/>
        <v>3826700.57</v>
      </c>
      <c r="M95" s="240">
        <f t="shared" si="38"/>
        <v>0</v>
      </c>
      <c r="N95" s="240">
        <f t="shared" si="38"/>
        <v>0</v>
      </c>
      <c r="O95" s="240">
        <f t="shared" si="38"/>
        <v>0</v>
      </c>
      <c r="P95" s="240">
        <f t="shared" si="38"/>
        <v>0</v>
      </c>
      <c r="Q95" s="240">
        <f t="shared" si="38"/>
        <v>0</v>
      </c>
      <c r="R95" s="240">
        <f t="shared" si="38"/>
        <v>5227281.57</v>
      </c>
      <c r="S95" s="244">
        <f>SUM(S83:S86,S88:S94)</f>
        <v>1086373.0636595401</v>
      </c>
      <c r="T95" s="240">
        <f>SUM(T83:T86,T88:T94)</f>
        <v>0</v>
      </c>
      <c r="U95" s="237"/>
    </row>
    <row r="96" spans="1:21" s="238" customFormat="1">
      <c r="A96" s="243" t="s">
        <v>555</v>
      </c>
      <c r="B96" s="240">
        <f>SUM(C96:D96)</f>
        <v>57631816.428017184</v>
      </c>
      <c r="C96" s="240">
        <f t="shared" ref="C96:R96" si="39">SUM(C62+C69+C76+C80+C95)</f>
        <v>54724194.888839148</v>
      </c>
      <c r="D96" s="240">
        <f t="shared" si="39"/>
        <v>2907621.5391780385</v>
      </c>
      <c r="E96" s="240">
        <f t="shared" si="39"/>
        <v>25453648.820767187</v>
      </c>
      <c r="F96" s="240">
        <f t="shared" si="39"/>
        <v>6514000</v>
      </c>
      <c r="G96" s="240">
        <f t="shared" si="39"/>
        <v>12000000</v>
      </c>
      <c r="H96" s="240">
        <f t="shared" si="39"/>
        <v>3356330</v>
      </c>
      <c r="I96" s="240">
        <f t="shared" si="39"/>
        <v>6000000</v>
      </c>
      <c r="J96" s="240">
        <f t="shared" si="39"/>
        <v>100</v>
      </c>
      <c r="K96" s="240">
        <f t="shared" si="39"/>
        <v>481037.03724999999</v>
      </c>
      <c r="L96" s="240">
        <f t="shared" si="39"/>
        <v>3826700.57</v>
      </c>
      <c r="M96" s="240">
        <f t="shared" si="39"/>
        <v>0</v>
      </c>
      <c r="N96" s="240">
        <f t="shared" si="39"/>
        <v>0</v>
      </c>
      <c r="O96" s="240">
        <f t="shared" si="39"/>
        <v>0</v>
      </c>
      <c r="P96" s="240">
        <f t="shared" si="39"/>
        <v>0</v>
      </c>
      <c r="Q96" s="240">
        <f t="shared" si="39"/>
        <v>0</v>
      </c>
      <c r="R96" s="240">
        <f t="shared" si="39"/>
        <v>57631816.428017192</v>
      </c>
      <c r="S96" s="244">
        <f>SUM(+S62+S69+S80+S95)</f>
        <v>41090053.646808423</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f>[4]EVERYTHING!$E$97</f>
        <v>2200000</v>
      </c>
      <c r="D98" s="241">
        <f>[4]EVERYTHING!$F$97</f>
        <v>0</v>
      </c>
      <c r="E98" s="241">
        <f>B98-SUM(F98:Q98)</f>
        <v>2200000</v>
      </c>
      <c r="F98" s="241"/>
      <c r="G98" s="241"/>
      <c r="H98" s="241"/>
      <c r="I98" s="241"/>
      <c r="J98" s="241"/>
      <c r="K98" s="241"/>
      <c r="L98" s="241"/>
      <c r="M98" s="241"/>
      <c r="N98" s="241"/>
      <c r="O98" s="241"/>
      <c r="P98" s="241"/>
      <c r="Q98" s="241"/>
      <c r="R98" s="241">
        <f>SUM(E98:Q98)</f>
        <v>2200000</v>
      </c>
      <c r="S98" s="241">
        <f t="shared" ref="S98" si="40">C98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41">SUM(C98:C102)</f>
        <v>2200000</v>
      </c>
      <c r="D103" s="240">
        <f t="shared" si="41"/>
        <v>0</v>
      </c>
      <c r="E103" s="240">
        <f t="shared" si="41"/>
        <v>2200000</v>
      </c>
      <c r="F103" s="240">
        <f t="shared" si="41"/>
        <v>0</v>
      </c>
      <c r="G103" s="240">
        <f t="shared" si="41"/>
        <v>0</v>
      </c>
      <c r="H103" s="240">
        <f t="shared" si="41"/>
        <v>0</v>
      </c>
      <c r="I103" s="240">
        <f t="shared" si="41"/>
        <v>0</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2200000</v>
      </c>
      <c r="S103" s="244">
        <f t="shared" si="41"/>
        <v>2200000</v>
      </c>
      <c r="T103" s="244">
        <f t="shared" si="41"/>
        <v>0</v>
      </c>
      <c r="U103" s="237"/>
    </row>
    <row r="104" spans="1:21" s="238" customFormat="1">
      <c r="A104" s="243" t="s">
        <v>1204</v>
      </c>
      <c r="B104" s="244">
        <f>SUM(C104:D104)</f>
        <v>59831816.428017184</v>
      </c>
      <c r="C104" s="244">
        <f t="shared" ref="C104:R104" si="42">SUM(C96+C103)</f>
        <v>56924194.888839148</v>
      </c>
      <c r="D104" s="244">
        <f t="shared" si="42"/>
        <v>2907621.5391780385</v>
      </c>
      <c r="E104" s="244">
        <f t="shared" si="42"/>
        <v>27653648.820767187</v>
      </c>
      <c r="F104" s="244">
        <f t="shared" si="42"/>
        <v>6514000</v>
      </c>
      <c r="G104" s="244">
        <f t="shared" si="42"/>
        <v>12000000</v>
      </c>
      <c r="H104" s="244">
        <f t="shared" si="42"/>
        <v>3356330</v>
      </c>
      <c r="I104" s="244">
        <f t="shared" si="42"/>
        <v>6000000</v>
      </c>
      <c r="J104" s="244">
        <f t="shared" si="42"/>
        <v>100</v>
      </c>
      <c r="K104" s="244">
        <f t="shared" si="42"/>
        <v>481037.03724999999</v>
      </c>
      <c r="L104" s="244">
        <f t="shared" si="42"/>
        <v>3826700.57</v>
      </c>
      <c r="M104" s="244">
        <f t="shared" si="42"/>
        <v>0</v>
      </c>
      <c r="N104" s="244">
        <f t="shared" si="42"/>
        <v>0</v>
      </c>
      <c r="O104" s="244">
        <f t="shared" si="42"/>
        <v>0</v>
      </c>
      <c r="P104" s="244">
        <f t="shared" si="42"/>
        <v>0</v>
      </c>
      <c r="Q104" s="244">
        <f t="shared" si="42"/>
        <v>0</v>
      </c>
      <c r="R104" s="240">
        <f t="shared" si="42"/>
        <v>59831816.428017192</v>
      </c>
      <c r="S104" s="244">
        <f>S96+S103</f>
        <v>43290053.646808423</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43290053.646808423</v>
      </c>
      <c r="T106" s="244">
        <f>T104+T105</f>
        <v>0</v>
      </c>
      <c r="U106" s="256"/>
    </row>
    <row r="107" spans="1:21" s="258" customFormat="1">
      <c r="A107" s="257" t="s">
        <v>1154</v>
      </c>
      <c r="B107" s="252"/>
      <c r="C107" s="252"/>
      <c r="D107" s="252"/>
      <c r="E107" s="240">
        <f>Application!AO631</f>
        <v>27653648.82076719</v>
      </c>
      <c r="F107" s="240">
        <f>Application!AO618</f>
        <v>6514000</v>
      </c>
      <c r="G107" s="240">
        <f>Application!AO619</f>
        <v>12000000</v>
      </c>
      <c r="H107" s="240">
        <f>Application!AO620</f>
        <v>3356330</v>
      </c>
      <c r="I107" s="240">
        <f>Application!AO621</f>
        <v>6000000</v>
      </c>
      <c r="J107" s="240">
        <f>Application!AO622</f>
        <v>100</v>
      </c>
      <c r="K107" s="240">
        <f>Application!AO623</f>
        <v>481037.03724999999</v>
      </c>
      <c r="L107" s="240">
        <f>Application!AO624</f>
        <v>3826700.57</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85" t="s">
        <v>1343</v>
      </c>
      <c r="E122" s="1585"/>
      <c r="F122" s="1585"/>
      <c r="U122" s="256"/>
    </row>
    <row r="123" spans="1:21" s="253" customFormat="1">
      <c r="A123" s="253" t="s">
        <v>1344</v>
      </c>
      <c r="B123" s="561"/>
      <c r="D123" s="1587" t="s">
        <v>1368</v>
      </c>
      <c r="E123" s="1588"/>
      <c r="F123" s="1588"/>
      <c r="G123" s="1588"/>
      <c r="H123" s="1588"/>
      <c r="I123" s="1588"/>
      <c r="J123" s="1588"/>
      <c r="K123" s="1588"/>
      <c r="L123" s="1588"/>
      <c r="M123" s="1588"/>
      <c r="N123" s="1588"/>
      <c r="O123" s="1588"/>
      <c r="P123" s="1588"/>
      <c r="Q123" s="1588"/>
      <c r="R123" s="1588"/>
      <c r="S123" s="1588"/>
      <c r="U123" s="256"/>
    </row>
    <row r="124" spans="1:21" s="253" customFormat="1" ht="12.75">
      <c r="A124" s="209" t="s">
        <v>1345</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75">
      <c r="A125" s="209" t="s">
        <v>1346</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528</v>
      </c>
      <c r="B129" s="561"/>
      <c r="C129" s="209"/>
      <c r="D129" s="1584" t="s">
        <v>1350</v>
      </c>
      <c r="E129" s="1584"/>
      <c r="F129" s="1584"/>
      <c r="G129" s="1584"/>
      <c r="H129" s="1584"/>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2.75">
      <c r="A132" s="563"/>
      <c r="B132" s="209"/>
      <c r="C132" s="209"/>
      <c r="D132" s="1589" t="s">
        <v>1353</v>
      </c>
      <c r="E132" s="1589"/>
      <c r="F132" s="1589"/>
      <c r="G132" s="1589"/>
      <c r="H132" s="1589"/>
      <c r="I132" s="209"/>
      <c r="J132" s="1589" t="s">
        <v>1354</v>
      </c>
      <c r="K132" s="1589"/>
      <c r="L132" s="1589"/>
      <c r="M132" s="1589"/>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1356</v>
      </c>
      <c r="B139" s="1586"/>
      <c r="C139" s="1586"/>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51" stopIfTrue="1">
      <formula>T9&gt;C9</formula>
    </cfRule>
  </conditionalFormatting>
  <conditionalFormatting sqref="T10">
    <cfRule type="expression" dxfId="130" priority="250" stopIfTrue="1">
      <formula>(T10+S10)&gt;C10</formula>
    </cfRule>
  </conditionalFormatting>
  <conditionalFormatting sqref="R8">
    <cfRule type="cellIs" dxfId="129" priority="230" stopIfTrue="1" operator="notEqual">
      <formula>$B8</formula>
    </cfRule>
    <cfRule type="cellIs" priority="233" stopIfTrue="1" operator="notEqual">
      <formula>$B8</formula>
    </cfRule>
  </conditionalFormatting>
  <conditionalFormatting sqref="R4:R7 R45:R52 R56:R60 R82:R94 R98:R102">
    <cfRule type="cellIs" dxfId="128" priority="232" stopIfTrue="1" operator="notEqual">
      <formula>$B4</formula>
    </cfRule>
  </conditionalFormatting>
  <conditionalFormatting sqref="R9:R10">
    <cfRule type="cellIs" dxfId="127" priority="231" stopIfTrue="1" operator="notEqual">
      <formula>$B9</formula>
    </cfRule>
  </conditionalFormatting>
  <conditionalFormatting sqref="R11:R12">
    <cfRule type="cellIs" dxfId="126" priority="228" stopIfTrue="1" operator="notEqual">
      <formula>$B11</formula>
    </cfRule>
    <cfRule type="cellIs" priority="229" stopIfTrue="1" operator="notEqual">
      <formula>$B11</formula>
    </cfRule>
  </conditionalFormatting>
  <conditionalFormatting sqref="R13:R15">
    <cfRule type="cellIs" dxfId="125" priority="227" stopIfTrue="1" operator="notEqual">
      <formula>$B13</formula>
    </cfRule>
  </conditionalFormatting>
  <conditionalFormatting sqref="R26">
    <cfRule type="cellIs" dxfId="124" priority="225" stopIfTrue="1" operator="notEqual">
      <formula>$B26</formula>
    </cfRule>
    <cfRule type="cellIs" priority="226" stopIfTrue="1" operator="notEqual">
      <formula>$B26</formula>
    </cfRule>
  </conditionalFormatting>
  <conditionalFormatting sqref="R17:R25">
    <cfRule type="cellIs" dxfId="123" priority="224" stopIfTrue="1" operator="notEqual">
      <formula>$B17</formula>
    </cfRule>
  </conditionalFormatting>
  <conditionalFormatting sqref="R27">
    <cfRule type="cellIs" dxfId="122" priority="223" stopIfTrue="1" operator="notEqual">
      <formula>$B27</formula>
    </cfRule>
  </conditionalFormatting>
  <conditionalFormatting sqref="R38">
    <cfRule type="cellIs" dxfId="121" priority="221" stopIfTrue="1" operator="notEqual">
      <formula>$B38</formula>
    </cfRule>
    <cfRule type="cellIs" priority="222" stopIfTrue="1" operator="notEqual">
      <formula>$B38</formula>
    </cfRule>
  </conditionalFormatting>
  <conditionalFormatting sqref="R29:R37">
    <cfRule type="cellIs" dxfId="120" priority="220" stopIfTrue="1" operator="notEqual">
      <formula>$B29</formula>
    </cfRule>
  </conditionalFormatting>
  <conditionalFormatting sqref="R42">
    <cfRule type="cellIs" dxfId="119" priority="218" stopIfTrue="1" operator="notEqual">
      <formula>$B42</formula>
    </cfRule>
    <cfRule type="cellIs" priority="219" stopIfTrue="1" operator="notEqual">
      <formula>$B42</formula>
    </cfRule>
  </conditionalFormatting>
  <conditionalFormatting sqref="R40:R41">
    <cfRule type="cellIs" dxfId="118" priority="217" stopIfTrue="1" operator="notEqual">
      <formula>$B40</formula>
    </cfRule>
  </conditionalFormatting>
  <conditionalFormatting sqref="R43">
    <cfRule type="cellIs" dxfId="117" priority="216" stopIfTrue="1" operator="notEqual">
      <formula>$B43</formula>
    </cfRule>
  </conditionalFormatting>
  <conditionalFormatting sqref="R53">
    <cfRule type="cellIs" dxfId="116" priority="213" stopIfTrue="1" operator="notEqual">
      <formula>$B53</formula>
    </cfRule>
    <cfRule type="cellIs" priority="214" stopIfTrue="1" operator="notEqual">
      <formula>$B53</formula>
    </cfRule>
  </conditionalFormatting>
  <conditionalFormatting sqref="R55">
    <cfRule type="cellIs" dxfId="115" priority="211" stopIfTrue="1" operator="notEqual">
      <formula>$B55</formula>
    </cfRule>
  </conditionalFormatting>
  <conditionalFormatting sqref="R61:R62">
    <cfRule type="cellIs" dxfId="114" priority="209" stopIfTrue="1" operator="notEqual">
      <formula>$B61</formula>
    </cfRule>
    <cfRule type="cellIs" priority="210" stopIfTrue="1" operator="notEqual">
      <formula>$B61</formula>
    </cfRule>
  </conditionalFormatting>
  <conditionalFormatting sqref="R64:R68">
    <cfRule type="cellIs" dxfId="113" priority="208" stopIfTrue="1" operator="notEqual">
      <formula>$B64</formula>
    </cfRule>
  </conditionalFormatting>
  <conditionalFormatting sqref="R69">
    <cfRule type="cellIs" dxfId="112" priority="206" stopIfTrue="1" operator="notEqual">
      <formula>$B69</formula>
    </cfRule>
    <cfRule type="cellIs" priority="207" stopIfTrue="1" operator="notEqual">
      <formula>$B69</formula>
    </cfRule>
  </conditionalFormatting>
  <conditionalFormatting sqref="R71:R75">
    <cfRule type="cellIs" dxfId="111" priority="205" stopIfTrue="1" operator="notEqual">
      <formula>$B71</formula>
    </cfRule>
  </conditionalFormatting>
  <conditionalFormatting sqref="R76">
    <cfRule type="cellIs" dxfId="110" priority="203" stopIfTrue="1" operator="notEqual">
      <formula>$B76</formula>
    </cfRule>
    <cfRule type="cellIs" priority="204" stopIfTrue="1" operator="notEqual">
      <formula>$B76</formula>
    </cfRule>
  </conditionalFormatting>
  <conditionalFormatting sqref="R78:R79">
    <cfRule type="cellIs" dxfId="109" priority="202" stopIfTrue="1" operator="notEqual">
      <formula>$B78</formula>
    </cfRule>
  </conditionalFormatting>
  <conditionalFormatting sqref="R95:R96">
    <cfRule type="cellIs" dxfId="108" priority="199" stopIfTrue="1" operator="notEqual">
      <formula>$B95</formula>
    </cfRule>
    <cfRule type="cellIs" priority="200" stopIfTrue="1" operator="notEqual">
      <formula>$B95</formula>
    </cfRule>
  </conditionalFormatting>
  <conditionalFormatting sqref="R103:R104">
    <cfRule type="cellIs" dxfId="107" priority="196" stopIfTrue="1" operator="notEqual">
      <formula>$B103</formula>
    </cfRule>
    <cfRule type="cellIs" priority="197" stopIfTrue="1" operator="notEqual">
      <formula>$B103</formula>
    </cfRule>
  </conditionalFormatting>
  <conditionalFormatting sqref="E104:Q104">
    <cfRule type="cellIs" dxfId="106" priority="195" stopIfTrue="1" operator="notEqual">
      <formula>E$107</formula>
    </cfRule>
  </conditionalFormatting>
  <conditionalFormatting sqref="S10">
    <cfRule type="expression" dxfId="105" priority="131" stopIfTrue="1">
      <formula>(S10+T10)&gt;C10</formula>
    </cfRule>
  </conditionalFormatting>
  <conditionalFormatting sqref="S30">
    <cfRule type="expression" dxfId="104" priority="107" stopIfTrue="1">
      <formula>(S30+T30)&gt;C30</formula>
    </cfRule>
  </conditionalFormatting>
  <conditionalFormatting sqref="S31:S37">
    <cfRule type="expression" dxfId="103" priority="106" stopIfTrue="1">
      <formula>(S31+T31)&gt;C31</formula>
    </cfRule>
  </conditionalFormatting>
  <conditionalFormatting sqref="S29">
    <cfRule type="expression" dxfId="102" priority="108" stopIfTrue="1">
      <formula>(S29+T29)&gt;C29</formula>
    </cfRule>
  </conditionalFormatting>
  <conditionalFormatting sqref="S23:S24">
    <cfRule type="expression" dxfId="101" priority="112" stopIfTrue="1">
      <formula>(S23+T23)&gt;C23</formula>
    </cfRule>
  </conditionalFormatting>
  <conditionalFormatting sqref="T13">
    <cfRule type="expression" dxfId="100" priority="130" stopIfTrue="1">
      <formula>(T13+S13)&gt;C13</formula>
    </cfRule>
  </conditionalFormatting>
  <conditionalFormatting sqref="T14">
    <cfRule type="expression" dxfId="99" priority="129" stopIfTrue="1">
      <formula>(T14+S14)&gt;C14</formula>
    </cfRule>
  </conditionalFormatting>
  <conditionalFormatting sqref="T17">
    <cfRule type="expression" dxfId="98" priority="128" stopIfTrue="1">
      <formula>(T17+S17)&gt;C17</formula>
    </cfRule>
  </conditionalFormatting>
  <conditionalFormatting sqref="T18">
    <cfRule type="expression" dxfId="97" priority="127" stopIfTrue="1">
      <formula>(T18+S18)&gt;C18</formula>
    </cfRule>
  </conditionalFormatting>
  <conditionalFormatting sqref="T19">
    <cfRule type="expression" dxfId="96" priority="126" stopIfTrue="1">
      <formula>(T19+S19)&gt;C19</formula>
    </cfRule>
  </conditionalFormatting>
  <conditionalFormatting sqref="T20">
    <cfRule type="expression" dxfId="95" priority="125" stopIfTrue="1">
      <formula>(T20+S20)&gt;C20</formula>
    </cfRule>
  </conditionalFormatting>
  <conditionalFormatting sqref="T21">
    <cfRule type="expression" dxfId="94" priority="124" stopIfTrue="1">
      <formula>(T21+S21)&gt;C21</formula>
    </cfRule>
  </conditionalFormatting>
  <conditionalFormatting sqref="T22">
    <cfRule type="expression" dxfId="93" priority="123" stopIfTrue="1">
      <formula>(T22+S22)&gt;C22</formula>
    </cfRule>
  </conditionalFormatting>
  <conditionalFormatting sqref="T23:T24">
    <cfRule type="expression" dxfId="92" priority="122" stopIfTrue="1">
      <formula>(T23+S23)&gt;C23</formula>
    </cfRule>
  </conditionalFormatting>
  <conditionalFormatting sqref="T25">
    <cfRule type="expression" dxfId="91" priority="121" stopIfTrue="1">
      <formula>(T25+S25)&gt;C25</formula>
    </cfRule>
  </conditionalFormatting>
  <conditionalFormatting sqref="S13">
    <cfRule type="expression" dxfId="90" priority="120" stopIfTrue="1">
      <formula>(S13+T13)&gt;C13</formula>
    </cfRule>
  </conditionalFormatting>
  <conditionalFormatting sqref="S14">
    <cfRule type="expression" dxfId="89" priority="119" stopIfTrue="1">
      <formula>(S14+T14)&gt;C14</formula>
    </cfRule>
  </conditionalFormatting>
  <conditionalFormatting sqref="S17">
    <cfRule type="expression" dxfId="88" priority="118" stopIfTrue="1">
      <formula>(S17+T17)&gt;C17</formula>
    </cfRule>
  </conditionalFormatting>
  <conditionalFormatting sqref="S18">
    <cfRule type="expression" dxfId="87" priority="117" stopIfTrue="1">
      <formula>(S18+T18)&gt;C18</formula>
    </cfRule>
  </conditionalFormatting>
  <conditionalFormatting sqref="S19">
    <cfRule type="expression" dxfId="86" priority="116" stopIfTrue="1">
      <formula>(S19+T19)&gt;C19</formula>
    </cfRule>
  </conditionalFormatting>
  <conditionalFormatting sqref="S20">
    <cfRule type="expression" dxfId="85" priority="115" stopIfTrue="1">
      <formula>(S20+T20)&gt;C20</formula>
    </cfRule>
  </conditionalFormatting>
  <conditionalFormatting sqref="S21">
    <cfRule type="expression" dxfId="84" priority="114" stopIfTrue="1">
      <formula>(S21+T21)&gt;C21</formula>
    </cfRule>
  </conditionalFormatting>
  <conditionalFormatting sqref="S22">
    <cfRule type="expression" dxfId="83" priority="113" stopIfTrue="1">
      <formula>(S22+T22)&gt;C22</formula>
    </cfRule>
  </conditionalFormatting>
  <conditionalFormatting sqref="S25">
    <cfRule type="expression" dxfId="82" priority="111" stopIfTrue="1">
      <formula>(S25+T25)&gt;C25</formula>
    </cfRule>
  </conditionalFormatting>
  <conditionalFormatting sqref="S27">
    <cfRule type="expression" dxfId="81" priority="110" stopIfTrue="1">
      <formula>(S27+T27)&gt;C27</formula>
    </cfRule>
  </conditionalFormatting>
  <conditionalFormatting sqref="T27">
    <cfRule type="expression" dxfId="80" priority="109" stopIfTrue="1">
      <formula>(T27+S27)&gt;C27</formula>
    </cfRule>
  </conditionalFormatting>
  <conditionalFormatting sqref="T29">
    <cfRule type="expression" dxfId="79" priority="100" stopIfTrue="1">
      <formula>(T29+S29)&gt;C29</formula>
    </cfRule>
  </conditionalFormatting>
  <conditionalFormatting sqref="T30">
    <cfRule type="expression" dxfId="78" priority="99" stopIfTrue="1">
      <formula>(T30+S30)&gt;C30</formula>
    </cfRule>
  </conditionalFormatting>
  <conditionalFormatting sqref="T31">
    <cfRule type="expression" dxfId="77" priority="98" stopIfTrue="1">
      <formula>(T31+S31)&gt;C31</formula>
    </cfRule>
  </conditionalFormatting>
  <conditionalFormatting sqref="T32">
    <cfRule type="expression" dxfId="76" priority="97" stopIfTrue="1">
      <formula>(T32+S32)&gt;C32</formula>
    </cfRule>
  </conditionalFormatting>
  <conditionalFormatting sqref="T33">
    <cfRule type="expression" dxfId="75" priority="96" stopIfTrue="1">
      <formula>(T33+S33)&gt;C33</formula>
    </cfRule>
  </conditionalFormatting>
  <conditionalFormatting sqref="T34">
    <cfRule type="expression" dxfId="74" priority="95" stopIfTrue="1">
      <formula>(T34+S34)&gt;C34</formula>
    </cfRule>
  </conditionalFormatting>
  <conditionalFormatting sqref="T35:T36">
    <cfRule type="expression" dxfId="73" priority="94" stopIfTrue="1">
      <formula>(T35+S35)&gt;C35</formula>
    </cfRule>
  </conditionalFormatting>
  <conditionalFormatting sqref="T37">
    <cfRule type="expression" dxfId="72" priority="93" stopIfTrue="1">
      <formula>(T37+S37)&gt;C37</formula>
    </cfRule>
  </conditionalFormatting>
  <conditionalFormatting sqref="T40">
    <cfRule type="expression" dxfId="71" priority="92" stopIfTrue="1">
      <formula>(T40+S40)&gt;C40</formula>
    </cfRule>
  </conditionalFormatting>
  <conditionalFormatting sqref="T41">
    <cfRule type="expression" dxfId="70" priority="91" stopIfTrue="1">
      <formula>(T41+S41)&gt;C41</formula>
    </cfRule>
  </conditionalFormatting>
  <conditionalFormatting sqref="T43">
    <cfRule type="expression" dxfId="69" priority="87" stopIfTrue="1">
      <formula>(T43+S43)&gt;C43</formula>
    </cfRule>
  </conditionalFormatting>
  <conditionalFormatting sqref="T45">
    <cfRule type="expression" dxfId="68" priority="77" stopIfTrue="1">
      <formula>(T45+S45)&gt;C45</formula>
    </cfRule>
  </conditionalFormatting>
  <conditionalFormatting sqref="T46">
    <cfRule type="expression" dxfId="67" priority="76" stopIfTrue="1">
      <formula>(T46+S46)&gt;C46</formula>
    </cfRule>
  </conditionalFormatting>
  <conditionalFormatting sqref="T47">
    <cfRule type="expression" dxfId="66" priority="75" stopIfTrue="1">
      <formula>(T47+S47)&gt;C47</formula>
    </cfRule>
  </conditionalFormatting>
  <conditionalFormatting sqref="T48">
    <cfRule type="expression" dxfId="65" priority="74" stopIfTrue="1">
      <formula>(T48+S48)&gt;C48</formula>
    </cfRule>
  </conditionalFormatting>
  <conditionalFormatting sqref="T49">
    <cfRule type="expression" dxfId="64" priority="73" stopIfTrue="1">
      <formula>(T49+S49)&gt;C49</formula>
    </cfRule>
  </conditionalFormatting>
  <conditionalFormatting sqref="T50">
    <cfRule type="expression" dxfId="63" priority="72" stopIfTrue="1">
      <formula>(T50+S50)&gt;C50</formula>
    </cfRule>
  </conditionalFormatting>
  <conditionalFormatting sqref="T51">
    <cfRule type="expression" dxfId="62" priority="71" stopIfTrue="1">
      <formula>(T51+S51)&gt;C51</formula>
    </cfRule>
  </conditionalFormatting>
  <conditionalFormatting sqref="T52">
    <cfRule type="expression" dxfId="61" priority="69" stopIfTrue="1">
      <formula>(T52+S52)&gt;C52</formula>
    </cfRule>
  </conditionalFormatting>
  <conditionalFormatting sqref="T64:T67">
    <cfRule type="expression" dxfId="60" priority="68" stopIfTrue="1">
      <formula>(T64+S64)&gt;C64</formula>
    </cfRule>
  </conditionalFormatting>
  <conditionalFormatting sqref="T68">
    <cfRule type="expression" dxfId="59" priority="67" stopIfTrue="1">
      <formula>(T68+S68)&gt;C68</formula>
    </cfRule>
  </conditionalFormatting>
  <conditionalFormatting sqref="T78">
    <cfRule type="expression" dxfId="58" priority="64" stopIfTrue="1">
      <formula>(T78+S78)&gt;C78</formula>
    </cfRule>
  </conditionalFormatting>
  <conditionalFormatting sqref="T79">
    <cfRule type="expression" dxfId="57" priority="63" stopIfTrue="1">
      <formula>(T79+S79)&gt;C79</formula>
    </cfRule>
  </conditionalFormatting>
  <conditionalFormatting sqref="T83">
    <cfRule type="expression" dxfId="56" priority="56" stopIfTrue="1">
      <formula>(T83+S83)&gt;C83</formula>
    </cfRule>
  </conditionalFormatting>
  <conditionalFormatting sqref="T84">
    <cfRule type="expression" dxfId="55" priority="55" stopIfTrue="1">
      <formula>(T84+S84)&gt;C84</formula>
    </cfRule>
  </conditionalFormatting>
  <conditionalFormatting sqref="T85">
    <cfRule type="expression" dxfId="54" priority="54" stopIfTrue="1">
      <formula>(T85+S85)&gt;C85</formula>
    </cfRule>
  </conditionalFormatting>
  <conditionalFormatting sqref="T86">
    <cfRule type="expression" dxfId="53" priority="53" stopIfTrue="1">
      <formula>(T86+S86)&gt;C86</formula>
    </cfRule>
  </conditionalFormatting>
  <conditionalFormatting sqref="T88">
    <cfRule type="expression" dxfId="52" priority="43" stopIfTrue="1">
      <formula>(T88+S88)&gt;C88</formula>
    </cfRule>
  </conditionalFormatting>
  <conditionalFormatting sqref="T89">
    <cfRule type="expression" dxfId="51" priority="42" stopIfTrue="1">
      <formula>(T89+S89)&gt;C89</formula>
    </cfRule>
  </conditionalFormatting>
  <conditionalFormatting sqref="T90">
    <cfRule type="expression" dxfId="50" priority="41" stopIfTrue="1">
      <formula>(T90+S90)&gt;C90</formula>
    </cfRule>
  </conditionalFormatting>
  <conditionalFormatting sqref="T91">
    <cfRule type="expression" dxfId="49" priority="40" stopIfTrue="1">
      <formula>(T91+S91)&gt;C91</formula>
    </cfRule>
  </conditionalFormatting>
  <conditionalFormatting sqref="T92">
    <cfRule type="expression" dxfId="48" priority="39" stopIfTrue="1">
      <formula>(T92+S92)&gt;C92</formula>
    </cfRule>
  </conditionalFormatting>
  <conditionalFormatting sqref="T93">
    <cfRule type="expression" dxfId="47" priority="38" stopIfTrue="1">
      <formula>(T93+S93)&gt;C93</formula>
    </cfRule>
  </conditionalFormatting>
  <conditionalFormatting sqref="T94">
    <cfRule type="expression" dxfId="46" priority="35" stopIfTrue="1">
      <formula>(T94+S94)&gt;C94</formula>
    </cfRule>
  </conditionalFormatting>
  <conditionalFormatting sqref="S99">
    <cfRule type="expression" dxfId="45" priority="29" stopIfTrue="1">
      <formula>(S99+T99)&gt;C99</formula>
    </cfRule>
  </conditionalFormatting>
  <conditionalFormatting sqref="S100">
    <cfRule type="expression" dxfId="44" priority="27" stopIfTrue="1">
      <formula>(S100+T100)&gt;C100</formula>
    </cfRule>
  </conditionalFormatting>
  <conditionalFormatting sqref="S101">
    <cfRule type="expression" dxfId="43" priority="26" stopIfTrue="1">
      <formula>(S101+T101)&gt;C101</formula>
    </cfRule>
  </conditionalFormatting>
  <conditionalFormatting sqref="S102">
    <cfRule type="expression" dxfId="42" priority="25" stopIfTrue="1">
      <formula>(S102+T102)&gt;C102</formula>
    </cfRule>
  </conditionalFormatting>
  <conditionalFormatting sqref="T98">
    <cfRule type="expression" dxfId="41" priority="24" stopIfTrue="1">
      <formula>(T98+S98)&gt;C98</formula>
    </cfRule>
  </conditionalFormatting>
  <conditionalFormatting sqref="T99">
    <cfRule type="expression" dxfId="40" priority="23" stopIfTrue="1">
      <formula>(T99+S99)&gt;C99</formula>
    </cfRule>
  </conditionalFormatting>
  <conditionalFormatting sqref="T100">
    <cfRule type="expression" dxfId="39" priority="21" stopIfTrue="1">
      <formula>(T100+S100)&gt;C100</formula>
    </cfRule>
  </conditionalFormatting>
  <conditionalFormatting sqref="T101">
    <cfRule type="expression" dxfId="38" priority="20" stopIfTrue="1">
      <formula>(T101+S101)&gt;C101</formula>
    </cfRule>
  </conditionalFormatting>
  <conditionalFormatting sqref="T102">
    <cfRule type="expression" dxfId="37" priority="19" stopIfTrue="1">
      <formula>(T102+S102)&gt;C102</formula>
    </cfRule>
  </conditionalFormatting>
  <conditionalFormatting sqref="A25">
    <cfRule type="expression" dxfId="36" priority="18">
      <formula>AND(B25&gt;0,OR(A25="",A25="Other: (Specify)"))</formula>
    </cfRule>
  </conditionalFormatting>
  <conditionalFormatting sqref="A37">
    <cfRule type="expression" dxfId="35" priority="17">
      <formula>AND(B37&gt;0,OR(A37="",A37="Other: (Specify)"))</formula>
    </cfRule>
  </conditionalFormatting>
  <conditionalFormatting sqref="A52">
    <cfRule type="expression" dxfId="34" priority="16">
      <formula>AND(B52&gt;0,OR(A52="",A52="Other: (Specify)"))</formula>
    </cfRule>
  </conditionalFormatting>
  <conditionalFormatting sqref="A60">
    <cfRule type="expression" dxfId="33" priority="15">
      <formula>AND(B60&gt;0,OR(A60="",A60="Other: (Specify)"))</formula>
    </cfRule>
  </conditionalFormatting>
  <conditionalFormatting sqref="A68">
    <cfRule type="expression" dxfId="32" priority="14">
      <formula>AND(B68&gt;0,OR(A68="",A68="Other: (Specify)"))</formula>
    </cfRule>
  </conditionalFormatting>
  <conditionalFormatting sqref="A75">
    <cfRule type="expression" dxfId="31" priority="13">
      <formula>AND(B75&gt;0,OR(A75="",A75="Other: (Specify)"))</formula>
    </cfRule>
  </conditionalFormatting>
  <conditionalFormatting sqref="A92:A94">
    <cfRule type="expression" dxfId="30" priority="12">
      <formula>AND(B92&gt;0,OR(A92="",A92="Other: (Specify)"))</formula>
    </cfRule>
  </conditionalFormatting>
  <conditionalFormatting sqref="A102">
    <cfRule type="expression" dxfId="29" priority="11">
      <formula>AND(B102&gt;0,OR(A102="",A102="Other: (Specify)"))</formula>
    </cfRule>
  </conditionalFormatting>
  <conditionalFormatting sqref="S40">
    <cfRule type="expression" dxfId="28" priority="10" stopIfTrue="1">
      <formula>(S40+T40)&gt;C40</formula>
    </cfRule>
  </conditionalFormatting>
  <conditionalFormatting sqref="S41">
    <cfRule type="expression" dxfId="27" priority="9" stopIfTrue="1">
      <formula>(S41+T41)&gt;C41</formula>
    </cfRule>
  </conditionalFormatting>
  <conditionalFormatting sqref="S43">
    <cfRule type="expression" dxfId="26" priority="8" stopIfTrue="1">
      <formula>(S43+T43)&gt;C43</formula>
    </cfRule>
  </conditionalFormatting>
  <conditionalFormatting sqref="S45:S52">
    <cfRule type="expression" dxfId="25" priority="7" stopIfTrue="1">
      <formula>(S45+T45)&gt;C45</formula>
    </cfRule>
  </conditionalFormatting>
  <conditionalFormatting sqref="S64:S68">
    <cfRule type="expression" dxfId="24" priority="6" stopIfTrue="1">
      <formula>(S64+T64)&gt;C64</formula>
    </cfRule>
  </conditionalFormatting>
  <conditionalFormatting sqref="S78">
    <cfRule type="expression" dxfId="23" priority="5" stopIfTrue="1">
      <formula>(S78+T78)&gt;C78</formula>
    </cfRule>
  </conditionalFormatting>
  <conditionalFormatting sqref="S79">
    <cfRule type="expression" dxfId="22" priority="4" stopIfTrue="1">
      <formula>(S79+T79)&gt;C79</formula>
    </cfRule>
  </conditionalFormatting>
  <conditionalFormatting sqref="S83:S86">
    <cfRule type="expression" dxfId="21" priority="3" stopIfTrue="1">
      <formula>(S83+T83)&gt;C83</formula>
    </cfRule>
  </conditionalFormatting>
  <conditionalFormatting sqref="S88:S94">
    <cfRule type="expression" dxfId="20" priority="2" stopIfTrue="1">
      <formula>(S88+T88)&gt;C88</formula>
    </cfRule>
  </conditionalFormatting>
  <conditionalFormatting sqref="S98">
    <cfRule type="expression" dxfId="19"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0" workbookViewId="0">
      <selection activeCell="T56" sqref="T5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4" t="s">
        <v>1822</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 ",'Sources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 ",'Sources and Basis Breakdown'!J2)</f>
        <v>30% PVC for Acquisition
NON-DDA/
NON-QCT Building(s)</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0" t="s">
        <v>539</v>
      </c>
      <c r="C11" s="1101"/>
      <c r="D11" s="1101"/>
      <c r="E11" s="1101"/>
      <c r="F11" s="1101"/>
      <c r="G11" s="1101"/>
      <c r="H11" s="1101"/>
      <c r="I11" s="1101"/>
      <c r="J11" s="1101"/>
      <c r="K11" s="1101"/>
      <c r="L11" s="1101"/>
      <c r="M11" s="1101"/>
      <c r="N11" s="1101"/>
      <c r="O11" s="1101"/>
      <c r="P11" s="1101"/>
      <c r="Q11" s="1101"/>
      <c r="R11" s="1101"/>
      <c r="S11" s="1103"/>
      <c r="T11" s="1630">
        <f>IF('Sources and Basis Breakdown'!F105=0,'Sources and Basis Breakdown'!E105,'Sources and Basis Breakdown'!F105)</f>
        <v>43290053.646808423</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2.95" customHeight="1">
      <c r="B12" s="1624" t="s">
        <v>476</v>
      </c>
      <c r="C12" s="1011"/>
      <c r="D12" s="1011"/>
      <c r="E12" s="1011"/>
      <c r="F12" s="1011"/>
      <c r="G12" s="1011"/>
      <c r="H12" s="1011"/>
      <c r="I12" s="1011"/>
      <c r="J12" s="1011"/>
      <c r="K12" s="1011"/>
      <c r="L12" s="1011"/>
      <c r="M12" s="1011"/>
      <c r="N12" s="1011"/>
      <c r="O12" s="1011"/>
      <c r="P12" s="1011"/>
      <c r="Q12" s="1011"/>
      <c r="R12" s="1011"/>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71"/>
      <c r="U14" s="1247"/>
      <c r="V14" s="1247"/>
      <c r="W14" s="1247"/>
      <c r="X14" s="1247"/>
      <c r="Y14" s="1071"/>
      <c r="Z14" s="1247"/>
      <c r="AA14" s="1247"/>
      <c r="AB14" s="1247"/>
      <c r="AC14" s="1247"/>
      <c r="AD14" s="1247"/>
      <c r="AE14" s="1247"/>
      <c r="AF14" s="1247"/>
      <c r="AG14" s="1247"/>
      <c r="AH14" s="1247"/>
      <c r="AI14" s="1247"/>
      <c r="AJ14" s="1247"/>
      <c r="AK14" s="1247"/>
      <c r="AL14" s="1247"/>
      <c r="AM14" s="1247"/>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71"/>
      <c r="U15" s="1247"/>
      <c r="V15" s="1247"/>
      <c r="W15" s="1247"/>
      <c r="X15" s="1247"/>
      <c r="Y15" s="1071"/>
      <c r="Z15" s="1247"/>
      <c r="AA15" s="1247"/>
      <c r="AB15" s="1247"/>
      <c r="AC15" s="1247"/>
      <c r="AD15" s="1247"/>
      <c r="AE15" s="1247"/>
      <c r="AF15" s="1247"/>
      <c r="AG15" s="1247"/>
      <c r="AH15" s="1247"/>
      <c r="AI15" s="1247"/>
      <c r="AJ15" s="1247"/>
      <c r="AK15" s="1247"/>
      <c r="AL15" s="1247"/>
      <c r="AM15" s="1247"/>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71"/>
      <c r="U16" s="1247"/>
      <c r="V16" s="1247"/>
      <c r="W16" s="1247"/>
      <c r="X16" s="1247"/>
      <c r="Y16" s="1071"/>
      <c r="Z16" s="1247"/>
      <c r="AA16" s="1247"/>
      <c r="AB16" s="1247"/>
      <c r="AC16" s="1247"/>
      <c r="AD16" s="1247"/>
      <c r="AE16" s="1247"/>
      <c r="AF16" s="1247"/>
      <c r="AG16" s="1247"/>
      <c r="AH16" s="1247"/>
      <c r="AI16" s="1247"/>
      <c r="AJ16" s="1247"/>
      <c r="AK16" s="1247"/>
      <c r="AL16" s="1247"/>
      <c r="AM16" s="1247"/>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71"/>
      <c r="U17" s="1247"/>
      <c r="V17" s="1247"/>
      <c r="W17" s="1247"/>
      <c r="X17" s="1247"/>
      <c r="Y17" s="1071"/>
      <c r="Z17" s="1247"/>
      <c r="AA17" s="1247"/>
      <c r="AB17" s="1247"/>
      <c r="AC17" s="1247"/>
      <c r="AD17" s="1247"/>
      <c r="AE17" s="1247"/>
      <c r="AF17" s="1247"/>
      <c r="AG17" s="1247"/>
      <c r="AH17" s="1247"/>
      <c r="AI17" s="1247"/>
      <c r="AJ17" s="1247"/>
      <c r="AK17" s="1247"/>
      <c r="AL17" s="1247"/>
      <c r="AM17" s="1247"/>
    </row>
    <row r="18" spans="1:39" ht="12.95" customHeight="1">
      <c r="B18" s="961"/>
      <c r="C18" s="1622" t="s">
        <v>1269</v>
      </c>
      <c r="D18" s="1622"/>
      <c r="E18" s="1622"/>
      <c r="F18" s="1622"/>
      <c r="G18" s="1622"/>
      <c r="H18" s="1622"/>
      <c r="I18" s="1622"/>
      <c r="J18" s="1622"/>
      <c r="K18" s="1622"/>
      <c r="L18" s="1622"/>
      <c r="M18" s="1622"/>
      <c r="N18" s="1622"/>
      <c r="O18" s="1622"/>
      <c r="P18" s="1622"/>
      <c r="Q18" s="1622"/>
      <c r="R18" s="1622"/>
      <c r="S18" s="1623"/>
      <c r="T18" s="1069"/>
      <c r="U18" s="1070"/>
      <c r="V18" s="1070"/>
      <c r="W18" s="1070"/>
      <c r="X18" s="1071"/>
      <c r="Y18" s="1071"/>
      <c r="Z18" s="1247"/>
      <c r="AA18" s="1247"/>
      <c r="AB18" s="1247"/>
      <c r="AC18" s="1247"/>
      <c r="AD18" s="1247"/>
      <c r="AE18" s="1247"/>
      <c r="AF18" s="1247"/>
      <c r="AG18" s="1247"/>
      <c r="AH18" s="1247"/>
      <c r="AI18" s="1247"/>
      <c r="AJ18" s="1247"/>
      <c r="AK18" s="1247"/>
      <c r="AL18" s="1247"/>
      <c r="AM18" s="1247"/>
    </row>
    <row r="19" spans="1:39" ht="12.95" customHeight="1">
      <c r="B19" s="498"/>
      <c r="C19" s="1622" t="s">
        <v>1269</v>
      </c>
      <c r="D19" s="1622"/>
      <c r="E19" s="1622"/>
      <c r="F19" s="1622"/>
      <c r="G19" s="1622"/>
      <c r="H19" s="1622"/>
      <c r="I19" s="1622"/>
      <c r="J19" s="1622"/>
      <c r="K19" s="1622"/>
      <c r="L19" s="1622"/>
      <c r="M19" s="1622"/>
      <c r="N19" s="1622"/>
      <c r="O19" s="1622"/>
      <c r="P19" s="1622"/>
      <c r="Q19" s="1622"/>
      <c r="R19" s="1622"/>
      <c r="S19" s="1623"/>
      <c r="T19" s="1071"/>
      <c r="U19" s="1247"/>
      <c r="V19" s="1247"/>
      <c r="W19" s="1247"/>
      <c r="X19" s="1247"/>
      <c r="Y19" s="1071"/>
      <c r="Z19" s="1247"/>
      <c r="AA19" s="1247"/>
      <c r="AB19" s="1247"/>
      <c r="AC19" s="1247"/>
      <c r="AD19" s="1247"/>
      <c r="AE19" s="1247"/>
      <c r="AF19" s="1247"/>
      <c r="AG19" s="1247"/>
      <c r="AH19" s="1247"/>
      <c r="AI19" s="1247"/>
      <c r="AJ19" s="1247"/>
      <c r="AK19" s="1247"/>
      <c r="AL19" s="1247"/>
      <c r="AM19" s="1247"/>
    </row>
    <row r="20" spans="1:39" ht="12.95" customHeight="1">
      <c r="B20" s="1100" t="s">
        <v>808</v>
      </c>
      <c r="C20" s="1101"/>
      <c r="D20" s="1101"/>
      <c r="E20" s="1101"/>
      <c r="F20" s="1101"/>
      <c r="G20" s="1101"/>
      <c r="H20" s="1101"/>
      <c r="I20" s="1101"/>
      <c r="J20" s="1101"/>
      <c r="K20" s="1101"/>
      <c r="L20" s="1101"/>
      <c r="M20" s="1101"/>
      <c r="N20" s="1101"/>
      <c r="O20" s="1101"/>
      <c r="P20" s="1101"/>
      <c r="Q20" s="1101"/>
      <c r="R20" s="1101"/>
      <c r="S20" s="1103"/>
      <c r="T20" s="1596">
        <f>SUM(T13:X19)</f>
        <v>0</v>
      </c>
      <c r="U20" s="1317"/>
      <c r="V20" s="1317"/>
      <c r="W20" s="1317"/>
      <c r="X20" s="1317"/>
      <c r="Y20" s="1596">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100" t="s">
        <v>1787</v>
      </c>
      <c r="C21" s="1101"/>
      <c r="D21" s="1101"/>
      <c r="E21" s="1101"/>
      <c r="F21" s="1101"/>
      <c r="G21" s="1101"/>
      <c r="H21" s="1101"/>
      <c r="I21" s="1101"/>
      <c r="J21" s="1101"/>
      <c r="K21" s="1101"/>
      <c r="L21" s="1101"/>
      <c r="M21" s="1101"/>
      <c r="N21" s="1101"/>
      <c r="O21" s="1101"/>
      <c r="P21" s="1101"/>
      <c r="Q21" s="1101"/>
      <c r="R21" s="1101"/>
      <c r="S21" s="1103"/>
      <c r="T21" s="1071">
        <v>6202338</v>
      </c>
      <c r="U21" s="1247"/>
      <c r="V21" s="1247"/>
      <c r="W21" s="1247"/>
      <c r="X21" s="1247"/>
      <c r="Y21" s="1071"/>
      <c r="Z21" s="1247"/>
      <c r="AA21" s="1247"/>
      <c r="AB21" s="1247"/>
      <c r="AC21" s="1247"/>
      <c r="AD21" s="1247"/>
      <c r="AE21" s="1247"/>
      <c r="AF21" s="1247"/>
      <c r="AG21" s="1247"/>
      <c r="AH21" s="1247"/>
      <c r="AI21" s="1069"/>
      <c r="AJ21" s="1070"/>
      <c r="AK21" s="1070"/>
      <c r="AL21" s="1070"/>
      <c r="AM21" s="1071"/>
    </row>
    <row r="22" spans="1:39" ht="12.95" customHeight="1">
      <c r="B22" s="1100" t="s">
        <v>809</v>
      </c>
      <c r="C22" s="1101"/>
      <c r="D22" s="1101"/>
      <c r="E22" s="1101"/>
      <c r="F22" s="1101"/>
      <c r="G22" s="1101"/>
      <c r="H22" s="1101"/>
      <c r="I22" s="1101"/>
      <c r="J22" s="1101"/>
      <c r="K22" s="1101"/>
      <c r="L22" s="1101"/>
      <c r="M22" s="1101"/>
      <c r="N22" s="1101"/>
      <c r="O22" s="1101"/>
      <c r="P22" s="1101"/>
      <c r="Q22" s="1101"/>
      <c r="R22" s="1101"/>
      <c r="S22" s="1103"/>
      <c r="T22" s="1631">
        <f>(T20+T21)*-1</f>
        <v>-6202338</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2.95" customHeight="1">
      <c r="B23" s="1100" t="s">
        <v>2000</v>
      </c>
      <c r="C23" s="1101"/>
      <c r="D23" s="1101"/>
      <c r="E23" s="1101"/>
      <c r="F23" s="1101"/>
      <c r="G23" s="1101"/>
      <c r="H23" s="1101"/>
      <c r="I23" s="1101"/>
      <c r="J23" s="1101"/>
      <c r="K23" s="1101"/>
      <c r="L23" s="1101"/>
      <c r="M23" s="1101"/>
      <c r="N23" s="1101"/>
      <c r="O23" s="1101"/>
      <c r="P23" s="1101"/>
      <c r="Q23" s="1101"/>
      <c r="R23" s="1101"/>
      <c r="S23" s="1103"/>
      <c r="T23" s="1596">
        <f>T11+T22</f>
        <v>37087715.646808423</v>
      </c>
      <c r="U23" s="1317"/>
      <c r="V23" s="1317"/>
      <c r="W23" s="1317"/>
      <c r="X23" s="1317"/>
      <c r="Y23" s="1596">
        <f>Y11+Y22</f>
        <v>0</v>
      </c>
      <c r="Z23" s="1317"/>
      <c r="AA23" s="1317"/>
      <c r="AB23" s="1317"/>
      <c r="AC23" s="1317"/>
      <c r="AD23" s="1596">
        <f>IF(AD11=AD21,0,AD11)</f>
        <v>0</v>
      </c>
      <c r="AE23" s="1317"/>
      <c r="AF23" s="1317"/>
      <c r="AG23" s="1317"/>
      <c r="AH23" s="1317"/>
      <c r="AI23" s="1596">
        <f>IF(AI11=AI21,0,AI11)</f>
        <v>0</v>
      </c>
      <c r="AJ23" s="1317"/>
      <c r="AK23" s="1317"/>
      <c r="AL23" s="1317"/>
      <c r="AM23" s="1317"/>
    </row>
    <row r="24" spans="1:39" ht="12.95" customHeight="1">
      <c r="B24" s="1100" t="s">
        <v>1270</v>
      </c>
      <c r="C24" s="1101"/>
      <c r="D24" s="1101"/>
      <c r="E24" s="1101"/>
      <c r="F24" s="1101"/>
      <c r="G24" s="1101"/>
      <c r="H24" s="1101"/>
      <c r="I24" s="1101"/>
      <c r="J24" s="1101"/>
      <c r="K24" s="1101"/>
      <c r="L24" s="1101"/>
      <c r="M24" s="1101"/>
      <c r="N24" s="1101"/>
      <c r="O24" s="1101"/>
      <c r="P24" s="1101"/>
      <c r="Q24" s="1101"/>
      <c r="R24" s="1101"/>
      <c r="S24" s="1103"/>
      <c r="T24" s="1597">
        <f>Application!AJ988</f>
        <v>37087716</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2002</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0" t="s">
        <v>811</v>
      </c>
      <c r="C26" s="1101"/>
      <c r="D26" s="1101"/>
      <c r="E26" s="1101"/>
      <c r="F26" s="1101"/>
      <c r="G26" s="1101"/>
      <c r="H26" s="1101"/>
      <c r="I26" s="1101"/>
      <c r="J26" s="1101"/>
      <c r="K26" s="1101"/>
      <c r="L26" s="1101"/>
      <c r="M26" s="1101"/>
      <c r="N26" s="1101"/>
      <c r="O26" s="1101"/>
      <c r="P26" s="1101"/>
      <c r="Q26" s="1101"/>
      <c r="R26" s="1101"/>
      <c r="S26" s="1103"/>
      <c r="T26" s="1243">
        <f>T23*T25</f>
        <v>48214030.340850949</v>
      </c>
      <c r="U26" s="1608"/>
      <c r="V26" s="1608"/>
      <c r="W26" s="1608"/>
      <c r="X26" s="1608"/>
      <c r="Y26" s="1243">
        <f>Y23*Y25</f>
        <v>0</v>
      </c>
      <c r="Z26" s="1608"/>
      <c r="AA26" s="1608"/>
      <c r="AB26" s="1608"/>
      <c r="AC26" s="1608"/>
      <c r="AD26" s="1243">
        <f>AD23*AD25</f>
        <v>0</v>
      </c>
      <c r="AE26" s="1608"/>
      <c r="AF26" s="1608"/>
      <c r="AG26" s="1608"/>
      <c r="AH26" s="1608"/>
      <c r="AI26" s="1243">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0" t="s">
        <v>884</v>
      </c>
      <c r="C28" s="1101"/>
      <c r="D28" s="1101"/>
      <c r="E28" s="1101"/>
      <c r="F28" s="1101"/>
      <c r="G28" s="1101"/>
      <c r="H28" s="1101"/>
      <c r="I28" s="1101"/>
      <c r="J28" s="1101"/>
      <c r="K28" s="1101"/>
      <c r="L28" s="1101"/>
      <c r="M28" s="1101"/>
      <c r="N28" s="1101"/>
      <c r="O28" s="1101"/>
      <c r="P28" s="1101"/>
      <c r="Q28" s="1101"/>
      <c r="R28" s="1101"/>
      <c r="S28" s="1103"/>
      <c r="T28" s="1243">
        <f>IF(ISERROR((T26*T27)),0,(T26*T27))</f>
        <v>48214030.340850949</v>
      </c>
      <c r="U28" s="1608"/>
      <c r="V28" s="1608"/>
      <c r="W28" s="1608"/>
      <c r="X28" s="1608"/>
      <c r="Y28" s="1243">
        <f>IF(ISERROR((Y26*Y27)),0,(Y26*Y27))</f>
        <v>0</v>
      </c>
      <c r="Z28" s="1608"/>
      <c r="AA28" s="1608"/>
      <c r="AB28" s="1608"/>
      <c r="AC28" s="1608"/>
      <c r="AD28" s="1243">
        <f>IF(ISERROR((AD26*AD27)),0,(AD26*AD27))</f>
        <v>0</v>
      </c>
      <c r="AE28" s="1608"/>
      <c r="AF28" s="1608"/>
      <c r="AG28" s="1608"/>
      <c r="AH28" s="1608"/>
      <c r="AI28" s="1243">
        <f>IF(ISERROR((AI26*AI27)),0,(AI26*AI27))</f>
        <v>0</v>
      </c>
      <c r="AJ28" s="1608"/>
      <c r="AK28" s="1608"/>
      <c r="AL28" s="1608"/>
      <c r="AM28" s="1608"/>
    </row>
    <row r="29" spans="1:39" ht="12.95" customHeight="1">
      <c r="B29" s="1100" t="s">
        <v>659</v>
      </c>
      <c r="C29" s="1101"/>
      <c r="D29" s="1101"/>
      <c r="E29" s="1101"/>
      <c r="F29" s="1101"/>
      <c r="G29" s="1101"/>
      <c r="H29" s="1101"/>
      <c r="I29" s="1101"/>
      <c r="J29" s="1101"/>
      <c r="K29" s="1101"/>
      <c r="L29" s="1101"/>
      <c r="M29" s="1101"/>
      <c r="N29" s="1101"/>
      <c r="O29" s="1101"/>
      <c r="P29" s="1101"/>
      <c r="Q29" s="1101"/>
      <c r="R29" s="1101"/>
      <c r="S29" s="1103"/>
      <c r="T29" s="1597">
        <f>T28+Y28+AD28+AI28</f>
        <v>48214030.340850949</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613" t="s">
        <v>2001</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5" customHeight="1">
      <c r="B31" s="1591" t="s">
        <v>2003</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3" t="s">
        <v>45</v>
      </c>
      <c r="AE35" s="1233"/>
      <c r="AF35" s="1233"/>
      <c r="AG35" s="1233"/>
      <c r="AH35" s="1233"/>
    </row>
    <row r="36" spans="1:44" ht="12.95" customHeight="1">
      <c r="B36" s="204"/>
      <c r="X36" s="71"/>
      <c r="Y36" s="1599"/>
      <c r="Z36" s="1599"/>
      <c r="AA36" s="1599"/>
      <c r="AB36" s="1599"/>
      <c r="AC36" s="1599"/>
      <c r="AD36" s="1233"/>
      <c r="AE36" s="1233"/>
      <c r="AF36" s="1233"/>
      <c r="AG36" s="1233"/>
      <c r="AH36" s="123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3"/>
      <c r="AE37" s="1233"/>
      <c r="AF37" s="1233"/>
      <c r="AG37" s="1233"/>
      <c r="AH37" s="1233"/>
    </row>
    <row r="38" spans="1:44" ht="12.95" customHeight="1">
      <c r="A38" s="3"/>
      <c r="B38" s="1100" t="s">
        <v>884</v>
      </c>
      <c r="C38" s="1101"/>
      <c r="D38" s="1101"/>
      <c r="E38" s="1101"/>
      <c r="F38" s="1101"/>
      <c r="G38" s="1101"/>
      <c r="H38" s="1101"/>
      <c r="I38" s="1101"/>
      <c r="J38" s="1101"/>
      <c r="K38" s="1101"/>
      <c r="L38" s="1101"/>
      <c r="M38" s="1101"/>
      <c r="N38" s="1101"/>
      <c r="O38" s="1101"/>
      <c r="P38" s="1101"/>
      <c r="Q38" s="1101"/>
      <c r="R38" s="1101"/>
      <c r="S38" s="1101"/>
      <c r="T38" s="1101"/>
      <c r="U38" s="1101"/>
      <c r="V38" s="1101"/>
      <c r="W38" s="1101"/>
      <c r="X38" s="1103"/>
      <c r="Y38" s="1317">
        <f>IF(T24&gt;=(T23+Y23+AD23+AI23),T28+Y28,0)</f>
        <v>48214030.340850949</v>
      </c>
      <c r="Z38" s="1317"/>
      <c r="AA38" s="1317"/>
      <c r="AB38" s="1317"/>
      <c r="AC38" s="1317"/>
      <c r="AD38" s="1317">
        <f>IF(T24&gt;=(T23+Y23+AD23+AI23),AD28+AI28,0)</f>
        <v>0</v>
      </c>
      <c r="AE38" s="1317"/>
      <c r="AF38" s="1317"/>
      <c r="AG38" s="1317"/>
      <c r="AH38" s="1317"/>
    </row>
    <row r="39" spans="1:44" ht="12.95" customHeight="1">
      <c r="B39" s="1100" t="s">
        <v>1894</v>
      </c>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3"/>
      <c r="Y39" s="1595">
        <v>0.09</v>
      </c>
      <c r="Z39" s="1595"/>
      <c r="AA39" s="1595"/>
      <c r="AB39" s="1595"/>
      <c r="AC39" s="1595"/>
      <c r="AD39" s="1595">
        <v>0.04</v>
      </c>
      <c r="AE39" s="1595"/>
      <c r="AF39" s="1595"/>
      <c r="AG39" s="1595"/>
      <c r="AH39" s="1595"/>
    </row>
    <row r="40" spans="1:44" ht="12.95" customHeight="1">
      <c r="A40" s="3"/>
      <c r="B40" s="1100" t="s">
        <v>25</v>
      </c>
      <c r="C40" s="1101"/>
      <c r="D40" s="1101"/>
      <c r="E40" s="1101"/>
      <c r="F40" s="1101"/>
      <c r="G40" s="1101"/>
      <c r="H40" s="1101"/>
      <c r="I40" s="1101"/>
      <c r="J40" s="1101"/>
      <c r="K40" s="1101"/>
      <c r="L40" s="1101"/>
      <c r="M40" s="1101"/>
      <c r="N40" s="1101"/>
      <c r="O40" s="1101"/>
      <c r="P40" s="1101"/>
      <c r="Q40" s="1101"/>
      <c r="R40" s="1101"/>
      <c r="S40" s="1101"/>
      <c r="T40" s="1101"/>
      <c r="U40" s="1101"/>
      <c r="V40" s="1101"/>
      <c r="W40" s="1101"/>
      <c r="X40" s="1103"/>
      <c r="Y40" s="1317">
        <f>ROUND(Y38*Y39,0)</f>
        <v>4339263</v>
      </c>
      <c r="Z40" s="1317"/>
      <c r="AA40" s="1317"/>
      <c r="AB40" s="1317"/>
      <c r="AC40" s="1317"/>
      <c r="AD40" s="1596">
        <f>ROUND(AD38*AD39,0)</f>
        <v>0</v>
      </c>
      <c r="AE40" s="1317"/>
      <c r="AF40" s="1317"/>
      <c r="AG40" s="1317"/>
      <c r="AH40" s="1317"/>
    </row>
    <row r="41" spans="1:44" ht="12.95" customHeight="1">
      <c r="B41" s="1100" t="s">
        <v>653</v>
      </c>
      <c r="C41" s="1101"/>
      <c r="D41" s="1101"/>
      <c r="E41" s="1101"/>
      <c r="F41" s="1101"/>
      <c r="G41" s="1101"/>
      <c r="H41" s="1101"/>
      <c r="I41" s="1101"/>
      <c r="J41" s="1101"/>
      <c r="K41" s="1101"/>
      <c r="L41" s="1101"/>
      <c r="M41" s="1101"/>
      <c r="N41" s="1101"/>
      <c r="O41" s="1101"/>
      <c r="P41" s="1101"/>
      <c r="Q41" s="1101"/>
      <c r="R41" s="1101"/>
      <c r="S41" s="1101"/>
      <c r="T41" s="1101"/>
      <c r="U41" s="1101"/>
      <c r="V41" s="1101"/>
      <c r="W41" s="1101"/>
      <c r="X41" s="1103"/>
      <c r="Y41" s="1597">
        <f>IF(Application!Y211="No",'Basis &amp; Credits'!AR42,AR43)</f>
        <v>2500000</v>
      </c>
      <c r="Z41" s="1598"/>
      <c r="AA41" s="1598"/>
      <c r="AB41" s="1598"/>
      <c r="AC41" s="1598"/>
      <c r="AD41" s="1598"/>
      <c r="AE41" s="1598"/>
      <c r="AF41" s="1598"/>
      <c r="AG41" s="1598"/>
      <c r="AH41" s="1596"/>
    </row>
    <row r="42" spans="1:44" ht="12.95" customHeight="1">
      <c r="A42" s="3"/>
      <c r="B42" s="1607" t="s">
        <v>1895</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4000000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9">
        <f>'Sources and Uses Budget'!B104-(MAX(IF('Sources and Uses Budget'!B15="",0,'Sources and Uses Budget'!B15),IF(Application!AG387="",0,Application!AG387)))</f>
        <v>59831816.428017184</v>
      </c>
      <c r="AC46" s="1160"/>
      <c r="AD46" s="1160"/>
      <c r="AE46" s="1160"/>
      <c r="AF46" s="1161"/>
    </row>
    <row r="47" spans="1:44" ht="12.95" customHeight="1">
      <c r="D47" s="3" t="s">
        <v>878</v>
      </c>
      <c r="AB47" s="1159">
        <f>Application!AO630-MAX(IF('Sources and Uses Budget'!B15="",0,'Sources and Uses Budget'!B15),IF(Application!AG387="",0,Application!AG387))</f>
        <v>32178167.607250001</v>
      </c>
      <c r="AC47" s="1160"/>
      <c r="AD47" s="1160"/>
      <c r="AE47" s="1160"/>
      <c r="AF47" s="1161"/>
    </row>
    <row r="48" spans="1:44" ht="12.95" customHeight="1">
      <c r="D48" s="3" t="s">
        <v>403</v>
      </c>
      <c r="AB48" s="1159">
        <f>AB46-AB47</f>
        <v>27653648.820767183</v>
      </c>
      <c r="AC48" s="1160"/>
      <c r="AD48" s="1160"/>
      <c r="AE48" s="1160"/>
      <c r="AF48" s="1161"/>
    </row>
    <row r="49" spans="1:40" ht="12.95" customHeight="1">
      <c r="D49" s="3" t="s">
        <v>913</v>
      </c>
      <c r="AA49" s="34"/>
      <c r="AB49" s="1602">
        <f>[4]EVERYTHING!$J$122</f>
        <v>0.95104</v>
      </c>
      <c r="AC49" s="1603"/>
      <c r="AD49" s="1603"/>
      <c r="AE49" s="1603"/>
      <c r="AF49" s="1604"/>
    </row>
    <row r="50" spans="1:40" s="324" customFormat="1" ht="12.95" customHeight="1">
      <c r="A50"/>
      <c r="B50"/>
      <c r="C50"/>
      <c r="D50"/>
      <c r="E50" s="1612" t="s">
        <v>2050</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29077272</v>
      </c>
      <c r="AC53" s="1160"/>
      <c r="AD53" s="1160"/>
      <c r="AE53" s="1160"/>
      <c r="AF53" s="1161"/>
    </row>
    <row r="54" spans="1:40" ht="12.95" customHeight="1">
      <c r="D54" s="3" t="s">
        <v>592</v>
      </c>
      <c r="AB54" s="1159">
        <f>(AB53/10)</f>
        <v>2907727.2</v>
      </c>
      <c r="AC54" s="1160"/>
      <c r="AD54" s="1160"/>
      <c r="AE54" s="1160"/>
      <c r="AF54" s="1161"/>
    </row>
    <row r="55" spans="1:40" ht="12.95" customHeight="1">
      <c r="D55" s="3" t="s">
        <v>362</v>
      </c>
      <c r="AB55" s="1609">
        <f>(IF((Y41&lt;AB54),Y41,AB54))</f>
        <v>2500000</v>
      </c>
      <c r="AC55" s="1610"/>
      <c r="AD55" s="1610"/>
      <c r="AE55" s="1610"/>
      <c r="AF55" s="1611"/>
    </row>
    <row r="56" spans="1:40" ht="12.95" customHeight="1">
      <c r="D56" s="3" t="s">
        <v>115</v>
      </c>
      <c r="AB56" s="1159">
        <f>ROUND((10*AB55*AB49),0)</f>
        <v>23776000</v>
      </c>
      <c r="AC56" s="1160"/>
      <c r="AD56" s="1160"/>
      <c r="AE56" s="1160"/>
      <c r="AF56" s="1161"/>
    </row>
    <row r="57" spans="1:40" ht="12.95" customHeight="1">
      <c r="D57" s="3"/>
      <c r="AB57" s="276"/>
      <c r="AC57" s="276"/>
      <c r="AD57" s="276"/>
      <c r="AE57" s="276"/>
      <c r="AF57" s="276"/>
    </row>
    <row r="58" spans="1:40" ht="12.95" customHeight="1">
      <c r="D58" s="3" t="s">
        <v>114</v>
      </c>
      <c r="AB58" s="1165">
        <f>AB48-AB56</f>
        <v>3877648.8207671829</v>
      </c>
      <c r="AC58" s="1165"/>
      <c r="AD58" s="1165"/>
      <c r="AE58" s="1165"/>
      <c r="AF58" s="116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37087715.646808423</v>
      </c>
      <c r="Z63" s="1605"/>
      <c r="AA63" s="1605"/>
      <c r="AB63" s="1605"/>
      <c r="AC63" s="1605"/>
      <c r="AD63" s="1317">
        <f>IF(AND(T25=1.3,Application!D214="At-Risk"),AI28,IF(Application!D214&lt;&gt;"At-Risk",0,AD28))</f>
        <v>0</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5" customHeight="1">
      <c r="C67" s="3"/>
      <c r="D67" s="3" t="s">
        <v>985</v>
      </c>
      <c r="Y67" s="1317">
        <f>ROUND(Y63*Y66,0)</f>
        <v>11126315</v>
      </c>
      <c r="Z67" s="1605"/>
      <c r="AA67" s="1605"/>
      <c r="AB67" s="1605"/>
      <c r="AC67" s="1605"/>
      <c r="AD67" s="1317" t="str">
        <f>IF(OR(Application!D211="At-Risk",Application!D211="At-Risk/Located in Rural Census Tract",Application!D214="At-Risk"),ROUND(AD63*AD66,0),"$0")</f>
        <v>$0</v>
      </c>
      <c r="AE67" s="1317"/>
      <c r="AF67" s="1317"/>
      <c r="AG67" s="1317"/>
      <c r="AH67" s="1317"/>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2">
        <f>[4]EVERYTHING!$K$122</f>
        <v>0.8</v>
      </c>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4847061</v>
      </c>
      <c r="AC75" s="1225"/>
      <c r="AD75" s="1225"/>
      <c r="AE75" s="1225"/>
      <c r="AF75" s="1225"/>
    </row>
    <row r="76" spans="1:34" ht="12.95" customHeight="1">
      <c r="C76" s="3"/>
      <c r="D76" s="3" t="s">
        <v>113</v>
      </c>
      <c r="AB76" s="1220">
        <f>IF((Y67+AD67&lt;AB75),Y67+AD67,AB75)</f>
        <v>4847061</v>
      </c>
      <c r="AC76" s="1221"/>
      <c r="AD76" s="1221"/>
      <c r="AE76" s="1221"/>
      <c r="AF76" s="1222"/>
    </row>
    <row r="77" spans="1:34" ht="12.95" customHeight="1">
      <c r="C77" s="3"/>
      <c r="D77" s="3" t="s">
        <v>986</v>
      </c>
      <c r="AB77" s="1600">
        <f>AB76*AB70</f>
        <v>3877648.8000000003</v>
      </c>
      <c r="AC77" s="1600"/>
      <c r="AD77" s="1600"/>
      <c r="AE77" s="1600"/>
      <c r="AF77" s="1600"/>
    </row>
    <row r="78" spans="1:34" ht="12.95" customHeight="1">
      <c r="C78" s="3"/>
      <c r="D78" s="3"/>
      <c r="AB78" s="613"/>
      <c r="AC78" s="613"/>
      <c r="AD78" s="613"/>
      <c r="AE78" s="613"/>
      <c r="AF78" s="613"/>
    </row>
    <row r="79" spans="1:34" ht="12.95" customHeight="1">
      <c r="D79" s="3" t="s">
        <v>114</v>
      </c>
      <c r="AB79" s="1165">
        <f>AB48-(AB56+AB77)</f>
        <v>2.0767182111740112E-2</v>
      </c>
      <c r="AC79" s="1165"/>
      <c r="AD79" s="1165"/>
      <c r="AE79" s="1165"/>
      <c r="AF79" s="1165"/>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8" priority="7" stopIfTrue="1" operator="greaterThan">
      <formula>0</formula>
    </cfRule>
  </conditionalFormatting>
  <conditionalFormatting sqref="C18:S18">
    <cfRule type="expression" dxfId="17" priority="2">
      <formula>AND(T18&gt;0,OR(C18="",C18="Subtract (specify other ineligible amounts):"))</formula>
    </cfRule>
  </conditionalFormatting>
  <conditionalFormatting sqref="C19:S19">
    <cfRule type="expression" dxfId="16" priority="1">
      <formula>AND(T19&gt;0,OR(C19="",C19="Subtract (specify other ineligible amounts):"))</formula>
    </cfRule>
  </conditionalFormatting>
  <conditionalFormatting sqref="B18">
    <cfRule type="expression" dxfId="15" priority="4">
      <formula>AND($T$18&gt;0,OR($C$18="",$C$18="Subtract (specify other ineligible amounts):"))</formula>
    </cfRule>
  </conditionalFormatting>
  <conditionalFormatting sqref="B19">
    <cfRule type="expression" dxfId="14"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7" zoomScaleNormal="100" workbookViewId="0">
      <selection activeCell="H20" sqref="H20"/>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1902</v>
      </c>
      <c r="B1" s="1647"/>
      <c r="C1" s="1647"/>
      <c r="D1" s="1647"/>
      <c r="E1" s="1647"/>
      <c r="F1" s="1647"/>
      <c r="G1" s="1647"/>
      <c r="H1" s="1647"/>
      <c r="I1" s="1647"/>
      <c r="J1" s="1648"/>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6000000</v>
      </c>
      <c r="C4" s="600"/>
      <c r="D4" s="600"/>
      <c r="E4" s="601"/>
      <c r="F4" s="601"/>
      <c r="G4" s="601"/>
      <c r="H4" s="601"/>
      <c r="I4" s="601"/>
      <c r="J4" s="601"/>
      <c r="K4" s="594"/>
    </row>
    <row r="5" spans="1:11" s="253" customFormat="1" ht="13.5">
      <c r="A5" s="300" t="s">
        <v>73</v>
      </c>
      <c r="B5" s="599">
        <f>'Sources and Uses Budget'!C5</f>
        <v>131080.59671353205</v>
      </c>
      <c r="C5" s="600"/>
      <c r="D5" s="600"/>
      <c r="E5" s="601"/>
      <c r="F5" s="601"/>
      <c r="G5" s="601"/>
      <c r="H5" s="601"/>
      <c r="I5" s="601"/>
      <c r="J5" s="601"/>
      <c r="K5" s="594"/>
    </row>
    <row r="6" spans="1:11" s="253" customFormat="1">
      <c r="A6" s="239" t="s">
        <v>365</v>
      </c>
      <c r="B6" s="599">
        <f>'Sources and Uses Budget'!C6</f>
        <v>93628.997652522899</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6224709.594366055</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294647.64674256003</v>
      </c>
      <c r="C10" s="600"/>
      <c r="D10" s="600"/>
      <c r="E10" s="599">
        <f>'Sources and Uses Budget'!S10</f>
        <v>294647.64674256003</v>
      </c>
      <c r="F10" s="600"/>
      <c r="G10" s="600"/>
      <c r="H10" s="599">
        <f>'Sources and Uses Budget'!T10</f>
        <v>0</v>
      </c>
      <c r="I10" s="600"/>
      <c r="J10" s="600"/>
      <c r="K10" s="594"/>
    </row>
    <row r="11" spans="1:11" s="253" customFormat="1">
      <c r="A11" s="243" t="s">
        <v>617</v>
      </c>
      <c r="B11" s="599">
        <f>'Sources and Uses Budget'!C11</f>
        <v>294647.64674256003</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6519357.241108615</v>
      </c>
      <c r="C12" s="599">
        <f>SUM(C8+C11)</f>
        <v>0</v>
      </c>
      <c r="D12" s="599">
        <f>SUM(D8+D11)</f>
        <v>0</v>
      </c>
      <c r="E12" s="601"/>
      <c r="F12" s="601"/>
      <c r="G12" s="601"/>
      <c r="H12" s="601"/>
      <c r="I12" s="601"/>
      <c r="J12" s="601"/>
      <c r="K12" s="594"/>
    </row>
    <row r="13" spans="1:11" s="253" customFormat="1">
      <c r="A13" s="469" t="s">
        <v>1157</v>
      </c>
      <c r="B13" s="599">
        <f>'Sources and Uses Budget'!C13</f>
        <v>43235.062246005502</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2469942.3209733195</v>
      </c>
      <c r="C28" s="600"/>
      <c r="D28" s="600"/>
      <c r="E28" s="599">
        <f>'Sources and Uses Budget'!S29</f>
        <v>1963135.3209733195</v>
      </c>
      <c r="F28" s="600"/>
      <c r="G28" s="600"/>
      <c r="H28" s="599">
        <f>'Sources and Uses Budget'!T29</f>
        <v>0</v>
      </c>
      <c r="I28" s="600"/>
      <c r="J28" s="600"/>
      <c r="K28" s="594"/>
    </row>
    <row r="29" spans="1:11" s="253" customFormat="1">
      <c r="A29" s="239" t="s">
        <v>955</v>
      </c>
      <c r="B29" s="599">
        <f>'Sources and Uses Budget'!C30</f>
        <v>24538026.479869753</v>
      </c>
      <c r="C29" s="600"/>
      <c r="D29" s="600"/>
      <c r="E29" s="599">
        <f>'Sources and Uses Budget'!S30</f>
        <v>24538026.479869753</v>
      </c>
      <c r="F29" s="600"/>
      <c r="G29" s="600"/>
      <c r="H29" s="599">
        <f>'Sources and Uses Budget'!T30</f>
        <v>0</v>
      </c>
      <c r="I29" s="600"/>
      <c r="J29" s="600"/>
      <c r="K29" s="594"/>
    </row>
    <row r="30" spans="1:11" s="253" customFormat="1">
      <c r="A30" s="239" t="s">
        <v>956</v>
      </c>
      <c r="B30" s="599">
        <f>'Sources and Uses Budget'!C31</f>
        <v>1997434.2214200974</v>
      </c>
      <c r="C30" s="600"/>
      <c r="D30" s="600"/>
      <c r="E30" s="599">
        <f>'Sources and Uses Budget'!S31</f>
        <v>1997434.2214200974</v>
      </c>
      <c r="F30" s="600"/>
      <c r="G30" s="600"/>
      <c r="H30" s="599">
        <f>'Sources and Uses Budget'!T31</f>
        <v>0</v>
      </c>
      <c r="I30" s="600"/>
      <c r="J30" s="600"/>
      <c r="K30" s="594"/>
    </row>
    <row r="31" spans="1:11" s="253" customFormat="1">
      <c r="A31" s="239" t="s">
        <v>957</v>
      </c>
      <c r="B31" s="599">
        <f>'Sources and Uses Budget'!C32</f>
        <v>651500.0588005149</v>
      </c>
      <c r="C31" s="600"/>
      <c r="D31" s="600"/>
      <c r="E31" s="599">
        <f>'Sources and Uses Budget'!S32</f>
        <v>651500.0588005149</v>
      </c>
      <c r="F31" s="600"/>
      <c r="G31" s="600"/>
      <c r="H31" s="599">
        <f>'Sources and Uses Budget'!T32</f>
        <v>0</v>
      </c>
      <c r="I31" s="600"/>
      <c r="J31" s="600"/>
      <c r="K31" s="594"/>
    </row>
    <row r="32" spans="1:11" s="253" customFormat="1">
      <c r="A32" s="239" t="s">
        <v>958</v>
      </c>
      <c r="B32" s="599">
        <f>'Sources and Uses Budget'!C33</f>
        <v>651500.0588005149</v>
      </c>
      <c r="C32" s="600"/>
      <c r="D32" s="600"/>
      <c r="E32" s="599">
        <f>'Sources and Uses Budget'!S33</f>
        <v>651500.0588005149</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229372.31844915063</v>
      </c>
      <c r="C34" s="600"/>
      <c r="D34" s="600"/>
      <c r="E34" s="599">
        <f>'Sources and Uses Budget'!S35</f>
        <v>229372.31844915063</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24">
      <c r="A36" s="239" t="str">
        <f>'Sources and Uses Budget'!$A37</f>
        <v>Other: Solar, Battery Storage, GC Contingency</v>
      </c>
      <c r="B36" s="599">
        <f>'Sources and Uses Budget'!C37</f>
        <v>1638575.8344397605</v>
      </c>
      <c r="C36" s="600"/>
      <c r="D36" s="600"/>
      <c r="E36" s="599">
        <f>'Sources and Uses Budget'!S37</f>
        <v>1638575.8344397605</v>
      </c>
      <c r="F36" s="600"/>
      <c r="G36" s="600"/>
      <c r="H36" s="599">
        <f>'Sources and Uses Budget'!T37</f>
        <v>0</v>
      </c>
      <c r="I36" s="600"/>
      <c r="J36" s="600"/>
      <c r="K36" s="594"/>
    </row>
    <row r="37" spans="1:11" s="253" customFormat="1">
      <c r="A37" s="243" t="s">
        <v>963</v>
      </c>
      <c r="B37" s="599">
        <f>'Sources and Uses Budget'!C38</f>
        <v>32176351.292753112</v>
      </c>
      <c r="C37" s="599">
        <f>SUM(C28:C36)</f>
        <v>0</v>
      </c>
      <c r="D37" s="599">
        <f>SUM(D28:D36)</f>
        <v>0</v>
      </c>
      <c r="E37" s="599">
        <f>'Sources and Uses Budget'!S38</f>
        <v>31669544.292753112</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1896904.7666405835</v>
      </c>
      <c r="C39" s="600"/>
      <c r="D39" s="600"/>
      <c r="E39" s="599">
        <f>'Sources and Uses Budget'!S40</f>
        <v>1896904.7666405835</v>
      </c>
      <c r="F39" s="600"/>
      <c r="G39" s="600"/>
      <c r="H39" s="599">
        <f>'Sources and Uses Budget'!T40</f>
        <v>0</v>
      </c>
      <c r="I39" s="600"/>
      <c r="J39" s="600"/>
      <c r="K39" s="594"/>
    </row>
    <row r="40" spans="1:11" s="253" customFormat="1">
      <c r="A40" s="239" t="s">
        <v>966</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967</v>
      </c>
      <c r="B41" s="599">
        <f>'Sources and Uses Budget'!C42</f>
        <v>1896904.7666405835</v>
      </c>
      <c r="C41" s="599">
        <f>SUM(C38:C40)</f>
        <v>0</v>
      </c>
      <c r="D41" s="599">
        <f>SUM(D38:D40)</f>
        <v>0</v>
      </c>
      <c r="E41" s="599">
        <f>'Sources and Uses Budget'!S42</f>
        <v>1896904.7666405835</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372135.00519978796</v>
      </c>
      <c r="C42" s="600"/>
      <c r="D42" s="600"/>
      <c r="E42" s="599">
        <f>'Sources and Uses Budget'!S43</f>
        <v>372135.00519978796</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4461391.7768634679</v>
      </c>
      <c r="C44" s="600"/>
      <c r="D44" s="600"/>
      <c r="E44" s="599">
        <f>'Sources and Uses Budget'!S45</f>
        <v>2081982.5163479953</v>
      </c>
      <c r="F44" s="600"/>
      <c r="G44" s="600"/>
      <c r="H44" s="599">
        <f>'Sources and Uses Budget'!T45</f>
        <v>0</v>
      </c>
      <c r="I44" s="600"/>
      <c r="J44" s="600"/>
      <c r="K44" s="594"/>
    </row>
    <row r="45" spans="1:11" s="253" customFormat="1">
      <c r="A45" s="239" t="s">
        <v>971</v>
      </c>
      <c r="B45" s="599">
        <f>'Sources and Uses Budget'!C46</f>
        <v>256762.31560084922</v>
      </c>
      <c r="C45" s="600"/>
      <c r="D45" s="600"/>
      <c r="E45" s="599">
        <f>'Sources and Uses Budget'!S46</f>
        <v>256762.31560084922</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60858.848474139886</v>
      </c>
      <c r="C48" s="600"/>
      <c r="D48" s="600"/>
      <c r="E48" s="599">
        <f>'Sources and Uses Budget'!S49</f>
        <v>60858.848474139886</v>
      </c>
      <c r="F48" s="600"/>
      <c r="G48" s="600"/>
      <c r="H48" s="599">
        <f>'Sources and Uses Budget'!T49</f>
        <v>0</v>
      </c>
      <c r="I48" s="600"/>
      <c r="J48" s="600"/>
      <c r="K48" s="594"/>
    </row>
    <row r="49" spans="1:11" s="253" customFormat="1">
      <c r="A49" s="239" t="s">
        <v>974</v>
      </c>
      <c r="B49" s="599">
        <f>'Sources and Uses Budget'!C50</f>
        <v>7490.3198122018321</v>
      </c>
      <c r="C49" s="600"/>
      <c r="D49" s="600"/>
      <c r="E49" s="599">
        <f>'Sources and Uses Budget'!S50</f>
        <v>7490.3198122018321</v>
      </c>
      <c r="F49" s="600"/>
      <c r="G49" s="600"/>
      <c r="H49" s="599">
        <f>'Sources and Uses Budget'!T50</f>
        <v>0</v>
      </c>
      <c r="I49" s="600"/>
      <c r="J49" s="600"/>
      <c r="K49" s="594"/>
    </row>
    <row r="50" spans="1:11" s="253" customFormat="1">
      <c r="A50" s="239" t="s">
        <v>975</v>
      </c>
      <c r="B50" s="599">
        <f>'Sources and Uses Budget'!C51</f>
        <v>749237.02872504224</v>
      </c>
      <c r="C50" s="600"/>
      <c r="D50" s="600"/>
      <c r="E50" s="599">
        <f>'Sources and Uses Budget'!S51</f>
        <v>749237.02872504224</v>
      </c>
      <c r="F50" s="600"/>
      <c r="G50" s="600"/>
      <c r="H50" s="599">
        <f>'Sources and Uses Budget'!T51</f>
        <v>0</v>
      </c>
      <c r="I50" s="600"/>
      <c r="J50" s="600"/>
      <c r="K50" s="594"/>
    </row>
    <row r="51" spans="1:11" s="253" customFormat="1">
      <c r="A51" s="239" t="str">
        <f>'Sources and Uses Budget'!$A52</f>
        <v>Other: Accrued interest on soft loans</v>
      </c>
      <c r="B51" s="599">
        <f>'Sources and Uses Budget'!C52</f>
        <v>481037.03724999999</v>
      </c>
      <c r="C51" s="600"/>
      <c r="D51" s="600"/>
      <c r="E51" s="599">
        <f>'Sources and Uses Budget'!S52</f>
        <v>481037.03724999999</v>
      </c>
      <c r="F51" s="600"/>
      <c r="G51" s="600"/>
      <c r="H51" s="599">
        <f>'Sources and Uses Budget'!T52</f>
        <v>0</v>
      </c>
      <c r="I51" s="600"/>
      <c r="J51" s="600"/>
      <c r="K51" s="594"/>
    </row>
    <row r="52" spans="1:11" s="592" customFormat="1">
      <c r="A52" s="243" t="s">
        <v>977</v>
      </c>
      <c r="B52" s="599">
        <f>'Sources and Uses Budget'!C53</f>
        <v>6016777.3267257009</v>
      </c>
      <c r="C52" s="602">
        <f>SUM(C44:C51)</f>
        <v>0</v>
      </c>
      <c r="D52" s="602">
        <f>SUM(D44:D51)</f>
        <v>0</v>
      </c>
      <c r="E52" s="599">
        <f>'Sources and Uses Budget'!S53</f>
        <v>3637368.0662102289</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100140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15000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Perm Legal</v>
      </c>
      <c r="B59" s="599">
        <f>'Sources and Uses Budget'!C60</f>
        <v>30000</v>
      </c>
      <c r="C59" s="600"/>
      <c r="D59" s="600"/>
      <c r="E59" s="601"/>
      <c r="F59" s="601"/>
      <c r="G59" s="601"/>
      <c r="H59" s="601"/>
      <c r="I59" s="601"/>
      <c r="J59" s="601"/>
      <c r="K59" s="594"/>
    </row>
    <row r="60" spans="1:11" s="253" customFormat="1" ht="13.9" customHeight="1">
      <c r="A60" s="243" t="s">
        <v>529</v>
      </c>
      <c r="B60" s="599">
        <f>'Sources and Uses Budget'!C61</f>
        <v>145140</v>
      </c>
      <c r="C60" s="599">
        <f>SUM(C54:C59)</f>
        <v>0</v>
      </c>
      <c r="D60" s="599">
        <f>SUM(D54:D59)</f>
        <v>0</v>
      </c>
      <c r="E60" s="601"/>
      <c r="F60" s="601"/>
      <c r="G60" s="601"/>
      <c r="H60" s="601"/>
      <c r="I60" s="601"/>
      <c r="J60" s="601"/>
      <c r="K60" s="594"/>
    </row>
    <row r="61" spans="1:11" s="253" customFormat="1">
      <c r="A61" s="249" t="s">
        <v>530</v>
      </c>
      <c r="B61" s="599">
        <f>'Sources and Uses Budget'!C62</f>
        <v>47169900.694673799</v>
      </c>
      <c r="C61" s="599">
        <f>SUM(C8+C11+C13+C14+C15+C25+C26+C37+C41+C42+C52+C60)</f>
        <v>0</v>
      </c>
      <c r="D61" s="599">
        <f>SUM(D8+D11+D13+D14+D15+D25+D26+D37+D41+D42+D52+D60)</f>
        <v>0</v>
      </c>
      <c r="E61" s="599">
        <f>'Sources and Uses Budget'!S62</f>
        <v>37870599.777546272</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60858.848474139886</v>
      </c>
      <c r="C63" s="600"/>
      <c r="D63" s="600"/>
      <c r="E63" s="599">
        <f>'Sources and Uses Budget'!S64</f>
        <v>60858.848474139886</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24">
      <c r="A67" s="239" t="str">
        <f>'Sources and Uses Budget'!$A68</f>
        <v>Other: owner legal, city legal, county legal</v>
      </c>
      <c r="B67" s="599">
        <f>'Sources and Uses Budget'!C68</f>
        <v>126814.49882626145</v>
      </c>
      <c r="C67" s="600"/>
      <c r="D67" s="600"/>
      <c r="E67" s="599">
        <f>'Sources and Uses Budget'!S68</f>
        <v>126814.49882626145</v>
      </c>
      <c r="F67" s="600"/>
      <c r="G67" s="600"/>
      <c r="H67" s="599">
        <f>'Sources and Uses Budget'!T68</f>
        <v>0</v>
      </c>
      <c r="I67" s="600"/>
      <c r="J67" s="600"/>
      <c r="K67" s="594"/>
    </row>
    <row r="68" spans="1:11" s="253" customFormat="1">
      <c r="A68" s="243" t="s">
        <v>2056</v>
      </c>
      <c r="B68" s="599">
        <f>'Sources and Uses Budget'!C69</f>
        <v>187673.34730040134</v>
      </c>
      <c r="C68" s="599">
        <f>SUM(C62:C67)</f>
        <v>0</v>
      </c>
      <c r="D68" s="599">
        <f>SUM(D62:D67)</f>
        <v>0</v>
      </c>
      <c r="E68" s="599">
        <f>'Sources and Uses Budget'!S69</f>
        <v>187673.34730040134</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261050</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261050</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1524396.6498851504</v>
      </c>
      <c r="C77" s="600"/>
      <c r="D77" s="600"/>
      <c r="E77" s="599">
        <f>'Sources and Uses Budget'!S78</f>
        <v>1524396.6498851504</v>
      </c>
      <c r="F77" s="600"/>
      <c r="G77" s="600"/>
      <c r="H77" s="599">
        <f>'Sources and Uses Budget'!T78</f>
        <v>0</v>
      </c>
      <c r="I77" s="600"/>
      <c r="J77" s="600"/>
      <c r="K77" s="594"/>
    </row>
    <row r="78" spans="1:11" s="253" customFormat="1">
      <c r="A78" s="239" t="s">
        <v>569</v>
      </c>
      <c r="B78" s="599">
        <f>'Sources and Uses Budget'!C79</f>
        <v>421010.80841705442</v>
      </c>
      <c r="C78" s="600"/>
      <c r="D78" s="600"/>
      <c r="E78" s="599">
        <f>'Sources and Uses Budget'!S79</f>
        <v>421010.80841705442</v>
      </c>
      <c r="F78" s="600"/>
      <c r="G78" s="600"/>
      <c r="H78" s="599">
        <f>'Sources and Uses Budget'!T79</f>
        <v>0</v>
      </c>
      <c r="I78" s="600"/>
      <c r="J78" s="600"/>
      <c r="K78" s="594"/>
    </row>
    <row r="79" spans="1:11" s="253" customFormat="1">
      <c r="A79" s="243" t="s">
        <v>1818</v>
      </c>
      <c r="B79" s="599">
        <f>'Sources and Uses Budget'!C80</f>
        <v>1945407.4583022047</v>
      </c>
      <c r="C79" s="682">
        <f>SUM(C77:C78)</f>
        <v>0</v>
      </c>
      <c r="D79" s="682">
        <f>SUM(D77:D78)</f>
        <v>0</v>
      </c>
      <c r="E79" s="599">
        <f>'Sources and Uses Budget'!S80</f>
        <v>1945407.4583022047</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122090</v>
      </c>
      <c r="C81" s="600"/>
      <c r="D81" s="600"/>
      <c r="E81" s="601"/>
      <c r="F81" s="601"/>
      <c r="G81" s="601"/>
      <c r="H81" s="601"/>
      <c r="I81" s="601"/>
      <c r="J81" s="601"/>
      <c r="K81" s="594"/>
    </row>
    <row r="82" spans="1:11" s="253" customFormat="1">
      <c r="A82" s="239" t="s">
        <v>547</v>
      </c>
      <c r="B82" s="599">
        <f>'Sources and Uses Budget'!C83</f>
        <v>50995.969861423124</v>
      </c>
      <c r="C82" s="600"/>
      <c r="D82" s="600"/>
      <c r="E82" s="599">
        <f>'Sources and Uses Budget'!S83</f>
        <v>50995.969861423124</v>
      </c>
      <c r="F82" s="600"/>
      <c r="G82" s="600"/>
      <c r="H82" s="599">
        <f>'Sources and Uses Budget'!T83</f>
        <v>0</v>
      </c>
      <c r="I82" s="600"/>
      <c r="J82" s="600"/>
      <c r="K82" s="594"/>
    </row>
    <row r="83" spans="1:11" s="253" customFormat="1">
      <c r="A83" s="239" t="s">
        <v>548</v>
      </c>
      <c r="B83" s="599">
        <f>'Sources and Uses Budget'!C84</f>
        <v>4132346.57</v>
      </c>
      <c r="C83" s="600"/>
      <c r="D83" s="600"/>
      <c r="E83" s="599">
        <f>'Sources and Uses Budget'!S84</f>
        <v>305646.2450968019</v>
      </c>
      <c r="F83" s="600"/>
      <c r="G83" s="600"/>
      <c r="H83" s="599">
        <f>'Sources and Uses Budget'!T84</f>
        <v>0</v>
      </c>
      <c r="I83" s="600"/>
      <c r="J83" s="600"/>
      <c r="K83" s="594"/>
    </row>
    <row r="84" spans="1:11" s="253" customFormat="1">
      <c r="A84" s="239" t="s">
        <v>549</v>
      </c>
      <c r="B84" s="599">
        <f>'Sources and Uses Budget'!C85</f>
        <v>421330.48943635309</v>
      </c>
      <c r="C84" s="600"/>
      <c r="D84" s="600"/>
      <c r="E84" s="599">
        <f>'Sources and Uses Budget'!S85</f>
        <v>421330.48943635309</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115000</v>
      </c>
      <c r="C86" s="600"/>
      <c r="D86" s="600"/>
      <c r="E86" s="601"/>
      <c r="F86" s="601"/>
      <c r="G86" s="601"/>
      <c r="H86" s="601"/>
      <c r="I86" s="601"/>
      <c r="J86" s="601"/>
      <c r="K86" s="594"/>
    </row>
    <row r="87" spans="1:11" s="253" customFormat="1">
      <c r="A87" s="239" t="s">
        <v>552</v>
      </c>
      <c r="B87" s="599">
        <f>'Sources and Uses Budget'!C88</f>
        <v>100000</v>
      </c>
      <c r="C87" s="600"/>
      <c r="D87" s="600"/>
      <c r="E87" s="599">
        <f>'Sources and Uses Budget'!S88</f>
        <v>100000</v>
      </c>
      <c r="F87" s="600"/>
      <c r="G87" s="600"/>
      <c r="H87" s="599">
        <f>'Sources and Uses Budget'!T88</f>
        <v>0</v>
      </c>
      <c r="I87" s="600"/>
      <c r="J87" s="600"/>
      <c r="K87" s="594"/>
    </row>
    <row r="88" spans="1:11" s="253" customFormat="1">
      <c r="A88" s="239" t="s">
        <v>553</v>
      </c>
      <c r="B88" s="599">
        <f>'Sources and Uses Budget'!C89</f>
        <v>10000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9362.8997652522903</v>
      </c>
      <c r="C90" s="600"/>
      <c r="D90" s="600"/>
      <c r="E90" s="599">
        <f>'Sources and Uses Budget'!S91</f>
        <v>9362.8997652522903</v>
      </c>
      <c r="F90" s="600"/>
      <c r="G90" s="600"/>
      <c r="H90" s="599">
        <f>'Sources and Uses Budget'!T91</f>
        <v>0</v>
      </c>
      <c r="I90" s="600"/>
      <c r="J90" s="600"/>
      <c r="K90" s="594"/>
    </row>
    <row r="91" spans="1:11" s="253" customFormat="1">
      <c r="A91" s="239" t="str">
        <f>'Sources and Uses Budget'!$A92</f>
        <v>Other: Construction management</v>
      </c>
      <c r="B91" s="599">
        <f>'Sources and Uses Budget'!C92</f>
        <v>199037.45949970972</v>
      </c>
      <c r="C91" s="600"/>
      <c r="D91" s="600"/>
      <c r="E91" s="599">
        <f>'Sources and Uses Budget'!S92</f>
        <v>199037.45949970972</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5160163.388562738</v>
      </c>
      <c r="C94" s="599">
        <f>SUM(C81:C93)</f>
        <v>0</v>
      </c>
      <c r="D94" s="599">
        <f>SUM(D81:D93)</f>
        <v>0</v>
      </c>
      <c r="E94" s="599">
        <f>'Sources and Uses Budget'!S95</f>
        <v>1086373.0636595401</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54724194.888839148</v>
      </c>
      <c r="C95" s="599">
        <f>SUM(C61+C68+C75+C79+C94)</f>
        <v>0</v>
      </c>
      <c r="D95" s="599">
        <f>SUM(D61+D68+D75+D79+D94)</f>
        <v>0</v>
      </c>
      <c r="E95" s="599">
        <f>'Sources and Uses Budget'!S96</f>
        <v>41090053.646808423</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56924194.888839148</v>
      </c>
      <c r="C103" s="602">
        <f>SUM(C95+C102)</f>
        <v>0</v>
      </c>
      <c r="D103" s="602">
        <f>SUM(D95+D102)</f>
        <v>0</v>
      </c>
      <c r="E103" s="599">
        <f>'Sources and Uses Budget'!S104</f>
        <v>43290053.646808423</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43290053.646808423</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3" priority="6" stopIfTrue="1" operator="notEqual">
      <formula>$C3+$D3</formula>
    </cfRule>
  </conditionalFormatting>
  <conditionalFormatting sqref="E3:E14 E16:E105">
    <cfRule type="cellIs" dxfId="12" priority="5" stopIfTrue="1" operator="notEqual">
      <formula>$F3+$G3</formula>
    </cfRule>
  </conditionalFormatting>
  <conditionalFormatting sqref="H3:H14 H16:H105">
    <cfRule type="cellIs" dxfId="11" priority="4" stopIfTrue="1" operator="notEqual">
      <formula>$I3+$J3</formula>
    </cfRule>
  </conditionalFormatting>
  <conditionalFormatting sqref="E15">
    <cfRule type="cellIs" dxfId="10" priority="3" stopIfTrue="1" operator="notEqual">
      <formula>$F15+$G15</formula>
    </cfRule>
  </conditionalFormatting>
  <conditionalFormatting sqref="H15">
    <cfRule type="cellIs" dxfId="9"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216" workbookViewId="0">
      <selection activeCell="H310" sqref="H31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4" t="s">
        <v>887</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row>
    <row r="2" spans="1:42" s="5" customFormat="1" ht="12.7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3" t="s">
        <v>389</v>
      </c>
      <c r="AF4" s="1683"/>
      <c r="AG4" s="1683"/>
      <c r="AH4" s="1683"/>
      <c r="AI4" s="1683"/>
      <c r="AJ4" s="1683"/>
      <c r="AK4" s="1683"/>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2376</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9" t="s">
        <v>1296</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4" t="s">
        <v>116</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9" t="s">
        <v>1299</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1299</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2342</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1300</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4" t="s">
        <v>116</v>
      </c>
      <c r="AD37" s="1794"/>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1331</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2481</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1538</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2332</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700</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3" t="s">
        <v>1371</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8">
        <f>VLOOKUP($B$66,$AP$45:$AR$50,2,FALSE)</f>
        <v>10</v>
      </c>
      <c r="AL68" s="1249"/>
      <c r="AM68" s="1249"/>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2241</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612</v>
      </c>
      <c r="I112" s="1673"/>
      <c r="J112" s="116"/>
      <c r="K112" s="116"/>
      <c r="L112" s="116"/>
      <c r="M112" s="116"/>
      <c r="O112" s="957" t="s">
        <v>2203</v>
      </c>
      <c r="T112" s="1797"/>
      <c r="U112" s="1797"/>
      <c r="V112" s="1797"/>
      <c r="W112" s="1797"/>
      <c r="X112" s="1797"/>
      <c r="Y112" s="179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2" t="s">
        <v>132</v>
      </c>
      <c r="C120" s="1122"/>
      <c r="D120" s="49"/>
      <c r="E120" s="1674" t="s">
        <v>1847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8">
        <f>VLOOKUP($H$112,$AO$96:$AP$101,2,FALSE)+IF(T112=AO108,0,VLOOKUP($H$118,$AO$116:$AP$118,2,FALSE))</f>
        <v>7</v>
      </c>
      <c r="AK124" s="125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5" t="s">
        <v>1920</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8">
        <f>VLOOKUP($H$137,$AO$111:$AP$113,2,FALSE)</f>
        <v>3</v>
      </c>
      <c r="AK139" s="1251"/>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8">
        <f>VLOOKUP(H149,AT111:AU113,2,FALSE)</f>
        <v>3</v>
      </c>
      <c r="AK151" s="1251"/>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1789</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1790</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1791</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1792</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1541</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1542</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767</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8">
        <f>VLOOKUP($H$182,$AO$132:$AP$139,2,FALSE)</f>
        <v>4</v>
      </c>
      <c r="AK184" s="125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2343</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2344</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2049</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132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8">
        <f>VLOOKUP($H$201,$AO$151:$AP$153,2,FALSE)</f>
        <v>0</v>
      </c>
      <c r="AK203" s="125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9" t="s">
        <v>1307</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9"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9" customHeight="1">
      <c r="A210" s="4"/>
      <c r="B210" s="5"/>
      <c r="C210" s="45"/>
      <c r="D210" s="26" t="s">
        <v>208</v>
      </c>
      <c r="E210" s="1686" t="s">
        <v>1308</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8">
        <f>VLOOKUP($H$213,$AO$151:$AP$153,2,FALSE)</f>
        <v>0</v>
      </c>
      <c r="AK215" s="1251"/>
      <c r="AL215" s="10"/>
      <c r="AM215" s="4"/>
      <c r="AN215" s="204"/>
      <c r="AP215" s="1248"/>
      <c r="AQ215" s="125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4" t="s">
        <v>1558</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612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8">
        <f>VLOOKUP($H$225,$AO$165:$AP$167,2,FALSE)</f>
        <v>3</v>
      </c>
      <c r="AK227" s="125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132</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8">
        <f>VLOOKUP($H$239,$AO$178:$AP$180,2,FALSE)</f>
        <v>0</v>
      </c>
      <c r="AK241" s="1251"/>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1309</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8">
        <f>VLOOKUP($H$251,$AO$191:$AP$193,2,FALSE)</f>
        <v>1</v>
      </c>
      <c r="AK253" s="1251"/>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4" t="s">
        <v>2047</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2048</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8">
        <f>VLOOKUP($H$266,$AP$211:$AQ$213,2,FALSE)</f>
        <v>0</v>
      </c>
      <c r="AK268" s="125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4" t="s">
        <v>2346</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1706</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8">
        <f>VLOOKUP($H$276,$AO$271:$AP$272,2,FALSE)</f>
        <v>0</v>
      </c>
      <c r="AK278" s="1251"/>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8">
        <f>$AJ$124+$AJ$139+$AJ$151+$AJ$184+$AJ$203+$AJ$215+$AJ$227+$AJ$241+$AJ$253+$AJ$268+AJ278</f>
        <v>21</v>
      </c>
      <c r="AL280" s="1249"/>
      <c r="AM280" s="125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5" t="s">
        <v>2482</v>
      </c>
      <c r="I284" s="1095"/>
      <c r="J284" s="1095"/>
      <c r="K284" s="1095"/>
      <c r="L284" s="1095"/>
      <c r="M284" s="1095"/>
      <c r="N284" s="1095"/>
      <c r="O284" s="1095"/>
      <c r="P284" s="1095"/>
      <c r="Q284" s="1095"/>
      <c r="R284" s="1095"/>
      <c r="S284"/>
      <c r="T284" s="41" t="s">
        <v>97</v>
      </c>
      <c r="U284"/>
      <c r="V284" s="41"/>
      <c r="W284" s="41"/>
      <c r="X284" s="41"/>
      <c r="Y284" s="41"/>
      <c r="Z284"/>
      <c r="AA284" s="1095" t="s">
        <v>2488</v>
      </c>
      <c r="AB284" s="1095"/>
      <c r="AC284" s="1095"/>
      <c r="AD284" s="1095"/>
      <c r="AE284" s="1095"/>
      <c r="AF284" s="1095"/>
      <c r="AG284" s="1095"/>
      <c r="AH284" s="1095"/>
      <c r="AI284" s="1095"/>
      <c r="AJ284" s="1095"/>
      <c r="AK284" s="1095"/>
      <c r="AL284" s="10"/>
      <c r="AN284" s="281"/>
    </row>
    <row r="285" spans="1:82" s="4" customFormat="1" ht="12.75" customHeight="1">
      <c r="B285" s="41" t="s">
        <v>735</v>
      </c>
      <c r="C285" s="41"/>
      <c r="D285" s="41"/>
      <c r="E285" s="41"/>
      <c r="F285" s="41"/>
      <c r="G285"/>
      <c r="H285" s="1096" t="s">
        <v>2483</v>
      </c>
      <c r="I285" s="1096"/>
      <c r="J285" s="1096"/>
      <c r="K285" s="1096"/>
      <c r="L285" s="1096"/>
      <c r="M285" s="1096"/>
      <c r="N285" s="1096"/>
      <c r="O285" s="1096"/>
      <c r="P285" s="1096"/>
      <c r="Q285" s="1096"/>
      <c r="R285" s="1096"/>
      <c r="S285"/>
      <c r="T285" s="41" t="s">
        <v>735</v>
      </c>
      <c r="U285"/>
      <c r="V285" s="41"/>
      <c r="W285" s="41"/>
      <c r="X285" s="41"/>
      <c r="Y285" s="41"/>
      <c r="Z285"/>
      <c r="AA285" s="1096" t="s">
        <v>2489</v>
      </c>
      <c r="AB285" s="1096"/>
      <c r="AC285" s="1096"/>
      <c r="AD285" s="1096"/>
      <c r="AE285" s="1096"/>
      <c r="AF285" s="1096"/>
      <c r="AG285" s="1096"/>
      <c r="AH285" s="1096"/>
      <c r="AI285" s="1096"/>
      <c r="AJ285" s="1096"/>
      <c r="AK285" s="1096"/>
      <c r="AL285" s="10"/>
      <c r="AN285" s="281"/>
    </row>
    <row r="286" spans="1:82" s="4" customFormat="1" ht="12.75" customHeight="1">
      <c r="B286" s="41" t="s">
        <v>107</v>
      </c>
      <c r="C286" s="41"/>
      <c r="D286" s="41"/>
      <c r="E286" s="41"/>
      <c r="F286" s="41"/>
      <c r="G286"/>
      <c r="H286" s="1096" t="s">
        <v>2484</v>
      </c>
      <c r="I286" s="1096"/>
      <c r="J286" s="1096"/>
      <c r="K286" s="1096"/>
      <c r="L286" s="1096"/>
      <c r="M286" s="1096"/>
      <c r="N286" s="1096"/>
      <c r="O286" s="1096"/>
      <c r="P286" s="1096"/>
      <c r="Q286" s="1096"/>
      <c r="R286" s="1096"/>
      <c r="S286"/>
      <c r="T286" s="41" t="s">
        <v>107</v>
      </c>
      <c r="U286"/>
      <c r="V286" s="41"/>
      <c r="W286" s="41"/>
      <c r="X286" s="41"/>
      <c r="Y286" s="41"/>
      <c r="Z286"/>
      <c r="AA286" s="1096" t="s">
        <v>2490</v>
      </c>
      <c r="AB286" s="1096"/>
      <c r="AC286" s="1096"/>
      <c r="AD286" s="1096"/>
      <c r="AE286" s="1096"/>
      <c r="AF286" s="1096"/>
      <c r="AG286" s="1096"/>
      <c r="AH286" s="1096"/>
      <c r="AI286" s="1096"/>
      <c r="AJ286" s="1096"/>
      <c r="AK286" s="1096"/>
      <c r="AL286" s="10"/>
      <c r="AN286" s="281"/>
      <c r="AO286" s="211"/>
    </row>
    <row r="287" spans="1:82" s="4" customFormat="1" ht="12.75" customHeight="1">
      <c r="B287" s="41" t="s">
        <v>399</v>
      </c>
      <c r="C287" s="41"/>
      <c r="D287" s="41"/>
      <c r="E287" s="41"/>
      <c r="F287" s="41"/>
      <c r="G287"/>
      <c r="H287" s="1096" t="s">
        <v>2485</v>
      </c>
      <c r="I287" s="1096"/>
      <c r="J287" s="1096"/>
      <c r="K287" s="1096"/>
      <c r="L287" s="1096"/>
      <c r="M287" s="1096"/>
      <c r="N287" s="1096"/>
      <c r="O287" s="1096"/>
      <c r="P287" s="1096"/>
      <c r="Q287" s="1096"/>
      <c r="R287" s="1096"/>
      <c r="S287"/>
      <c r="T287" s="41" t="s">
        <v>399</v>
      </c>
      <c r="U287"/>
      <c r="V287" s="41"/>
      <c r="W287" s="41"/>
      <c r="X287" s="41"/>
      <c r="Y287" s="41"/>
      <c r="Z287"/>
      <c r="AA287" s="1096" t="s">
        <v>2491</v>
      </c>
      <c r="AB287" s="1096"/>
      <c r="AC287" s="1096"/>
      <c r="AD287" s="1096"/>
      <c r="AE287" s="1096"/>
      <c r="AF287" s="1096"/>
      <c r="AG287" s="1096"/>
      <c r="AH287" s="1096"/>
      <c r="AI287" s="1096"/>
      <c r="AJ287" s="1096"/>
      <c r="AK287" s="1096"/>
      <c r="AL287" s="10"/>
      <c r="AN287" s="281"/>
      <c r="AO287" s="211"/>
    </row>
    <row r="288" spans="1:82" s="4" customFormat="1" ht="12.75" customHeight="1">
      <c r="B288" s="41" t="s">
        <v>400</v>
      </c>
      <c r="C288" s="41"/>
      <c r="D288" s="41"/>
      <c r="E288" s="41"/>
      <c r="F288" s="41"/>
      <c r="G288" s="41"/>
      <c r="H288" s="1130" t="s">
        <v>2486</v>
      </c>
      <c r="I288" s="1118"/>
      <c r="J288" s="1118"/>
      <c r="K288" s="1118"/>
      <c r="L288" s="1118"/>
      <c r="M288" s="1118"/>
      <c r="N288" s="5" t="s">
        <v>859</v>
      </c>
      <c r="O288" s="5"/>
      <c r="P288" s="1121"/>
      <c r="Q288" s="1121"/>
      <c r="R288" s="1121"/>
      <c r="S288" s="41"/>
      <c r="T288" s="41" t="s">
        <v>400</v>
      </c>
      <c r="U288"/>
      <c r="V288" s="41"/>
      <c r="W288" s="41"/>
      <c r="X288" s="41"/>
      <c r="Y288" s="41"/>
      <c r="Z288"/>
      <c r="AA288" s="1118" t="s">
        <v>2492</v>
      </c>
      <c r="AB288" s="1118"/>
      <c r="AC288" s="1118"/>
      <c r="AD288" s="1118"/>
      <c r="AE288" s="1118"/>
      <c r="AF288" s="1118"/>
      <c r="AG288" s="5" t="s">
        <v>859</v>
      </c>
      <c r="AH288" s="5"/>
      <c r="AI288" s="1121"/>
      <c r="AJ288" s="1121"/>
      <c r="AK288" s="1121"/>
      <c r="AL288" s="10"/>
      <c r="AN288" s="281"/>
      <c r="AO288" s="211"/>
    </row>
    <row r="289" spans="1:41" s="4" customFormat="1" ht="12.75" customHeight="1">
      <c r="B289" s="41" t="s">
        <v>96</v>
      </c>
      <c r="C289" s="41"/>
      <c r="D289" s="41"/>
      <c r="E289" s="41"/>
      <c r="F289" s="41"/>
      <c r="G289" s="41"/>
      <c r="H289" s="1096" t="s">
        <v>99</v>
      </c>
      <c r="I289" s="1096"/>
      <c r="J289" s="1096"/>
      <c r="K289" s="1096"/>
      <c r="L289" s="1096"/>
      <c r="M289" s="1096"/>
      <c r="N289" s="1096"/>
      <c r="O289" s="1096"/>
      <c r="P289" s="1096"/>
      <c r="Q289" s="1096"/>
      <c r="R289" s="1096"/>
      <c r="S289" s="41"/>
      <c r="T289" s="41" t="s">
        <v>96</v>
      </c>
      <c r="U289"/>
      <c r="V289" s="41"/>
      <c r="W289" s="41"/>
      <c r="X289" s="41"/>
      <c r="Y289" s="41"/>
      <c r="Z289"/>
      <c r="AA289" s="1096" t="s">
        <v>100</v>
      </c>
      <c r="AB289" s="1096"/>
      <c r="AC289" s="1096"/>
      <c r="AD289" s="1096"/>
      <c r="AE289" s="1096"/>
      <c r="AF289" s="1096"/>
      <c r="AG289" s="1096"/>
      <c r="AH289" s="1096"/>
      <c r="AI289" s="1096"/>
      <c r="AJ289" s="1096"/>
      <c r="AK289" s="1096"/>
      <c r="AL289" s="10"/>
      <c r="AN289" s="281"/>
      <c r="AO289" s="211"/>
    </row>
    <row r="290" spans="1:41" s="4" customFormat="1" ht="12.75" customHeight="1">
      <c r="B290" s="41" t="s">
        <v>98</v>
      </c>
      <c r="C290" s="41"/>
      <c r="D290" s="41"/>
      <c r="E290" s="41"/>
      <c r="F290" s="41"/>
      <c r="G290" s="41"/>
      <c r="H290" s="1096" t="s">
        <v>2487</v>
      </c>
      <c r="I290" s="1096"/>
      <c r="J290" s="1096"/>
      <c r="K290" s="1096"/>
      <c r="L290" s="1096"/>
      <c r="M290" s="1096"/>
      <c r="N290" s="1096"/>
      <c r="O290" s="1096"/>
      <c r="P290" s="1096"/>
      <c r="Q290" s="1096"/>
      <c r="R290" s="1096"/>
      <c r="S290" s="41"/>
      <c r="T290" s="41" t="s">
        <v>98</v>
      </c>
      <c r="U290"/>
      <c r="V290" s="41"/>
      <c r="W290" s="41"/>
      <c r="X290" s="41"/>
      <c r="Y290" s="41"/>
      <c r="Z290"/>
      <c r="AA290" s="1096" t="s">
        <v>2493</v>
      </c>
      <c r="AB290" s="1096"/>
      <c r="AC290" s="1096"/>
      <c r="AD290" s="1096"/>
      <c r="AE290" s="1096"/>
      <c r="AF290" s="1096"/>
      <c r="AG290" s="1096"/>
      <c r="AH290" s="1096"/>
      <c r="AI290" s="1096"/>
      <c r="AJ290" s="1096"/>
      <c r="AK290" s="1096"/>
      <c r="AL290" s="10"/>
      <c r="AN290" s="281"/>
    </row>
    <row r="291" spans="1:41" s="4" customFormat="1" ht="12.75" customHeight="1">
      <c r="B291" s="41" t="s">
        <v>109</v>
      </c>
      <c r="C291" s="41"/>
      <c r="D291" s="41"/>
      <c r="E291" s="41"/>
      <c r="F291" s="41"/>
      <c r="G291" s="41"/>
      <c r="H291" s="1715">
        <v>0.12</v>
      </c>
      <c r="I291" s="1715"/>
      <c r="J291" s="1715"/>
      <c r="K291" s="1715"/>
      <c r="L291" s="1715"/>
      <c r="M291" s="1715"/>
      <c r="N291" s="1715"/>
      <c r="O291" s="1715"/>
      <c r="P291" s="1715"/>
      <c r="Q291" s="1715"/>
      <c r="R291" s="1715"/>
      <c r="S291" s="41"/>
      <c r="T291" s="41" t="s">
        <v>109</v>
      </c>
      <c r="U291" s="41"/>
      <c r="V291" s="41"/>
      <c r="W291" s="41"/>
      <c r="X291" s="41"/>
      <c r="Y291" s="41"/>
      <c r="Z291" s="12"/>
      <c r="AA291" s="1715">
        <v>0.09</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5" t="s">
        <v>2494</v>
      </c>
      <c r="I293" s="1095"/>
      <c r="J293" s="1095"/>
      <c r="K293" s="1095"/>
      <c r="L293" s="1095"/>
      <c r="M293" s="1095"/>
      <c r="N293" s="1095"/>
      <c r="O293" s="1095"/>
      <c r="P293" s="1095"/>
      <c r="Q293" s="1095"/>
      <c r="R293" s="1095"/>
      <c r="S293"/>
      <c r="T293" s="41" t="s">
        <v>97</v>
      </c>
      <c r="U293"/>
      <c r="V293" s="41"/>
      <c r="W293" s="41"/>
      <c r="X293" s="41"/>
      <c r="Y293" s="41"/>
      <c r="Z293"/>
      <c r="AA293" s="1095" t="s">
        <v>2499</v>
      </c>
      <c r="AB293" s="1095"/>
      <c r="AC293" s="1095"/>
      <c r="AD293" s="1095"/>
      <c r="AE293" s="1095"/>
      <c r="AF293" s="1095"/>
      <c r="AG293" s="1095"/>
      <c r="AH293" s="1095"/>
      <c r="AI293" s="1095"/>
      <c r="AJ293" s="1095"/>
      <c r="AK293" s="1095"/>
      <c r="AL293" s="10"/>
      <c r="AN293" s="281"/>
    </row>
    <row r="294" spans="1:41" s="20" customFormat="1" ht="12.75" customHeight="1">
      <c r="A294" s="4"/>
      <c r="B294" s="41" t="s">
        <v>735</v>
      </c>
      <c r="C294" s="41"/>
      <c r="D294" s="41"/>
      <c r="E294" s="41"/>
      <c r="F294" s="41"/>
      <c r="G294"/>
      <c r="H294" s="1096" t="s">
        <v>2495</v>
      </c>
      <c r="I294" s="1096"/>
      <c r="J294" s="1096"/>
      <c r="K294" s="1096"/>
      <c r="L294" s="1096"/>
      <c r="M294" s="1096"/>
      <c r="N294" s="1096"/>
      <c r="O294" s="1096"/>
      <c r="P294" s="1096"/>
      <c r="Q294" s="1096"/>
      <c r="R294" s="1096"/>
      <c r="S294"/>
      <c r="T294" s="41" t="s">
        <v>735</v>
      </c>
      <c r="U294"/>
      <c r="V294" s="41"/>
      <c r="W294" s="41"/>
      <c r="X294" s="41"/>
      <c r="Y294" s="41"/>
      <c r="Z294"/>
      <c r="AA294" s="1096" t="s">
        <v>2500</v>
      </c>
      <c r="AB294" s="1096"/>
      <c r="AC294" s="1096"/>
      <c r="AD294" s="1096"/>
      <c r="AE294" s="1096"/>
      <c r="AF294" s="1096"/>
      <c r="AG294" s="1096"/>
      <c r="AH294" s="1096"/>
      <c r="AI294" s="1096"/>
      <c r="AJ294" s="1096"/>
      <c r="AK294" s="1096"/>
      <c r="AL294" s="10"/>
      <c r="AM294" s="4"/>
      <c r="AN294" s="281"/>
      <c r="AO294" s="4"/>
    </row>
    <row r="295" spans="1:41" s="20" customFormat="1" ht="12.75" customHeight="1">
      <c r="A295" s="4"/>
      <c r="B295" s="41" t="s">
        <v>107</v>
      </c>
      <c r="C295" s="41"/>
      <c r="D295" s="41"/>
      <c r="E295" s="41"/>
      <c r="F295" s="41"/>
      <c r="G295"/>
      <c r="H295" s="1096" t="s">
        <v>2490</v>
      </c>
      <c r="I295" s="1096"/>
      <c r="J295" s="1096"/>
      <c r="K295" s="1096"/>
      <c r="L295" s="1096"/>
      <c r="M295" s="1096"/>
      <c r="N295" s="1096"/>
      <c r="O295" s="1096"/>
      <c r="P295" s="1096"/>
      <c r="Q295" s="1096"/>
      <c r="R295" s="1096"/>
      <c r="S295"/>
      <c r="T295" s="41" t="s">
        <v>107</v>
      </c>
      <c r="U295"/>
      <c r="V295" s="41"/>
      <c r="W295" s="41"/>
      <c r="X295" s="41"/>
      <c r="Y295" s="41"/>
      <c r="Z295"/>
      <c r="AA295" s="1096" t="s">
        <v>2490</v>
      </c>
      <c r="AB295" s="1096"/>
      <c r="AC295" s="1096"/>
      <c r="AD295" s="1096"/>
      <c r="AE295" s="1096"/>
      <c r="AF295" s="1096"/>
      <c r="AG295" s="1096"/>
      <c r="AH295" s="1096"/>
      <c r="AI295" s="1096"/>
      <c r="AJ295" s="1096"/>
      <c r="AK295" s="1096"/>
      <c r="AL295" s="10"/>
      <c r="AM295" s="4"/>
      <c r="AN295" s="281"/>
      <c r="AO295" s="4"/>
    </row>
    <row r="296" spans="1:41" s="4" customFormat="1" ht="12.75" customHeight="1">
      <c r="B296" s="41" t="s">
        <v>399</v>
      </c>
      <c r="C296" s="41"/>
      <c r="D296" s="41"/>
      <c r="E296" s="41"/>
      <c r="F296" s="41"/>
      <c r="G296"/>
      <c r="H296" s="1096" t="s">
        <v>2496</v>
      </c>
      <c r="I296" s="1096"/>
      <c r="J296" s="1096"/>
      <c r="K296" s="1096"/>
      <c r="L296" s="1096"/>
      <c r="M296" s="1096"/>
      <c r="N296" s="1096"/>
      <c r="O296" s="1096"/>
      <c r="P296" s="1096"/>
      <c r="Q296" s="1096"/>
      <c r="R296" s="1096"/>
      <c r="S296"/>
      <c r="T296" s="41" t="s">
        <v>399</v>
      </c>
      <c r="U296"/>
      <c r="V296" s="41"/>
      <c r="W296" s="41"/>
      <c r="X296" s="41"/>
      <c r="Y296" s="41"/>
      <c r="Z296"/>
      <c r="AA296" s="1096" t="s">
        <v>2501</v>
      </c>
      <c r="AB296" s="1096"/>
      <c r="AC296" s="1096"/>
      <c r="AD296" s="1096"/>
      <c r="AE296" s="1096"/>
      <c r="AF296" s="1096"/>
      <c r="AG296" s="1096"/>
      <c r="AH296" s="1096"/>
      <c r="AI296" s="1096"/>
      <c r="AJ296" s="1096"/>
      <c r="AK296" s="1096"/>
      <c r="AL296" s="10"/>
      <c r="AN296" s="281"/>
    </row>
    <row r="297" spans="1:41" s="4" customFormat="1" ht="12.75" customHeight="1">
      <c r="B297" s="41" t="s">
        <v>400</v>
      </c>
      <c r="C297" s="41"/>
      <c r="D297" s="41"/>
      <c r="E297" s="41"/>
      <c r="F297" s="41"/>
      <c r="G297" s="41"/>
      <c r="H297" s="1118" t="s">
        <v>2497</v>
      </c>
      <c r="I297" s="1118"/>
      <c r="J297" s="1118"/>
      <c r="K297" s="1118"/>
      <c r="L297" s="1118"/>
      <c r="M297" s="1118"/>
      <c r="N297" s="5" t="s">
        <v>859</v>
      </c>
      <c r="O297" s="5"/>
      <c r="P297" s="1121"/>
      <c r="Q297" s="1121"/>
      <c r="R297" s="1121"/>
      <c r="S297" s="41"/>
      <c r="T297" s="41" t="s">
        <v>400</v>
      </c>
      <c r="U297"/>
      <c r="V297" s="41"/>
      <c r="W297" s="41"/>
      <c r="X297" s="41"/>
      <c r="Y297" s="41"/>
      <c r="Z297"/>
      <c r="AA297" s="1118" t="s">
        <v>2502</v>
      </c>
      <c r="AB297" s="1118"/>
      <c r="AC297" s="1118"/>
      <c r="AD297" s="1118"/>
      <c r="AE297" s="1118"/>
      <c r="AF297" s="1118"/>
      <c r="AG297" s="5" t="s">
        <v>859</v>
      </c>
      <c r="AH297" s="5"/>
      <c r="AI297" s="1121"/>
      <c r="AJ297" s="1121"/>
      <c r="AK297" s="1121"/>
      <c r="AL297" s="10"/>
      <c r="AN297" s="281"/>
    </row>
    <row r="298" spans="1:41" s="4" customFormat="1" ht="12.75" customHeight="1">
      <c r="B298" s="41" t="s">
        <v>96</v>
      </c>
      <c r="C298" s="41"/>
      <c r="D298" s="41"/>
      <c r="E298" s="41"/>
      <c r="F298" s="41"/>
      <c r="G298" s="41"/>
      <c r="H298" s="1096" t="s">
        <v>101</v>
      </c>
      <c r="I298" s="1096"/>
      <c r="J298" s="1096"/>
      <c r="K298" s="1096"/>
      <c r="L298" s="1096"/>
      <c r="M298" s="1096"/>
      <c r="N298" s="1096"/>
      <c r="O298" s="1096"/>
      <c r="P298" s="1096"/>
      <c r="Q298" s="1096"/>
      <c r="R298" s="1096"/>
      <c r="S298" s="41"/>
      <c r="T298" s="41" t="s">
        <v>96</v>
      </c>
      <c r="U298"/>
      <c r="V298" s="41"/>
      <c r="W298" s="41"/>
      <c r="X298" s="41"/>
      <c r="Y298" s="41"/>
      <c r="Z298"/>
      <c r="AA298" s="1096" t="s">
        <v>369</v>
      </c>
      <c r="AB298" s="1096"/>
      <c r="AC298" s="1096"/>
      <c r="AD298" s="1096"/>
      <c r="AE298" s="1096"/>
      <c r="AF298" s="1096"/>
      <c r="AG298" s="1096"/>
      <c r="AH298" s="1096"/>
      <c r="AI298" s="1096"/>
      <c r="AJ298" s="1096"/>
      <c r="AK298" s="1096"/>
      <c r="AL298" s="10"/>
      <c r="AN298" s="281"/>
    </row>
    <row r="299" spans="1:41" s="4" customFormat="1" ht="12.75" customHeight="1">
      <c r="B299" s="41" t="s">
        <v>98</v>
      </c>
      <c r="C299" s="41"/>
      <c r="D299" s="41"/>
      <c r="E299" s="41"/>
      <c r="F299" s="41"/>
      <c r="G299" s="41"/>
      <c r="H299" s="1096" t="s">
        <v>2498</v>
      </c>
      <c r="I299" s="1096"/>
      <c r="J299" s="1096"/>
      <c r="K299" s="1096"/>
      <c r="L299" s="1096"/>
      <c r="M299" s="1096"/>
      <c r="N299" s="1096"/>
      <c r="O299" s="1096"/>
      <c r="P299" s="1096"/>
      <c r="Q299" s="1096"/>
      <c r="R299" s="1096"/>
      <c r="S299" s="41"/>
      <c r="T299" s="41" t="s">
        <v>98</v>
      </c>
      <c r="U299"/>
      <c r="V299" s="41"/>
      <c r="W299" s="41"/>
      <c r="X299" s="41"/>
      <c r="Y299" s="41"/>
      <c r="Z299"/>
      <c r="AA299" s="1096" t="s">
        <v>2503</v>
      </c>
      <c r="AB299" s="1096"/>
      <c r="AC299" s="1096"/>
      <c r="AD299" s="1096"/>
      <c r="AE299" s="1096"/>
      <c r="AF299" s="1096"/>
      <c r="AG299" s="1096"/>
      <c r="AH299" s="1096"/>
      <c r="AI299" s="1096"/>
      <c r="AJ299" s="1096"/>
      <c r="AK299" s="1096"/>
      <c r="AL299" s="10"/>
      <c r="AN299" s="281"/>
    </row>
    <row r="300" spans="1:41" s="4" customFormat="1" ht="12.75" customHeight="1">
      <c r="B300" s="41" t="s">
        <v>109</v>
      </c>
      <c r="C300" s="41"/>
      <c r="D300" s="41"/>
      <c r="E300" s="41"/>
      <c r="F300" s="41"/>
      <c r="G300" s="41"/>
      <c r="H300" s="1715">
        <v>0.18</v>
      </c>
      <c r="I300" s="1715"/>
      <c r="J300" s="1715"/>
      <c r="K300" s="1715"/>
      <c r="L300" s="1715"/>
      <c r="M300" s="1715"/>
      <c r="N300" s="1715"/>
      <c r="O300" s="1715"/>
      <c r="P300" s="1715"/>
      <c r="Q300" s="1715"/>
      <c r="R300" s="1715"/>
      <c r="S300" s="41"/>
      <c r="T300" s="41" t="s">
        <v>109</v>
      </c>
      <c r="U300" s="41"/>
      <c r="V300" s="41"/>
      <c r="W300" s="41"/>
      <c r="X300" s="41"/>
      <c r="Y300" s="41"/>
      <c r="Z300" s="12"/>
      <c r="AA300" s="1715">
        <v>0.1</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5" t="s">
        <v>2525</v>
      </c>
      <c r="I302" s="1095"/>
      <c r="J302" s="1095"/>
      <c r="K302" s="1095"/>
      <c r="L302" s="1095"/>
      <c r="M302" s="1095"/>
      <c r="N302" s="1095"/>
      <c r="O302" s="1095"/>
      <c r="P302" s="1095"/>
      <c r="Q302" s="1095"/>
      <c r="R302" s="1095"/>
      <c r="S302"/>
      <c r="T302" s="41" t="s">
        <v>97</v>
      </c>
      <c r="U302"/>
      <c r="V302" s="41"/>
      <c r="W302" s="41"/>
      <c r="X302" s="41"/>
      <c r="Y302" s="41"/>
      <c r="Z302"/>
      <c r="AA302" s="1095" t="s">
        <v>2504</v>
      </c>
      <c r="AB302" s="1095"/>
      <c r="AC302" s="1095"/>
      <c r="AD302" s="1095"/>
      <c r="AE302" s="1095"/>
      <c r="AF302" s="1095"/>
      <c r="AG302" s="1095"/>
      <c r="AH302" s="1095"/>
      <c r="AI302" s="1095"/>
      <c r="AJ302" s="1095"/>
      <c r="AK302" s="1095"/>
      <c r="AL302" s="10"/>
      <c r="AN302" s="281"/>
    </row>
    <row r="303" spans="1:41" s="4" customFormat="1" ht="12.75" customHeight="1">
      <c r="B303" s="41" t="s">
        <v>735</v>
      </c>
      <c r="C303" s="41"/>
      <c r="D303" s="41"/>
      <c r="E303" s="41"/>
      <c r="F303" s="41"/>
      <c r="G303"/>
      <c r="H303" s="1096" t="s">
        <v>2543</v>
      </c>
      <c r="I303" s="1096"/>
      <c r="J303" s="1096"/>
      <c r="K303" s="1096"/>
      <c r="L303" s="1096"/>
      <c r="M303" s="1096"/>
      <c r="N303" s="1096"/>
      <c r="O303" s="1096"/>
      <c r="P303" s="1096"/>
      <c r="Q303" s="1096"/>
      <c r="R303" s="1096"/>
      <c r="S303"/>
      <c r="T303" s="41" t="s">
        <v>735</v>
      </c>
      <c r="U303"/>
      <c r="V303" s="41"/>
      <c r="W303" s="41"/>
      <c r="X303" s="41"/>
      <c r="Y303" s="41"/>
      <c r="Z303"/>
      <c r="AA303" s="1096" t="s">
        <v>2505</v>
      </c>
      <c r="AB303" s="1096"/>
      <c r="AC303" s="1096"/>
      <c r="AD303" s="1096"/>
      <c r="AE303" s="1096"/>
      <c r="AF303" s="1096"/>
      <c r="AG303" s="1096"/>
      <c r="AH303" s="1096"/>
      <c r="AI303" s="1096"/>
      <c r="AJ303" s="1096"/>
      <c r="AK303" s="1096"/>
      <c r="AL303" s="10"/>
      <c r="AN303" s="281"/>
    </row>
    <row r="304" spans="1:41" s="4" customFormat="1" ht="12.75" customHeight="1">
      <c r="B304" s="41" t="s">
        <v>107</v>
      </c>
      <c r="C304" s="41"/>
      <c r="D304" s="41"/>
      <c r="E304" s="41"/>
      <c r="F304" s="41"/>
      <c r="G304"/>
      <c r="H304" s="1096" t="s">
        <v>2490</v>
      </c>
      <c r="I304" s="1096"/>
      <c r="J304" s="1096"/>
      <c r="K304" s="1096"/>
      <c r="L304" s="1096"/>
      <c r="M304" s="1096"/>
      <c r="N304" s="1096"/>
      <c r="O304" s="1096"/>
      <c r="P304" s="1096"/>
      <c r="Q304" s="1096"/>
      <c r="R304" s="1096"/>
      <c r="S304"/>
      <c r="T304" s="41" t="s">
        <v>107</v>
      </c>
      <c r="U304"/>
      <c r="V304" s="41"/>
      <c r="W304" s="41"/>
      <c r="X304" s="41"/>
      <c r="Y304" s="41"/>
      <c r="Z304"/>
      <c r="AA304" s="1096" t="s">
        <v>2484</v>
      </c>
      <c r="AB304" s="1096"/>
      <c r="AC304" s="1096"/>
      <c r="AD304" s="1096"/>
      <c r="AE304" s="1096"/>
      <c r="AF304" s="1096"/>
      <c r="AG304" s="1096"/>
      <c r="AH304" s="1096"/>
      <c r="AI304" s="1096"/>
      <c r="AJ304" s="1096"/>
      <c r="AK304" s="1096"/>
      <c r="AL304" s="10"/>
      <c r="AN304" s="281"/>
    </row>
    <row r="305" spans="2:40" s="4" customFormat="1" ht="12.75" customHeight="1">
      <c r="B305" s="41" t="s">
        <v>399</v>
      </c>
      <c r="C305" s="41"/>
      <c r="D305" s="41"/>
      <c r="E305" s="41"/>
      <c r="F305" s="41"/>
      <c r="G305"/>
      <c r="H305" s="1096" t="s">
        <v>2544</v>
      </c>
      <c r="I305" s="1096"/>
      <c r="J305" s="1096"/>
      <c r="K305" s="1096"/>
      <c r="L305" s="1096"/>
      <c r="M305" s="1096"/>
      <c r="N305" s="1096"/>
      <c r="O305" s="1096"/>
      <c r="P305" s="1096"/>
      <c r="Q305" s="1096"/>
      <c r="R305" s="1096"/>
      <c r="S305"/>
      <c r="T305" s="41" t="s">
        <v>399</v>
      </c>
      <c r="U305"/>
      <c r="V305" s="41"/>
      <c r="W305" s="41"/>
      <c r="X305" s="41"/>
      <c r="Y305" s="41"/>
      <c r="Z305"/>
      <c r="AA305" s="1096" t="s">
        <v>2506</v>
      </c>
      <c r="AB305" s="1096"/>
      <c r="AC305" s="1096"/>
      <c r="AD305" s="1096"/>
      <c r="AE305" s="1096"/>
      <c r="AF305" s="1096"/>
      <c r="AG305" s="1096"/>
      <c r="AH305" s="1096"/>
      <c r="AI305" s="1096"/>
      <c r="AJ305" s="1096"/>
      <c r="AK305" s="1096"/>
      <c r="AL305" s="10"/>
      <c r="AN305" s="281"/>
    </row>
    <row r="306" spans="2:40" s="4" customFormat="1" ht="12.75" customHeight="1">
      <c r="B306" s="41" t="s">
        <v>400</v>
      </c>
      <c r="C306" s="41"/>
      <c r="D306" s="41"/>
      <c r="E306" s="41"/>
      <c r="F306" s="41"/>
      <c r="G306" s="41"/>
      <c r="H306" s="1130" t="s">
        <v>2545</v>
      </c>
      <c r="I306" s="1118"/>
      <c r="J306" s="1118"/>
      <c r="K306" s="1118"/>
      <c r="L306" s="1118"/>
      <c r="M306" s="1118"/>
      <c r="N306" s="5" t="s">
        <v>859</v>
      </c>
      <c r="O306" s="5"/>
      <c r="P306" s="1121"/>
      <c r="Q306" s="1121"/>
      <c r="R306" s="1121"/>
      <c r="S306" s="41"/>
      <c r="T306" s="41" t="s">
        <v>400</v>
      </c>
      <c r="U306"/>
      <c r="V306" s="41"/>
      <c r="W306" s="41"/>
      <c r="X306" s="41"/>
      <c r="Y306" s="41"/>
      <c r="Z306"/>
      <c r="AA306" s="1118" t="s">
        <v>2507</v>
      </c>
      <c r="AB306" s="1118"/>
      <c r="AC306" s="1118"/>
      <c r="AD306" s="1118"/>
      <c r="AE306" s="1118"/>
      <c r="AF306" s="1118"/>
      <c r="AG306" s="5" t="s">
        <v>859</v>
      </c>
      <c r="AH306" s="5"/>
      <c r="AI306" s="1121"/>
      <c r="AJ306" s="1121"/>
      <c r="AK306" s="1121"/>
      <c r="AL306" s="10"/>
      <c r="AN306" s="281"/>
    </row>
    <row r="307" spans="2:40" s="4" customFormat="1" ht="12.75" customHeight="1">
      <c r="B307" s="41" t="s">
        <v>96</v>
      </c>
      <c r="C307" s="41"/>
      <c r="D307" s="41"/>
      <c r="E307" s="41"/>
      <c r="F307" s="41"/>
      <c r="G307" s="41"/>
      <c r="H307" s="1096" t="s">
        <v>106</v>
      </c>
      <c r="I307" s="1096"/>
      <c r="J307" s="1096"/>
      <c r="K307" s="1096"/>
      <c r="L307" s="1096"/>
      <c r="M307" s="1096"/>
      <c r="N307" s="1096"/>
      <c r="O307" s="1096"/>
      <c r="P307" s="1096"/>
      <c r="Q307" s="1096"/>
      <c r="R307" s="1096"/>
      <c r="S307" s="41"/>
      <c r="T307" s="41" t="s">
        <v>96</v>
      </c>
      <c r="U307"/>
      <c r="V307" s="41"/>
      <c r="W307" s="41"/>
      <c r="X307" s="41"/>
      <c r="Y307" s="41"/>
      <c r="Z307"/>
      <c r="AA307" s="1096" t="s">
        <v>104</v>
      </c>
      <c r="AB307" s="1096"/>
      <c r="AC307" s="1096"/>
      <c r="AD307" s="1096"/>
      <c r="AE307" s="1096"/>
      <c r="AF307" s="1096"/>
      <c r="AG307" s="1096"/>
      <c r="AH307" s="1096"/>
      <c r="AI307" s="1096"/>
      <c r="AJ307" s="1096"/>
      <c r="AK307" s="1096"/>
      <c r="AL307" s="10"/>
      <c r="AN307" s="281"/>
    </row>
    <row r="308" spans="2:40" s="4" customFormat="1" ht="12.75" customHeight="1">
      <c r="B308" s="41" t="s">
        <v>98</v>
      </c>
      <c r="C308" s="41"/>
      <c r="D308" s="41"/>
      <c r="E308" s="41"/>
      <c r="F308" s="41"/>
      <c r="G308" s="41"/>
      <c r="H308" s="1096" t="s">
        <v>2546</v>
      </c>
      <c r="I308" s="1096"/>
      <c r="J308" s="1096"/>
      <c r="K308" s="1096"/>
      <c r="L308" s="1096"/>
      <c r="M308" s="1096"/>
      <c r="N308" s="1096"/>
      <c r="O308" s="1096"/>
      <c r="P308" s="1096"/>
      <c r="Q308" s="1096"/>
      <c r="R308" s="1096"/>
      <c r="S308" s="41"/>
      <c r="T308" s="41" t="s">
        <v>98</v>
      </c>
      <c r="U308"/>
      <c r="V308" s="41"/>
      <c r="W308" s="41"/>
      <c r="X308" s="41"/>
      <c r="Y308" s="41"/>
      <c r="Z308"/>
      <c r="AA308" s="1096" t="s">
        <v>2508</v>
      </c>
      <c r="AB308" s="1096"/>
      <c r="AC308" s="1096"/>
      <c r="AD308" s="1096"/>
      <c r="AE308" s="1096"/>
      <c r="AF308" s="1096"/>
      <c r="AG308" s="1096"/>
      <c r="AH308" s="1096"/>
      <c r="AI308" s="1096"/>
      <c r="AJ308" s="1096"/>
      <c r="AK308" s="1096"/>
      <c r="AL308" s="10"/>
      <c r="AN308" s="281"/>
    </row>
    <row r="309" spans="2:40" s="4" customFormat="1" ht="12.75" customHeight="1">
      <c r="B309" s="41" t="s">
        <v>109</v>
      </c>
      <c r="C309" s="41"/>
      <c r="D309" s="41"/>
      <c r="E309" s="41"/>
      <c r="F309" s="41"/>
      <c r="G309" s="41"/>
      <c r="H309" s="1715">
        <v>0.1</v>
      </c>
      <c r="I309" s="1715"/>
      <c r="J309" s="1715"/>
      <c r="K309" s="1715"/>
      <c r="L309" s="1715"/>
      <c r="M309" s="1715"/>
      <c r="N309" s="1715"/>
      <c r="O309" s="1715"/>
      <c r="P309" s="1715"/>
      <c r="Q309" s="1715"/>
      <c r="R309" s="1715"/>
      <c r="S309" s="41"/>
      <c r="T309" s="41" t="s">
        <v>109</v>
      </c>
      <c r="U309" s="41"/>
      <c r="V309" s="41"/>
      <c r="W309" s="41"/>
      <c r="X309" s="41"/>
      <c r="Y309" s="41"/>
      <c r="Z309" s="12"/>
      <c r="AA309" s="1715">
        <v>0.93</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5"/>
      <c r="I311" s="1095"/>
      <c r="J311" s="1095"/>
      <c r="K311" s="1095"/>
      <c r="L311" s="1095"/>
      <c r="M311" s="1095"/>
      <c r="N311" s="1095"/>
      <c r="O311" s="1095"/>
      <c r="P311" s="1095"/>
      <c r="Q311" s="1095"/>
      <c r="R311" s="1095"/>
      <c r="S311"/>
      <c r="T311" s="41" t="s">
        <v>97</v>
      </c>
      <c r="U311"/>
      <c r="V311" s="41"/>
      <c r="W311" s="41"/>
      <c r="X311" s="41"/>
      <c r="Y311" s="41"/>
      <c r="Z311"/>
      <c r="AA311" s="1095"/>
      <c r="AB311" s="1095"/>
      <c r="AC311" s="1095"/>
      <c r="AD311" s="1095"/>
      <c r="AE311" s="1095"/>
      <c r="AF311" s="1095"/>
      <c r="AG311" s="1095"/>
      <c r="AH311" s="1095"/>
      <c r="AI311" s="1095"/>
      <c r="AJ311" s="1095"/>
      <c r="AK311" s="1095"/>
      <c r="AL311" s="10"/>
      <c r="AN311" s="281"/>
    </row>
    <row r="312" spans="2:40" s="4" customFormat="1" ht="12.75" customHeight="1">
      <c r="B312" s="41" t="s">
        <v>735</v>
      </c>
      <c r="C312" s="41"/>
      <c r="D312" s="41"/>
      <c r="E312" s="41"/>
      <c r="F312" s="41"/>
      <c r="G312"/>
      <c r="H312" s="1096"/>
      <c r="I312" s="1096"/>
      <c r="J312" s="1096"/>
      <c r="K312" s="1096"/>
      <c r="L312" s="1096"/>
      <c r="M312" s="1096"/>
      <c r="N312" s="1096"/>
      <c r="O312" s="1096"/>
      <c r="P312" s="1096"/>
      <c r="Q312" s="1096"/>
      <c r="R312" s="1096"/>
      <c r="S312"/>
      <c r="T312" s="41" t="s">
        <v>735</v>
      </c>
      <c r="U312"/>
      <c r="V312" s="41"/>
      <c r="W312" s="41"/>
      <c r="X312" s="41"/>
      <c r="Y312" s="41"/>
      <c r="Z312"/>
      <c r="AA312" s="1096"/>
      <c r="AB312" s="1096"/>
      <c r="AC312" s="1096"/>
      <c r="AD312" s="1096"/>
      <c r="AE312" s="1096"/>
      <c r="AF312" s="1096"/>
      <c r="AG312" s="1096"/>
      <c r="AH312" s="1096"/>
      <c r="AI312" s="1096"/>
      <c r="AJ312" s="1096"/>
      <c r="AK312" s="1096"/>
      <c r="AL312" s="10"/>
      <c r="AN312" s="281"/>
    </row>
    <row r="313" spans="2:40" s="4" customFormat="1" ht="12.75" customHeight="1">
      <c r="B313" s="41" t="s">
        <v>107</v>
      </c>
      <c r="C313" s="41"/>
      <c r="D313" s="41"/>
      <c r="E313" s="41"/>
      <c r="F313" s="41"/>
      <c r="G313"/>
      <c r="H313" s="1096"/>
      <c r="I313" s="1096"/>
      <c r="J313" s="1096"/>
      <c r="K313" s="1096"/>
      <c r="L313" s="1096"/>
      <c r="M313" s="1096"/>
      <c r="N313" s="1096"/>
      <c r="O313" s="1096"/>
      <c r="P313" s="1096"/>
      <c r="Q313" s="1096"/>
      <c r="R313" s="1096"/>
      <c r="S313"/>
      <c r="T313" s="41" t="s">
        <v>107</v>
      </c>
      <c r="U313"/>
      <c r="V313" s="41"/>
      <c r="W313" s="41"/>
      <c r="X313" s="41"/>
      <c r="Y313" s="41"/>
      <c r="Z313"/>
      <c r="AA313" s="1096"/>
      <c r="AB313" s="1096"/>
      <c r="AC313" s="1096"/>
      <c r="AD313" s="1096"/>
      <c r="AE313" s="1096"/>
      <c r="AF313" s="1096"/>
      <c r="AG313" s="1096"/>
      <c r="AH313" s="1096"/>
      <c r="AI313" s="1096"/>
      <c r="AJ313" s="1096"/>
      <c r="AK313" s="1096"/>
      <c r="AL313" s="10"/>
      <c r="AN313" s="281"/>
    </row>
    <row r="314" spans="2:40" s="4" customFormat="1" ht="12.75" customHeight="1">
      <c r="B314" s="41" t="s">
        <v>399</v>
      </c>
      <c r="C314" s="41"/>
      <c r="D314" s="41"/>
      <c r="E314" s="41"/>
      <c r="F314" s="41"/>
      <c r="G314"/>
      <c r="H314" s="1096"/>
      <c r="I314" s="1096"/>
      <c r="J314" s="1096"/>
      <c r="K314" s="1096"/>
      <c r="L314" s="1096"/>
      <c r="M314" s="1096"/>
      <c r="N314" s="1096"/>
      <c r="O314" s="1096"/>
      <c r="P314" s="1096"/>
      <c r="Q314" s="1096"/>
      <c r="R314" s="1096"/>
      <c r="S314"/>
      <c r="T314" s="41" t="s">
        <v>399</v>
      </c>
      <c r="U314"/>
      <c r="V314" s="41"/>
      <c r="W314" s="41"/>
      <c r="X314" s="41"/>
      <c r="Y314" s="41"/>
      <c r="Z314"/>
      <c r="AA314" s="1096"/>
      <c r="AB314" s="1096"/>
      <c r="AC314" s="1096"/>
      <c r="AD314" s="1096"/>
      <c r="AE314" s="1096"/>
      <c r="AF314" s="1096"/>
      <c r="AG314" s="1096"/>
      <c r="AH314" s="1096"/>
      <c r="AI314" s="1096"/>
      <c r="AJ314" s="1096"/>
      <c r="AK314" s="1096"/>
      <c r="AL314" s="10"/>
      <c r="AN314" s="281"/>
    </row>
    <row r="315" spans="2:40" s="4" customFormat="1" ht="12.75" customHeight="1">
      <c r="B315" s="41" t="s">
        <v>400</v>
      </c>
      <c r="C315" s="41"/>
      <c r="D315" s="41"/>
      <c r="E315" s="41"/>
      <c r="F315" s="41"/>
      <c r="G315" s="41"/>
      <c r="H315" s="1118"/>
      <c r="I315" s="1118"/>
      <c r="J315" s="1118"/>
      <c r="K315" s="1118"/>
      <c r="L315" s="1118"/>
      <c r="M315" s="1118"/>
      <c r="N315" s="5" t="s">
        <v>859</v>
      </c>
      <c r="O315" s="5"/>
      <c r="P315" s="1121"/>
      <c r="Q315" s="1121"/>
      <c r="R315" s="1121"/>
      <c r="S315" s="41"/>
      <c r="T315" s="41" t="s">
        <v>400</v>
      </c>
      <c r="U315"/>
      <c r="V315" s="41"/>
      <c r="W315" s="41"/>
      <c r="X315" s="41"/>
      <c r="Y315" s="41"/>
      <c r="Z315"/>
      <c r="AA315" s="1118"/>
      <c r="AB315" s="1118"/>
      <c r="AC315" s="1118"/>
      <c r="AD315" s="1118"/>
      <c r="AE315" s="1118"/>
      <c r="AF315" s="1118"/>
      <c r="AG315" s="5" t="s">
        <v>859</v>
      </c>
      <c r="AH315" s="5"/>
      <c r="AI315" s="1121"/>
      <c r="AJ315" s="1121"/>
      <c r="AK315" s="1121"/>
      <c r="AL315" s="10"/>
      <c r="AN315" s="281"/>
    </row>
    <row r="316" spans="2:40" s="4" customFormat="1" ht="12.75" customHeight="1">
      <c r="B316" s="41" t="s">
        <v>96</v>
      </c>
      <c r="C316" s="41"/>
      <c r="D316" s="41"/>
      <c r="E316" s="41"/>
      <c r="F316" s="41"/>
      <c r="G316" s="41"/>
      <c r="H316" s="1096"/>
      <c r="I316" s="1096"/>
      <c r="J316" s="1096"/>
      <c r="K316" s="1096"/>
      <c r="L316" s="1096"/>
      <c r="M316" s="1096"/>
      <c r="N316" s="1096"/>
      <c r="O316" s="1096"/>
      <c r="P316" s="1096"/>
      <c r="Q316" s="1096"/>
      <c r="R316" s="1096"/>
      <c r="S316" s="41"/>
      <c r="T316" s="41" t="s">
        <v>96</v>
      </c>
      <c r="U316"/>
      <c r="V316" s="41"/>
      <c r="W316" s="41"/>
      <c r="X316" s="41"/>
      <c r="Y316" s="41"/>
      <c r="Z316"/>
      <c r="AA316" s="1096"/>
      <c r="AB316" s="1096"/>
      <c r="AC316" s="1096"/>
      <c r="AD316" s="1096"/>
      <c r="AE316" s="1096"/>
      <c r="AF316" s="1096"/>
      <c r="AG316" s="1096"/>
      <c r="AH316" s="1096"/>
      <c r="AI316" s="1096"/>
      <c r="AJ316" s="1096"/>
      <c r="AK316" s="1096"/>
      <c r="AL316" s="10"/>
      <c r="AN316" s="281"/>
    </row>
    <row r="317" spans="2:40" s="4" customFormat="1" ht="12.75" customHeight="1">
      <c r="B317" s="41" t="s">
        <v>98</v>
      </c>
      <c r="C317" s="41"/>
      <c r="D317" s="41"/>
      <c r="E317" s="41"/>
      <c r="F317" s="41"/>
      <c r="G317" s="41"/>
      <c r="H317" s="1096"/>
      <c r="I317" s="1096"/>
      <c r="J317" s="1096"/>
      <c r="K317" s="1096"/>
      <c r="L317" s="1096"/>
      <c r="M317" s="1096"/>
      <c r="N317" s="1096"/>
      <c r="O317" s="1096"/>
      <c r="P317" s="1096"/>
      <c r="Q317" s="1096"/>
      <c r="R317" s="1096"/>
      <c r="S317" s="41"/>
      <c r="T317" s="41" t="s">
        <v>98</v>
      </c>
      <c r="U317"/>
      <c r="V317" s="41"/>
      <c r="W317" s="41"/>
      <c r="X317" s="41"/>
      <c r="Y317" s="41"/>
      <c r="Z317"/>
      <c r="AA317" s="1096"/>
      <c r="AB317" s="1096"/>
      <c r="AC317" s="1096"/>
      <c r="AD317" s="1096"/>
      <c r="AE317" s="1096"/>
      <c r="AF317" s="1096"/>
      <c r="AG317" s="1096"/>
      <c r="AH317" s="1096"/>
      <c r="AI317" s="1096"/>
      <c r="AJ317" s="1096"/>
      <c r="AK317" s="1096"/>
      <c r="AL317" s="10"/>
      <c r="AN317" s="281"/>
    </row>
    <row r="318" spans="2:40" s="4" customFormat="1" ht="12.75"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5"/>
      <c r="I320" s="1095"/>
      <c r="J320" s="1095"/>
      <c r="K320" s="1095"/>
      <c r="L320" s="1095"/>
      <c r="M320" s="1095"/>
      <c r="N320" s="1095"/>
      <c r="O320" s="1095"/>
      <c r="P320" s="1095"/>
      <c r="Q320" s="1095"/>
      <c r="R320" s="1095"/>
      <c r="S320"/>
      <c r="T320" s="41" t="s">
        <v>97</v>
      </c>
      <c r="U320"/>
      <c r="V320" s="41"/>
      <c r="W320" s="41"/>
      <c r="X320" s="41"/>
      <c r="Y320" s="41"/>
      <c r="Z320"/>
      <c r="AA320" s="1095"/>
      <c r="AB320" s="1095"/>
      <c r="AC320" s="1095"/>
      <c r="AD320" s="1095"/>
      <c r="AE320" s="1095"/>
      <c r="AF320" s="1095"/>
      <c r="AG320" s="1095"/>
      <c r="AH320" s="1095"/>
      <c r="AI320" s="1095"/>
      <c r="AJ320" s="1095"/>
      <c r="AK320" s="1095"/>
      <c r="AL320" s="41"/>
      <c r="AN320" s="281"/>
    </row>
    <row r="321" spans="1:76" s="4" customFormat="1" ht="12.75" customHeight="1">
      <c r="B321" s="41" t="s">
        <v>735</v>
      </c>
      <c r="C321" s="41"/>
      <c r="D321" s="41"/>
      <c r="E321" s="41"/>
      <c r="F321" s="41"/>
      <c r="G321"/>
      <c r="H321" s="1096"/>
      <c r="I321" s="1096"/>
      <c r="J321" s="1096"/>
      <c r="K321" s="1096"/>
      <c r="L321" s="1096"/>
      <c r="M321" s="1096"/>
      <c r="N321" s="1096"/>
      <c r="O321" s="1096"/>
      <c r="P321" s="1096"/>
      <c r="Q321" s="1096"/>
      <c r="R321" s="1096"/>
      <c r="S321"/>
      <c r="T321" s="41" t="s">
        <v>735</v>
      </c>
      <c r="U321"/>
      <c r="V321" s="41"/>
      <c r="W321" s="41"/>
      <c r="X321" s="41"/>
      <c r="Y321" s="41"/>
      <c r="Z321"/>
      <c r="AA321" s="1096"/>
      <c r="AB321" s="1096"/>
      <c r="AC321" s="1096"/>
      <c r="AD321" s="1096"/>
      <c r="AE321" s="1096"/>
      <c r="AF321" s="1096"/>
      <c r="AG321" s="1096"/>
      <c r="AH321" s="1096"/>
      <c r="AI321" s="1096"/>
      <c r="AJ321" s="1096"/>
      <c r="AK321" s="1096"/>
      <c r="AL321" s="41"/>
      <c r="AN321" s="281"/>
    </row>
    <row r="322" spans="1:76" s="4" customFormat="1" ht="18" customHeight="1">
      <c r="B322" s="41" t="s">
        <v>107</v>
      </c>
      <c r="C322" s="41"/>
      <c r="D322" s="41"/>
      <c r="E322" s="41"/>
      <c r="F322" s="41"/>
      <c r="G322"/>
      <c r="H322" s="1096"/>
      <c r="I322" s="1096"/>
      <c r="J322" s="1096"/>
      <c r="K322" s="1096"/>
      <c r="L322" s="1096"/>
      <c r="M322" s="1096"/>
      <c r="N322" s="1096"/>
      <c r="O322" s="1096"/>
      <c r="P322" s="1096"/>
      <c r="Q322" s="1096"/>
      <c r="R322" s="1096"/>
      <c r="S322"/>
      <c r="T322" s="41" t="s">
        <v>107</v>
      </c>
      <c r="U322"/>
      <c r="V322" s="41"/>
      <c r="W322" s="41"/>
      <c r="X322" s="41"/>
      <c r="Y322" s="41"/>
      <c r="Z322"/>
      <c r="AA322" s="1096"/>
      <c r="AB322" s="1096"/>
      <c r="AC322" s="1096"/>
      <c r="AD322" s="1096"/>
      <c r="AE322" s="1096"/>
      <c r="AF322" s="1096"/>
      <c r="AG322" s="1096"/>
      <c r="AH322" s="1096"/>
      <c r="AI322" s="1096"/>
      <c r="AJ322" s="1096"/>
      <c r="AK322" s="1096"/>
      <c r="AL322" s="41"/>
      <c r="AN322" s="281"/>
    </row>
    <row r="323" spans="1:76" s="4" customFormat="1" ht="12.75" customHeight="1">
      <c r="B323" s="41" t="s">
        <v>399</v>
      </c>
      <c r="C323" s="41"/>
      <c r="D323" s="41"/>
      <c r="E323" s="41"/>
      <c r="F323" s="41"/>
      <c r="G323"/>
      <c r="H323" s="1096"/>
      <c r="I323" s="1096"/>
      <c r="J323" s="1096"/>
      <c r="K323" s="1096"/>
      <c r="L323" s="1096"/>
      <c r="M323" s="1096"/>
      <c r="N323" s="1096"/>
      <c r="O323" s="1096"/>
      <c r="P323" s="1096"/>
      <c r="Q323" s="1096"/>
      <c r="R323" s="1096"/>
      <c r="S323"/>
      <c r="T323" s="41" t="s">
        <v>399</v>
      </c>
      <c r="U323"/>
      <c r="V323" s="41"/>
      <c r="W323" s="41"/>
      <c r="X323" s="41"/>
      <c r="Y323" s="41"/>
      <c r="Z323"/>
      <c r="AA323" s="1096"/>
      <c r="AB323" s="1096"/>
      <c r="AC323" s="1096"/>
      <c r="AD323" s="1096"/>
      <c r="AE323" s="1096"/>
      <c r="AF323" s="1096"/>
      <c r="AG323" s="1096"/>
      <c r="AH323" s="1096"/>
      <c r="AI323" s="1096"/>
      <c r="AJ323" s="1096"/>
      <c r="AK323" s="1096"/>
      <c r="AL323" s="41"/>
      <c r="AN323" s="281"/>
    </row>
    <row r="324" spans="1:76" s="4" customFormat="1" ht="12.75" customHeight="1">
      <c r="B324" s="41" t="s">
        <v>400</v>
      </c>
      <c r="C324" s="41"/>
      <c r="D324" s="41"/>
      <c r="E324" s="41"/>
      <c r="F324" s="41"/>
      <c r="G324" s="41"/>
      <c r="H324" s="1118"/>
      <c r="I324" s="1118"/>
      <c r="J324" s="1118"/>
      <c r="K324" s="1118"/>
      <c r="L324" s="1118"/>
      <c r="M324" s="1118"/>
      <c r="N324" s="5" t="s">
        <v>859</v>
      </c>
      <c r="O324" s="5"/>
      <c r="P324" s="1121"/>
      <c r="Q324" s="1121"/>
      <c r="R324" s="1121"/>
      <c r="S324" s="41"/>
      <c r="T324" s="41" t="s">
        <v>400</v>
      </c>
      <c r="U324"/>
      <c r="V324" s="41"/>
      <c r="W324" s="41"/>
      <c r="X324" s="41"/>
      <c r="Y324" s="41"/>
      <c r="Z324"/>
      <c r="AA324" s="1118"/>
      <c r="AB324" s="1118"/>
      <c r="AC324" s="1118"/>
      <c r="AD324" s="1118"/>
      <c r="AE324" s="1118"/>
      <c r="AF324" s="1118"/>
      <c r="AG324" s="5" t="s">
        <v>859</v>
      </c>
      <c r="AH324" s="5"/>
      <c r="AI324" s="1121"/>
      <c r="AJ324" s="1121"/>
      <c r="AK324" s="1121"/>
      <c r="AL324" s="41"/>
      <c r="AN324" s="281"/>
    </row>
    <row r="325" spans="1:76" s="4" customFormat="1" ht="12.75" customHeight="1">
      <c r="B325" s="41" t="s">
        <v>96</v>
      </c>
      <c r="C325" s="41"/>
      <c r="D325" s="41"/>
      <c r="E325" s="41"/>
      <c r="F325" s="41"/>
      <c r="G325" s="41"/>
      <c r="H325" s="1096"/>
      <c r="I325" s="1096"/>
      <c r="J325" s="1096"/>
      <c r="K325" s="1096"/>
      <c r="L325" s="1096"/>
      <c r="M325" s="1096"/>
      <c r="N325" s="1096"/>
      <c r="O325" s="1096"/>
      <c r="P325" s="1096"/>
      <c r="Q325" s="1096"/>
      <c r="R325" s="1096"/>
      <c r="S325" s="41"/>
      <c r="T325" s="41" t="s">
        <v>96</v>
      </c>
      <c r="U325"/>
      <c r="V325" s="41"/>
      <c r="W325" s="41"/>
      <c r="X325" s="41"/>
      <c r="Y325" s="41"/>
      <c r="Z325"/>
      <c r="AA325" s="1096"/>
      <c r="AB325" s="1096"/>
      <c r="AC325" s="1096"/>
      <c r="AD325" s="1096"/>
      <c r="AE325" s="1096"/>
      <c r="AF325" s="1096"/>
      <c r="AG325" s="1096"/>
      <c r="AH325" s="1096"/>
      <c r="AI325" s="1096"/>
      <c r="AJ325" s="1096"/>
      <c r="AK325" s="1096"/>
      <c r="AL325" s="41"/>
      <c r="AN325" s="281"/>
    </row>
    <row r="326" spans="1:76" s="4" customFormat="1" ht="12.75" customHeight="1">
      <c r="B326" s="41" t="s">
        <v>98</v>
      </c>
      <c r="C326" s="41"/>
      <c r="D326" s="41"/>
      <c r="E326" s="41"/>
      <c r="F326" s="41"/>
      <c r="G326" s="41"/>
      <c r="H326" s="1096"/>
      <c r="I326" s="1096"/>
      <c r="J326" s="1096"/>
      <c r="K326" s="1096"/>
      <c r="L326" s="1096"/>
      <c r="M326" s="1096"/>
      <c r="N326" s="1096"/>
      <c r="O326" s="1096"/>
      <c r="P326" s="1096"/>
      <c r="Q326" s="1096"/>
      <c r="R326" s="1096"/>
      <c r="S326" s="41"/>
      <c r="T326" s="41" t="s">
        <v>98</v>
      </c>
      <c r="U326"/>
      <c r="V326" s="41"/>
      <c r="W326" s="41"/>
      <c r="X326" s="41"/>
      <c r="Y326" s="41"/>
      <c r="Z326"/>
      <c r="AA326" s="1096"/>
      <c r="AB326" s="1096"/>
      <c r="AC326" s="1096"/>
      <c r="AD326" s="1096"/>
      <c r="AE326" s="1096"/>
      <c r="AF326" s="1096"/>
      <c r="AG326" s="1096"/>
      <c r="AH326" s="1096"/>
      <c r="AI326" s="1096"/>
      <c r="AJ326" s="1096"/>
      <c r="AK326" s="1096"/>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1921</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1922</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4"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1923</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1924</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944</v>
      </c>
      <c r="AP351" s="71">
        <f>IF(C376="Yes",5,0)</f>
        <v>5</v>
      </c>
      <c r="AS351" s="3" t="s">
        <v>1855</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945</v>
      </c>
      <c r="AP353" s="71">
        <f>IF(C386="Yes",5,0)</f>
        <v>0</v>
      </c>
      <c r="AS353" s="3" t="s">
        <v>1888</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10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951</v>
      </c>
      <c r="AP355" s="71">
        <f>IF(C396="Yes",7,0)</f>
        <v>0</v>
      </c>
    </row>
    <row r="356" spans="1:46" s="4" customFormat="1" ht="12.75" customHeight="1">
      <c r="A356" s="27"/>
      <c r="B356" s="26"/>
      <c r="C356" s="1716" t="s">
        <v>1925</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0</v>
      </c>
    </row>
    <row r="360" spans="1:46" s="4" customFormat="1" ht="12.4"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75" customHeight="1">
      <c r="A363" s="27"/>
      <c r="B363" s="26"/>
      <c r="C363" s="1716" t="s">
        <v>1926</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646</v>
      </c>
      <c r="AP365" s="168">
        <f>SUM(AP351:AP364)</f>
        <v>10</v>
      </c>
      <c r="AQ365" s="1233">
        <f>IF(AP365&gt;0,AP365,0)</f>
        <v>10</v>
      </c>
      <c r="AR365" s="1233"/>
    </row>
    <row r="366" spans="1:46" s="4" customFormat="1" ht="12.4" customHeight="1">
      <c r="A366" s="27"/>
      <c r="B366" s="26"/>
      <c r="C366" s="4" t="s">
        <v>1559</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2">
        <f>Application!CQ636-U368</f>
        <v>27</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3">
        <f>Application!AG720</f>
        <v>26</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5</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1864</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116</v>
      </c>
      <c r="D376" s="1120"/>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10</v>
      </c>
      <c r="AQ378" s="1233">
        <f>IF(AP378&gt;0,AP378,0)</f>
        <v>10</v>
      </c>
      <c r="AR378" s="123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1863</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20"/>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7"/>
      <c r="D388" s="128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2046</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20"/>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116</v>
      </c>
      <c r="D398" s="1120"/>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1862</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20"/>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20"/>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20"/>
      <c r="E411" s="713" t="s">
        <v>204</v>
      </c>
      <c r="F411" s="1700" t="s">
        <v>1866</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1868</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20"/>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20"/>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1869</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4"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20"/>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0" t="s">
        <v>1870</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116</v>
      </c>
      <c r="D441" s="1120"/>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1873</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116</v>
      </c>
      <c r="D448" s="1120"/>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1910</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1387</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1383</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1384</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0" t="s">
        <v>1911</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4" t="s">
        <v>132</v>
      </c>
      <c r="D465" s="1120"/>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8">
        <f>IF(AS354=0,AS352,AS354)</f>
        <v>10</v>
      </c>
      <c r="AL471" s="1249"/>
      <c r="AM471" s="125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4" t="s">
        <v>1310</v>
      </c>
      <c r="AF474" s="1594"/>
      <c r="AG474" s="1594"/>
      <c r="AH474" s="1594"/>
      <c r="AI474" s="1594"/>
      <c r="AJ474" s="1594"/>
      <c r="AK474" s="1594"/>
      <c r="AL474" s="18"/>
      <c r="AN474" s="281"/>
      <c r="AO474" s="4" t="s">
        <v>1014</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1386</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1392</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8"/>
      <c r="E497" s="1028"/>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32" t="s">
        <v>1567</v>
      </c>
      <c r="AQ504" s="1133"/>
      <c r="AR504" s="1134"/>
      <c r="AS504" s="639">
        <v>80</v>
      </c>
      <c r="AT504" s="4">
        <v>0</v>
      </c>
      <c r="AU504" s="160">
        <v>10</v>
      </c>
      <c r="AV504" s="160">
        <v>25</v>
      </c>
      <c r="AW504" s="160">
        <v>37.5</v>
      </c>
      <c r="AX504" s="160">
        <v>35</v>
      </c>
      <c r="AY504" s="160">
        <v>37.5</v>
      </c>
      <c r="AZ504" s="160">
        <v>50</v>
      </c>
      <c r="BA504" s="160">
        <v>50</v>
      </c>
      <c r="BB504" s="21"/>
      <c r="BC504" s="21"/>
      <c r="BE504" s="1132" t="s">
        <v>1567</v>
      </c>
      <c r="BF504" s="1133"/>
      <c r="BG504" s="113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35"/>
      <c r="AQ505" s="1136"/>
      <c r="AR505" s="1137"/>
      <c r="AS505" s="639">
        <v>75</v>
      </c>
      <c r="AT505" s="4">
        <v>0</v>
      </c>
      <c r="AU505" s="160">
        <v>10</v>
      </c>
      <c r="AV505" s="160">
        <v>25</v>
      </c>
      <c r="AW505" s="160">
        <v>37.5</v>
      </c>
      <c r="AX505" s="160">
        <v>35</v>
      </c>
      <c r="AY505" s="160">
        <v>37.5</v>
      </c>
      <c r="AZ505" s="160">
        <v>50</v>
      </c>
      <c r="BA505" s="160">
        <v>50</v>
      </c>
      <c r="BB505" s="21"/>
      <c r="BC505" s="21"/>
      <c r="BE505" s="1135"/>
      <c r="BF505" s="1136"/>
      <c r="BG505" s="113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5"/>
      <c r="AQ506" s="1136"/>
      <c r="AR506" s="1137"/>
      <c r="AS506" s="639">
        <v>70</v>
      </c>
      <c r="AT506" s="4">
        <v>0</v>
      </c>
      <c r="AU506" s="160">
        <v>10</v>
      </c>
      <c r="AV506" s="160">
        <v>25</v>
      </c>
      <c r="AW506" s="160">
        <v>37.5</v>
      </c>
      <c r="AX506" s="160">
        <v>35</v>
      </c>
      <c r="AY506" s="160">
        <v>37.5</v>
      </c>
      <c r="AZ506" s="160">
        <v>50</v>
      </c>
      <c r="BA506" s="160">
        <v>50</v>
      </c>
      <c r="BB506" s="21"/>
      <c r="BC506" s="21"/>
      <c r="BE506" s="1135"/>
      <c r="BF506" s="1136"/>
      <c r="BG506" s="113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5"/>
      <c r="AQ507" s="1136"/>
      <c r="AR507" s="1137"/>
      <c r="AS507" s="639">
        <v>65</v>
      </c>
      <c r="AT507" s="4">
        <v>0</v>
      </c>
      <c r="AU507" s="160">
        <v>10</v>
      </c>
      <c r="AV507" s="160">
        <v>25</v>
      </c>
      <c r="AW507" s="160">
        <v>37.5</v>
      </c>
      <c r="AX507" s="160">
        <v>35</v>
      </c>
      <c r="AY507" s="160">
        <v>37.5</v>
      </c>
      <c r="AZ507" s="160">
        <v>50</v>
      </c>
      <c r="BA507" s="160">
        <v>50</v>
      </c>
      <c r="BB507" s="21"/>
      <c r="BC507" s="21"/>
      <c r="BE507" s="1135"/>
      <c r="BF507" s="1136"/>
      <c r="BG507" s="113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5"/>
      <c r="AQ508" s="1136"/>
      <c r="AR508" s="1137"/>
      <c r="AS508" s="639">
        <v>60</v>
      </c>
      <c r="AT508" s="4">
        <v>0</v>
      </c>
      <c r="AU508" s="160">
        <v>10</v>
      </c>
      <c r="AV508" s="160">
        <v>25</v>
      </c>
      <c r="AW508" s="160">
        <v>37.5</v>
      </c>
      <c r="AX508" s="160">
        <v>35</v>
      </c>
      <c r="AY508" s="160">
        <v>37.5</v>
      </c>
      <c r="AZ508" s="160">
        <v>50</v>
      </c>
      <c r="BA508" s="160">
        <v>50</v>
      </c>
      <c r="BB508" s="21"/>
      <c r="BC508" s="21"/>
      <c r="BE508" s="1135"/>
      <c r="BF508" s="1136"/>
      <c r="BG508" s="113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5"/>
      <c r="AQ509" s="1136"/>
      <c r="AR509" s="1137"/>
      <c r="AS509" s="639">
        <v>55</v>
      </c>
      <c r="AT509" s="4">
        <v>0</v>
      </c>
      <c r="AU509" s="160">
        <v>10</v>
      </c>
      <c r="AV509" s="160">
        <v>25</v>
      </c>
      <c r="AW509" s="160">
        <v>37.5</v>
      </c>
      <c r="AX509" s="160">
        <v>35</v>
      </c>
      <c r="AY509" s="160">
        <v>37.5</v>
      </c>
      <c r="AZ509" s="160">
        <v>50</v>
      </c>
      <c r="BA509" s="160">
        <v>50</v>
      </c>
      <c r="BE509" s="1135"/>
      <c r="BF509" s="1136"/>
      <c r="BG509" s="113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5"/>
      <c r="AQ510" s="1136"/>
      <c r="AR510" s="1137"/>
      <c r="AS510" s="159">
        <v>50</v>
      </c>
      <c r="AT510" s="4">
        <v>0</v>
      </c>
      <c r="AU510" s="160">
        <v>10</v>
      </c>
      <c r="AV510" s="160">
        <v>25</v>
      </c>
      <c r="AW510" s="160">
        <v>37.5</v>
      </c>
      <c r="AX510" s="160">
        <v>35</v>
      </c>
      <c r="AY510" s="160">
        <v>37.5</v>
      </c>
      <c r="AZ510" s="160">
        <v>50</v>
      </c>
      <c r="BA510" s="160">
        <v>50</v>
      </c>
      <c r="BE510" s="1135"/>
      <c r="BF510" s="1136"/>
      <c r="BG510" s="113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5"/>
      <c r="AQ511" s="1136"/>
      <c r="AR511" s="1137"/>
      <c r="AS511" s="159">
        <v>45</v>
      </c>
      <c r="AT511" s="4">
        <v>0</v>
      </c>
      <c r="AU511" s="160">
        <v>10</v>
      </c>
      <c r="AV511" s="160">
        <v>22.5</v>
      </c>
      <c r="AW511" s="160">
        <v>33.799999999999997</v>
      </c>
      <c r="AX511" s="160">
        <v>35</v>
      </c>
      <c r="AY511" s="160">
        <v>37.5</v>
      </c>
      <c r="AZ511" s="160">
        <v>50</v>
      </c>
      <c r="BA511" s="160">
        <v>50</v>
      </c>
      <c r="BE511" s="1135"/>
      <c r="BF511" s="1136"/>
      <c r="BG511" s="113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5"/>
      <c r="AQ512" s="1136"/>
      <c r="AR512" s="1137"/>
      <c r="AS512" s="159">
        <v>40</v>
      </c>
      <c r="AT512" s="4">
        <v>0</v>
      </c>
      <c r="AU512" s="160">
        <v>10</v>
      </c>
      <c r="AV512" s="160">
        <v>20</v>
      </c>
      <c r="AW512" s="160">
        <v>30</v>
      </c>
      <c r="AX512" s="160">
        <v>35</v>
      </c>
      <c r="AY512" s="160">
        <v>37.5</v>
      </c>
      <c r="AZ512" s="160">
        <v>50</v>
      </c>
      <c r="BA512" s="160">
        <v>50</v>
      </c>
      <c r="BE512" s="1135"/>
      <c r="BF512" s="1136"/>
      <c r="BG512" s="113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5"/>
      <c r="AQ513" s="1136"/>
      <c r="AR513" s="1137"/>
      <c r="AS513" s="159">
        <v>35</v>
      </c>
      <c r="AT513" s="4">
        <v>0</v>
      </c>
      <c r="AU513" s="160">
        <v>8.8000000000000007</v>
      </c>
      <c r="AV513" s="160">
        <v>17.5</v>
      </c>
      <c r="AW513" s="160">
        <v>26.3</v>
      </c>
      <c r="AX513" s="160">
        <v>35</v>
      </c>
      <c r="AY513" s="160">
        <v>37.5</v>
      </c>
      <c r="AZ513" s="160">
        <v>50</v>
      </c>
      <c r="BA513" s="160">
        <v>50</v>
      </c>
      <c r="BE513" s="1135"/>
      <c r="BF513" s="1136"/>
      <c r="BG513" s="113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8"/>
      <c r="D514" s="1028"/>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5"/>
      <c r="AQ514" s="1136"/>
      <c r="AR514" s="1137"/>
      <c r="AS514" s="159">
        <v>30</v>
      </c>
      <c r="AT514" s="4">
        <v>0</v>
      </c>
      <c r="AU514" s="160">
        <v>7.5</v>
      </c>
      <c r="AV514" s="160">
        <v>15</v>
      </c>
      <c r="AW514" s="160">
        <v>22.5</v>
      </c>
      <c r="AX514" s="160">
        <v>30</v>
      </c>
      <c r="AY514" s="160">
        <v>37.5</v>
      </c>
      <c r="AZ514" s="160">
        <v>45</v>
      </c>
      <c r="BA514" s="160">
        <v>50</v>
      </c>
      <c r="BE514" s="1135"/>
      <c r="BF514" s="1136"/>
      <c r="BG514" s="113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5"/>
      <c r="AQ515" s="1136"/>
      <c r="AR515" s="1137"/>
      <c r="AS515" s="159">
        <v>25</v>
      </c>
      <c r="AT515" s="4">
        <v>0</v>
      </c>
      <c r="AU515" s="160">
        <v>6.3</v>
      </c>
      <c r="AV515" s="160">
        <v>12.5</v>
      </c>
      <c r="AW515" s="160">
        <v>18.8</v>
      </c>
      <c r="AX515" s="160">
        <v>25</v>
      </c>
      <c r="AY515" s="160">
        <v>31.3</v>
      </c>
      <c r="AZ515" s="160">
        <v>37.5</v>
      </c>
      <c r="BA515" s="160">
        <v>50</v>
      </c>
      <c r="BE515" s="1135"/>
      <c r="BF515" s="1136"/>
      <c r="BG515" s="113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5"/>
      <c r="AQ516" s="1136"/>
      <c r="AR516" s="1137"/>
      <c r="AS516" s="159">
        <v>20</v>
      </c>
      <c r="AT516" s="4">
        <v>0</v>
      </c>
      <c r="AU516" s="160">
        <v>5</v>
      </c>
      <c r="AV516" s="160">
        <v>10</v>
      </c>
      <c r="AW516" s="160">
        <v>15</v>
      </c>
      <c r="AX516" s="160">
        <v>20</v>
      </c>
      <c r="AY516" s="160">
        <v>25</v>
      </c>
      <c r="AZ516" s="160">
        <v>30</v>
      </c>
      <c r="BA516" s="160">
        <v>40</v>
      </c>
      <c r="BE516" s="1135"/>
      <c r="BF516" s="1136"/>
      <c r="BG516" s="113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5"/>
      <c r="AQ517" s="1136"/>
      <c r="AR517" s="1137"/>
      <c r="AS517" s="159">
        <v>15</v>
      </c>
      <c r="AT517" s="4">
        <v>0</v>
      </c>
      <c r="AU517" s="160">
        <v>3.8</v>
      </c>
      <c r="AV517" s="160">
        <v>7.5</v>
      </c>
      <c r="AW517" s="160">
        <v>11.3</v>
      </c>
      <c r="AX517" s="160">
        <v>15</v>
      </c>
      <c r="AY517" s="160">
        <v>18.8</v>
      </c>
      <c r="AZ517" s="160">
        <v>22.5</v>
      </c>
      <c r="BA517" s="160">
        <v>30</v>
      </c>
      <c r="BE517" s="1135"/>
      <c r="BF517" s="1136"/>
      <c r="BG517" s="113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8"/>
      <c r="AQ518" s="1139"/>
      <c r="AR518" s="1140"/>
      <c r="AS518" s="159">
        <v>10</v>
      </c>
      <c r="AT518" s="4">
        <v>0</v>
      </c>
      <c r="AU518" s="160">
        <v>2.5</v>
      </c>
      <c r="AV518" s="160">
        <v>5</v>
      </c>
      <c r="AW518" s="160">
        <v>7.5</v>
      </c>
      <c r="AX518" s="160">
        <v>10</v>
      </c>
      <c r="AY518" s="160">
        <v>12.5</v>
      </c>
      <c r="AZ518" s="160">
        <v>15</v>
      </c>
      <c r="BA518" s="160">
        <v>20</v>
      </c>
      <c r="BE518" s="1138"/>
      <c r="BF518" s="1139"/>
      <c r="BG518" s="114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9">
        <f>BJ525</f>
        <v>49</v>
      </c>
      <c r="BE521" s="186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49</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20"/>
      <c r="E525" s="509" t="s">
        <v>1314</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49</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1</v>
      </c>
      <c r="CD527" s="1748"/>
      <c r="CE527" s="1747">
        <f>IF(Y609&gt;=0.1,1,0)</f>
        <v>1</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1</v>
      </c>
      <c r="BV528" s="1748"/>
      <c r="BW528" s="1747">
        <f>SUM(BW523:BX527)</f>
        <v>1</v>
      </c>
      <c r="BX528" s="1748"/>
      <c r="BY528" s="1747">
        <f>SUM(BY523:BZ527)</f>
        <v>1</v>
      </c>
      <c r="BZ528" s="1748"/>
      <c r="CA528" s="1747">
        <f>SUM(CA523:CB527)</f>
        <v>1</v>
      </c>
      <c r="CB528" s="1748"/>
      <c r="CC528" s="1747">
        <f>SUM(CC523:CD527)</f>
        <v>1</v>
      </c>
      <c r="CD528" s="1748"/>
      <c r="CE528" s="1747">
        <f>SUM(CE523:CF527)</f>
        <v>1</v>
      </c>
      <c r="CF528" s="1748"/>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0</v>
      </c>
      <c r="BR529" s="1758"/>
      <c r="BS529" s="1758"/>
      <c r="BT529" s="1759"/>
      <c r="BU529" s="1757">
        <f>SUM(BU528:BX528)</f>
        <v>2</v>
      </c>
      <c r="BV529" s="1758"/>
      <c r="BW529" s="1758"/>
      <c r="BX529" s="1759"/>
      <c r="BY529" s="1757">
        <f>SUM(BY528:CB528)</f>
        <v>2</v>
      </c>
      <c r="BZ529" s="1758"/>
      <c r="CA529" s="1758"/>
      <c r="CB529" s="1759"/>
      <c r="CC529" s="1757">
        <f>SUM(CC528:CF528)</f>
        <v>2</v>
      </c>
      <c r="CD529" s="1758"/>
      <c r="CE529" s="1758"/>
      <c r="CF529" s="1759"/>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3</v>
      </c>
      <c r="AQ532" s="1864"/>
      <c r="AR532" s="1864"/>
      <c r="AS532" s="1864"/>
      <c r="AT532" s="1865"/>
      <c r="AU532" s="1863">
        <f>RANK(Y607,$Y$605:$AC$609,0)+COUNTIF($Y$605:$AC$609,Y607)-1</f>
        <v>2</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3</v>
      </c>
      <c r="AQ533" s="1864"/>
      <c r="AR533" s="1864"/>
      <c r="AS533" s="1864"/>
      <c r="AT533" s="1865"/>
      <c r="AU533" s="1863">
        <f>RANK(Y608,$Y$605:$AC$609,0)+COUNTIF($Y$605:$AC$609,Y608)-1</f>
        <v>3</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1</v>
      </c>
      <c r="AQ534" s="1864"/>
      <c r="AR534" s="1864"/>
      <c r="AS534" s="1864"/>
      <c r="AT534" s="1865"/>
      <c r="AU534" s="1863">
        <f>RANK(Y609,$Y$605:$AC$609,0)+COUNTIF($Y$605:$AC$609,Y609)-1</f>
        <v>1</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8">
        <f>SUM(AG481:AG526)</f>
        <v>0</v>
      </c>
      <c r="AL537" s="1249"/>
      <c r="AM537" s="1251"/>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7">
        <f>SUM(O605:S609)</f>
        <v>49</v>
      </c>
      <c r="AZ538" s="1748"/>
      <c r="CG538"/>
      <c r="CH538" s="1789"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752</v>
      </c>
      <c r="BJ541" s="1758"/>
      <c r="BK541" s="1758"/>
      <c r="BL541" s="1759"/>
      <c r="BM541" s="1757" t="s">
        <v>753</v>
      </c>
      <c r="BN541" s="1758"/>
      <c r="BO541" s="1758"/>
      <c r="BP541" s="1759"/>
      <c r="BQ541" s="1757" t="s">
        <v>754</v>
      </c>
      <c r="BR541" s="1758"/>
      <c r="BS541" s="1758"/>
      <c r="BT541" s="1759"/>
      <c r="BU541" s="1757" t="s">
        <v>755</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1795</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649</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647</v>
      </c>
      <c r="AQ543" s="450"/>
      <c r="AR543" s="450"/>
      <c r="AS543" s="450"/>
      <c r="AT543" s="450"/>
      <c r="AU543" s="1779">
        <f>ROUNDUP(BK565*0.1,0)</f>
        <v>5</v>
      </c>
      <c r="AV543" s="1781"/>
      <c r="AW543" s="450"/>
      <c r="AX543" s="450">
        <f>AU543-AP545</f>
        <v>-11</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16</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642</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4" customHeight="1">
      <c r="B548" s="1760" t="s">
        <v>1568</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0" t="s">
        <v>1839</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642</v>
      </c>
      <c r="AU551" s="151"/>
      <c r="AV551" s="1747" t="str">
        <f>IF(BJ587&gt;0,"failed","passed")</f>
        <v>failed</v>
      </c>
      <c r="AW551" s="1749"/>
      <c r="AX551" s="1749"/>
      <c r="AY551" s="1748"/>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1569</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1838</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749</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643</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0" t="s">
        <v>750</v>
      </c>
      <c r="BB562" s="1791"/>
      <c r="BC562" s="1791"/>
      <c r="BD562" s="1791"/>
      <c r="BE562" s="1792"/>
      <c r="BF562" s="1754">
        <f>SUM(O605:S609)</f>
        <v>49</v>
      </c>
      <c r="BG562" s="1755"/>
      <c r="BH562" s="1755"/>
      <c r="BI562" s="1755"/>
      <c r="BJ562" s="1756"/>
      <c r="BK562" s="1653">
        <f>SUM(T605:X609)</f>
        <v>16</v>
      </c>
      <c r="BL562" s="1654"/>
      <c r="BM562" s="1654"/>
      <c r="BN562" s="1654"/>
      <c r="BO562" s="1655"/>
    </row>
    <row r="563" spans="1:96" s="4" customFormat="1" ht="12.75" customHeight="1">
      <c r="B563" s="35"/>
      <c r="I563" s="1135" t="s">
        <v>1567</v>
      </c>
      <c r="J563" s="1136"/>
      <c r="K563" s="1136"/>
      <c r="L563" s="1136"/>
      <c r="M563" s="1136"/>
      <c r="N563" s="1137"/>
      <c r="O563" s="1649">
        <v>0.5</v>
      </c>
      <c r="P563" s="1650"/>
      <c r="Q563" s="1662"/>
      <c r="R563" s="1663"/>
      <c r="S563" s="1652"/>
      <c r="T563" s="1652"/>
      <c r="U563" s="1693" t="s">
        <v>1571</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5"/>
      <c r="J564" s="1136"/>
      <c r="K564" s="1136"/>
      <c r="L564" s="1136"/>
      <c r="M564" s="1136"/>
      <c r="N564" s="1137"/>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5"/>
      <c r="J565" s="1136"/>
      <c r="K565" s="1136"/>
      <c r="L565" s="1136"/>
      <c r="M565" s="1136"/>
      <c r="N565" s="1137"/>
      <c r="O565" s="1649">
        <v>0.4</v>
      </c>
      <c r="P565" s="1650"/>
      <c r="Q565" s="1651"/>
      <c r="R565" s="1652"/>
      <c r="S565" s="1664" t="s">
        <v>1570</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49</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5"/>
      <c r="J566" s="1136"/>
      <c r="K566" s="1136"/>
      <c r="L566" s="1136"/>
      <c r="M566" s="1136"/>
      <c r="N566" s="1137"/>
      <c r="O566" s="1649">
        <v>0.35</v>
      </c>
      <c r="P566" s="1650"/>
      <c r="Q566" s="1651"/>
      <c r="R566" s="1652"/>
      <c r="S566" s="1664" t="s">
        <v>1840</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5"/>
      <c r="J567" s="1136"/>
      <c r="K567" s="1136"/>
      <c r="L567" s="1136"/>
      <c r="M567" s="1136"/>
      <c r="N567" s="1137"/>
      <c r="O567" s="1649">
        <v>0.3</v>
      </c>
      <c r="P567" s="1650"/>
      <c r="Q567" s="1651"/>
      <c r="R567" s="1652"/>
      <c r="S567" s="1664" t="s">
        <v>1841</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7">
        <v>5</v>
      </c>
      <c r="BK567" s="1198"/>
      <c r="BL567" s="1198"/>
      <c r="BM567" s="1198"/>
      <c r="BN567" s="1199"/>
      <c r="BO567" s="1197">
        <v>4</v>
      </c>
      <c r="BP567" s="1198"/>
      <c r="BQ567" s="1198"/>
      <c r="BR567" s="1198"/>
      <c r="BS567" s="1199"/>
      <c r="BT567" s="1197">
        <v>3</v>
      </c>
      <c r="BU567" s="1198"/>
      <c r="BV567" s="1198"/>
      <c r="BW567" s="1198"/>
      <c r="BX567" s="1199"/>
      <c r="BY567" s="1197">
        <v>2</v>
      </c>
      <c r="BZ567" s="1198"/>
      <c r="CA567" s="1198"/>
      <c r="CB567" s="1198"/>
      <c r="CC567" s="1199"/>
      <c r="CD567" s="1197">
        <v>1</v>
      </c>
      <c r="CE567" s="1198"/>
      <c r="CF567" s="1198"/>
      <c r="CG567" s="1198"/>
      <c r="CH567" s="1199"/>
      <c r="CI567" s="1197">
        <v>0</v>
      </c>
      <c r="CJ567" s="1198"/>
      <c r="CK567" s="1198"/>
      <c r="CL567" s="1198"/>
      <c r="CM567" s="1199"/>
      <c r="CN567" s="21"/>
      <c r="CO567" s="21"/>
      <c r="CP567" s="21"/>
      <c r="CQ567" s="21"/>
      <c r="CR567" s="21"/>
    </row>
    <row r="568" spans="1:96" s="4" customFormat="1" ht="12.75" customHeight="1">
      <c r="B568" s="5"/>
      <c r="C568" s="5"/>
      <c r="D568" s="5"/>
      <c r="E568" s="5"/>
      <c r="I568" s="1135"/>
      <c r="J568" s="1136"/>
      <c r="K568" s="1136"/>
      <c r="L568" s="1136"/>
      <c r="M568" s="1136"/>
      <c r="N568" s="1137"/>
      <c r="O568" s="1649">
        <v>0.25</v>
      </c>
      <c r="P568" s="1650"/>
      <c r="Q568" s="1651"/>
      <c r="R568" s="1652"/>
      <c r="S568" s="1664" t="s">
        <v>1842</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2">
        <f t="shared" ref="AU568:AU573" si="1">O604</f>
        <v>0</v>
      </c>
      <c r="AV568" s="1323"/>
      <c r="AW568" s="1323"/>
      <c r="AX568" s="1323"/>
      <c r="AY568" s="1324"/>
      <c r="AZ568" s="1322">
        <f t="shared" ref="AZ568:AZ573" si="2">T604</f>
        <v>0</v>
      </c>
      <c r="BA568" s="1323"/>
      <c r="BB568" s="1323"/>
      <c r="BC568" s="1323"/>
      <c r="BD568" s="1324"/>
      <c r="BE568" s="1384">
        <f t="shared" ref="BE568:BE573" si="3">Y604</f>
        <v>0</v>
      </c>
      <c r="BF568" s="1385"/>
      <c r="BG568" s="1385"/>
      <c r="BH568" s="1385"/>
      <c r="BI568" s="1386"/>
      <c r="BJ568" s="1197">
        <f>IF(OR(AP578=0,BE568&gt;=0.1),0,1)</f>
        <v>0</v>
      </c>
      <c r="BK568" s="1198"/>
      <c r="BL568" s="1198"/>
      <c r="BM568" s="1198"/>
      <c r="BN568" s="1199"/>
      <c r="BO568" s="1197"/>
      <c r="BP568" s="1198"/>
      <c r="BQ568" s="1198"/>
      <c r="BR568" s="1198"/>
      <c r="BS568" s="1199"/>
      <c r="BT568" s="1197"/>
      <c r="BU568" s="1198"/>
      <c r="BV568" s="1198"/>
      <c r="BW568" s="1198"/>
      <c r="BX568" s="1199"/>
      <c r="BY568" s="1197"/>
      <c r="BZ568" s="1198"/>
      <c r="CA568" s="1198"/>
      <c r="CB568" s="1198"/>
      <c r="CC568" s="1199"/>
      <c r="CD568" s="1197"/>
      <c r="CE568" s="1198"/>
      <c r="CF568" s="1198"/>
      <c r="CG568" s="1198"/>
      <c r="CH568" s="1199"/>
      <c r="CI568" s="1197"/>
      <c r="CJ568" s="1198"/>
      <c r="CK568" s="1198"/>
      <c r="CL568" s="1198"/>
      <c r="CM568" s="1199"/>
      <c r="CN568" s="21"/>
      <c r="CO568" s="21"/>
      <c r="CP568" s="21"/>
      <c r="CQ568" s="21"/>
      <c r="CR568" s="21"/>
    </row>
    <row r="569" spans="1:96" s="4" customFormat="1" ht="12.75" customHeight="1">
      <c r="A569" s="120"/>
      <c r="B569" s="5"/>
      <c r="C569" s="5"/>
      <c r="D569" s="5"/>
      <c r="E569" s="5"/>
      <c r="I569" s="1135"/>
      <c r="J569" s="1136"/>
      <c r="K569" s="1136"/>
      <c r="L569" s="1136"/>
      <c r="M569" s="1136"/>
      <c r="N569" s="1137"/>
      <c r="O569" s="1649">
        <v>0.2</v>
      </c>
      <c r="P569" s="1650"/>
      <c r="Q569" s="1651"/>
      <c r="R569" s="1652"/>
      <c r="S569" s="1677" t="s">
        <v>1845</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2">
        <f t="shared" si="1"/>
        <v>0</v>
      </c>
      <c r="AV569" s="1323"/>
      <c r="AW569" s="1323"/>
      <c r="AX569" s="1323"/>
      <c r="AY569" s="1324"/>
      <c r="AZ569" s="1322">
        <f t="shared" si="2"/>
        <v>0</v>
      </c>
      <c r="BA569" s="1323"/>
      <c r="BB569" s="1323"/>
      <c r="BC569" s="1323"/>
      <c r="BD569" s="1324"/>
      <c r="BE569" s="1384">
        <f t="shared" si="3"/>
        <v>0</v>
      </c>
      <c r="BF569" s="1385"/>
      <c r="BG569" s="1385"/>
      <c r="BH569" s="1385"/>
      <c r="BI569" s="1386"/>
      <c r="BJ569" s="1197"/>
      <c r="BK569" s="1198"/>
      <c r="BL569" s="1198"/>
      <c r="BM569" s="1198"/>
      <c r="BN569" s="1199"/>
      <c r="BO569" s="1197">
        <f>IF(AND(AND(AZ568=0,BJ568=0,AP579=1)),1,0)</f>
        <v>0</v>
      </c>
      <c r="BP569" s="1198"/>
      <c r="BQ569" s="1198"/>
      <c r="BR569" s="1198"/>
      <c r="BS569" s="1199"/>
      <c r="BT569" s="1197"/>
      <c r="BU569" s="1198"/>
      <c r="BV569" s="1198"/>
      <c r="BW569" s="1198"/>
      <c r="BX569" s="1199"/>
      <c r="BY569" s="1197"/>
      <c r="BZ569" s="1198"/>
      <c r="CA569" s="1198"/>
      <c r="CB569" s="1198"/>
      <c r="CC569" s="1199"/>
      <c r="CD569" s="1197"/>
      <c r="CE569" s="1198"/>
      <c r="CF569" s="1198"/>
      <c r="CG569" s="1198"/>
      <c r="CH569" s="1199"/>
      <c r="CI569" s="1197"/>
      <c r="CJ569" s="1198"/>
      <c r="CK569" s="1198"/>
      <c r="CL569" s="1198"/>
      <c r="CM569" s="1199"/>
      <c r="CN569" s="21"/>
      <c r="CO569" s="21"/>
      <c r="CP569" s="21"/>
      <c r="CQ569" s="21"/>
      <c r="CR569" s="21"/>
    </row>
    <row r="570" spans="1:96" s="4" customFormat="1" ht="12.75" customHeight="1">
      <c r="A570" s="120"/>
      <c r="B570" s="5"/>
      <c r="C570" s="5"/>
      <c r="D570" s="5"/>
      <c r="E570" s="5"/>
      <c r="I570" s="1135"/>
      <c r="J570" s="1136"/>
      <c r="K570" s="1136"/>
      <c r="L570" s="1136"/>
      <c r="M570" s="1136"/>
      <c r="N570" s="1137"/>
      <c r="O570" s="1649">
        <v>0.15</v>
      </c>
      <c r="P570" s="1650"/>
      <c r="Q570" s="1651"/>
      <c r="R570" s="1652"/>
      <c r="S570" s="1664" t="s">
        <v>1843</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2">
        <f t="shared" si="1"/>
        <v>0</v>
      </c>
      <c r="AV570" s="1323"/>
      <c r="AW570" s="1323"/>
      <c r="AX570" s="1323"/>
      <c r="AY570" s="1324"/>
      <c r="AZ570" s="1322">
        <f t="shared" si="2"/>
        <v>0</v>
      </c>
      <c r="BA570" s="1323"/>
      <c r="BB570" s="1323"/>
      <c r="BC570" s="1323"/>
      <c r="BD570" s="1324"/>
      <c r="BE570" s="1384">
        <f t="shared" si="3"/>
        <v>0</v>
      </c>
      <c r="BF570" s="1385"/>
      <c r="BG570" s="1385"/>
      <c r="BH570" s="1385"/>
      <c r="BI570" s="1386"/>
      <c r="BJ570" s="1197"/>
      <c r="BK570" s="1198"/>
      <c r="BL570" s="1198"/>
      <c r="BM570" s="1198"/>
      <c r="BN570" s="1199"/>
      <c r="BO570" s="1197"/>
      <c r="BP570" s="1198"/>
      <c r="BQ570" s="1198"/>
      <c r="BR570" s="1198"/>
      <c r="BS570" s="1199"/>
      <c r="BT570" s="1197">
        <f>IF(AND(AND(AZ568+AZ569=0,BJ568+BO569=0,AP580=1)),1,0)</f>
        <v>0</v>
      </c>
      <c r="BU570" s="1198"/>
      <c r="BV570" s="1198"/>
      <c r="BW570" s="1198"/>
      <c r="BX570" s="1199"/>
      <c r="BY570" s="1197"/>
      <c r="BZ570" s="1198"/>
      <c r="CA570" s="1198"/>
      <c r="CB570" s="1198"/>
      <c r="CC570" s="1199"/>
      <c r="CD570" s="1197"/>
      <c r="CE570" s="1198"/>
      <c r="CF570" s="1198"/>
      <c r="CG570" s="1198"/>
      <c r="CH570" s="1199"/>
      <c r="CI570" s="1197"/>
      <c r="CJ570" s="1198"/>
      <c r="CK570" s="1198"/>
      <c r="CL570" s="1198"/>
      <c r="CM570" s="1199"/>
      <c r="CN570" s="21"/>
      <c r="CO570" s="21"/>
      <c r="CP570" s="21"/>
      <c r="CQ570" s="21"/>
      <c r="CR570" s="21"/>
    </row>
    <row r="571" spans="1:96" s="4" customFormat="1" ht="12.75" customHeight="1" thickBot="1">
      <c r="B571" s="5"/>
      <c r="C571" s="5"/>
      <c r="D571" s="5"/>
      <c r="E571" s="5"/>
      <c r="I571" s="1138"/>
      <c r="J571" s="1139"/>
      <c r="K571" s="1139"/>
      <c r="L571" s="1139"/>
      <c r="M571" s="1139"/>
      <c r="N571" s="1140"/>
      <c r="O571" s="1649">
        <v>0.1</v>
      </c>
      <c r="P571" s="1650"/>
      <c r="Q571" s="1675"/>
      <c r="R571" s="1676"/>
      <c r="S571" s="1664" t="s">
        <v>1844</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2">
        <f t="shared" si="1"/>
        <v>4</v>
      </c>
      <c r="AV571" s="1323"/>
      <c r="AW571" s="1323"/>
      <c r="AX571" s="1323"/>
      <c r="AY571" s="1324"/>
      <c r="AZ571" s="1322">
        <f t="shared" si="2"/>
        <v>1</v>
      </c>
      <c r="BA571" s="1323"/>
      <c r="BB571" s="1323"/>
      <c r="BC571" s="1323"/>
      <c r="BD571" s="1324"/>
      <c r="BE571" s="1384">
        <f t="shared" si="3"/>
        <v>0.25</v>
      </c>
      <c r="BF571" s="1385"/>
      <c r="BG571" s="1385"/>
      <c r="BH571" s="1385"/>
      <c r="BI571" s="1386"/>
      <c r="BJ571" s="1197"/>
      <c r="BK571" s="1198"/>
      <c r="BL571" s="1198"/>
      <c r="BM571" s="1198"/>
      <c r="BN571" s="1199"/>
      <c r="BO571" s="1197"/>
      <c r="BP571" s="1198"/>
      <c r="BQ571" s="1198"/>
      <c r="BR571" s="1198"/>
      <c r="BS571" s="1199"/>
      <c r="BT571" s="1197"/>
      <c r="BU571" s="1198"/>
      <c r="BV571" s="1198"/>
      <c r="BW571" s="1198"/>
      <c r="BX571" s="1199"/>
      <c r="BY571" s="1197">
        <f>IF(AND(AND(AZ568+AZ569+AZ570=0,BO569+BT570+BJ568=0,AP581=1)),1,0)</f>
        <v>0</v>
      </c>
      <c r="BZ571" s="1198"/>
      <c r="CA571" s="1198"/>
      <c r="CB571" s="1198"/>
      <c r="CC571" s="1199"/>
      <c r="CD571" s="1197"/>
      <c r="CE571" s="1198"/>
      <c r="CF571" s="1198"/>
      <c r="CG571" s="1198"/>
      <c r="CH571" s="1199"/>
      <c r="CI571" s="1197"/>
      <c r="CJ571" s="1198"/>
      <c r="CK571" s="1198"/>
      <c r="CL571" s="1198"/>
      <c r="CM571" s="1199"/>
      <c r="CN571" s="21"/>
      <c r="CO571" s="21"/>
      <c r="CP571" s="21"/>
      <c r="CQ571" s="21"/>
      <c r="CR571" s="21"/>
    </row>
    <row r="572" spans="1:96" s="4" customFormat="1" ht="12.75" customHeight="1">
      <c r="B572" s="5"/>
      <c r="C572" s="5"/>
      <c r="D572" s="5"/>
      <c r="E572" s="1180"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2">
        <f t="shared" si="1"/>
        <v>8</v>
      </c>
      <c r="AV572" s="1323"/>
      <c r="AW572" s="1323"/>
      <c r="AX572" s="1323"/>
      <c r="AY572" s="1324"/>
      <c r="AZ572" s="1322">
        <f t="shared" si="2"/>
        <v>1</v>
      </c>
      <c r="BA572" s="1323"/>
      <c r="BB572" s="1323"/>
      <c r="BC572" s="1323"/>
      <c r="BD572" s="1324"/>
      <c r="BE572" s="1384">
        <f t="shared" si="3"/>
        <v>0.125</v>
      </c>
      <c r="BF572" s="1385"/>
      <c r="BG572" s="1385"/>
      <c r="BH572" s="1385"/>
      <c r="BI572" s="1386"/>
      <c r="BJ572" s="1197"/>
      <c r="BK572" s="1198"/>
      <c r="BL572" s="1198"/>
      <c r="BM572" s="1198"/>
      <c r="BN572" s="1199"/>
      <c r="BO572" s="1197"/>
      <c r="BP572" s="1198"/>
      <c r="BQ572" s="1198"/>
      <c r="BR572" s="1198"/>
      <c r="BS572" s="1199"/>
      <c r="BT572" s="1197"/>
      <c r="BU572" s="1198"/>
      <c r="BV572" s="1198"/>
      <c r="BW572" s="1198"/>
      <c r="BX572" s="1199"/>
      <c r="BY572" s="1197"/>
      <c r="BZ572" s="1198"/>
      <c r="CA572" s="1198"/>
      <c r="CB572" s="1198"/>
      <c r="CC572" s="1199"/>
      <c r="CD572" s="1197">
        <f>IF(AND(AND(BE569+BE570+BE571+BE568=0,BT570+BY571+BO569+BJ568=0,AP582=1)),1,0)</f>
        <v>0</v>
      </c>
      <c r="CE572" s="1198"/>
      <c r="CF572" s="1198"/>
      <c r="CG572" s="1198"/>
      <c r="CH572" s="1199"/>
      <c r="CI572" s="1197"/>
      <c r="CJ572" s="1198"/>
      <c r="CK572" s="1198"/>
      <c r="CL572" s="1198"/>
      <c r="CM572" s="1199"/>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2">
        <f t="shared" si="1"/>
        <v>37</v>
      </c>
      <c r="AV573" s="1323"/>
      <c r="AW573" s="1323"/>
      <c r="AX573" s="1323"/>
      <c r="AY573" s="1324"/>
      <c r="AZ573" s="1322">
        <f t="shared" si="2"/>
        <v>14</v>
      </c>
      <c r="BA573" s="1323"/>
      <c r="BB573" s="1323"/>
      <c r="BC573" s="1323"/>
      <c r="BD573" s="1324"/>
      <c r="BE573" s="1384">
        <f t="shared" si="3"/>
        <v>0.3783783783783784</v>
      </c>
      <c r="BF573" s="1385"/>
      <c r="BG573" s="1385"/>
      <c r="BH573" s="1385"/>
      <c r="BI573" s="1386"/>
      <c r="BJ573" s="1197"/>
      <c r="BK573" s="1198"/>
      <c r="BL573" s="1198"/>
      <c r="BM573" s="1198"/>
      <c r="BN573" s="1199"/>
      <c r="BO573" s="1197"/>
      <c r="BP573" s="1198"/>
      <c r="BQ573" s="1198"/>
      <c r="BR573" s="1198"/>
      <c r="BS573" s="1199"/>
      <c r="BT573" s="1197"/>
      <c r="BU573" s="1198"/>
      <c r="BV573" s="1198"/>
      <c r="BW573" s="1198"/>
      <c r="BX573" s="1199"/>
      <c r="BY573" s="1197"/>
      <c r="BZ573" s="1198"/>
      <c r="CA573" s="1198"/>
      <c r="CB573" s="1198"/>
      <c r="CC573" s="1199"/>
      <c r="CD573" s="1197"/>
      <c r="CE573" s="1198"/>
      <c r="CF573" s="1198"/>
      <c r="CG573" s="1198"/>
      <c r="CH573" s="1199"/>
      <c r="CI573" s="1197">
        <f>IF(AND(AND(AZ570+AZ571+AZ572+AZ569+AZ568=0,BY571+CD572+BT570+BO569+BJ568=0,AP583=1)),1,0)</f>
        <v>0</v>
      </c>
      <c r="CJ573" s="1198"/>
      <c r="CK573" s="1198"/>
      <c r="CL573" s="1198"/>
      <c r="CM573" s="1199"/>
      <c r="CN573" s="21"/>
      <c r="CO573" s="21"/>
      <c r="CP573" s="21"/>
      <c r="CQ573" s="21"/>
      <c r="CR573" s="21"/>
    </row>
    <row r="574" spans="1:96" s="4" customFormat="1" ht="12.75" customHeight="1">
      <c r="E574" s="1880" t="s">
        <v>1577</v>
      </c>
      <c r="F574" s="1881"/>
      <c r="G574" s="1881"/>
      <c r="H574" s="1881"/>
      <c r="I574" s="1881"/>
      <c r="J574" s="1882"/>
      <c r="K574" s="1880" t="s">
        <v>1836</v>
      </c>
      <c r="L574" s="1881"/>
      <c r="M574" s="1881"/>
      <c r="N574" s="1881"/>
      <c r="O574" s="1881"/>
      <c r="P574" s="1882"/>
      <c r="Q574" s="1132" t="s">
        <v>1573</v>
      </c>
      <c r="R574" s="1133"/>
      <c r="S574" s="1133"/>
      <c r="T574" s="1133"/>
      <c r="U574" s="1133"/>
      <c r="V574" s="1134"/>
      <c r="W574" s="1132" t="str">
        <f>I563</f>
        <v>Percent of Low-Income Units (exclusive of manager’s units)</v>
      </c>
      <c r="X574" s="1133"/>
      <c r="Y574" s="1133"/>
      <c r="Z574" s="1133"/>
      <c r="AA574" s="1133"/>
      <c r="AB574" s="1134"/>
      <c r="AC574" s="1132" t="s">
        <v>1576</v>
      </c>
      <c r="AD574" s="1133"/>
      <c r="AE574" s="1133"/>
      <c r="AF574" s="1133"/>
      <c r="AG574" s="1133"/>
      <c r="AH574" s="1134"/>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7">
        <f>SUM(BJ568:BN573)</f>
        <v>0</v>
      </c>
      <c r="BK574" s="1198"/>
      <c r="BL574" s="1198"/>
      <c r="BM574" s="1198"/>
      <c r="BN574" s="1199"/>
      <c r="BO574" s="1197">
        <f>SUM(BO568:BS573)</f>
        <v>0</v>
      </c>
      <c r="BP574" s="1198"/>
      <c r="BQ574" s="1198"/>
      <c r="BR574" s="1198"/>
      <c r="BS574" s="1199"/>
      <c r="BT574" s="1197">
        <f>SUM(BT568:BX573)</f>
        <v>0</v>
      </c>
      <c r="BU574" s="1198"/>
      <c r="BV574" s="1198"/>
      <c r="BW574" s="1198"/>
      <c r="BX574" s="1199"/>
      <c r="BY574" s="1197">
        <f>SUM(BY568:CC573)</f>
        <v>0</v>
      </c>
      <c r="BZ574" s="1198"/>
      <c r="CA574" s="1198"/>
      <c r="CB574" s="1198"/>
      <c r="CC574" s="1199"/>
      <c r="CD574" s="1197">
        <f>SUM(CD568:CH573)</f>
        <v>0</v>
      </c>
      <c r="CE574" s="1198"/>
      <c r="CF574" s="1198"/>
      <c r="CG574" s="1198"/>
      <c r="CH574" s="1199"/>
      <c r="CI574" s="1197">
        <f>SUM(CI568:CM573)</f>
        <v>0</v>
      </c>
      <c r="CJ574" s="1198"/>
      <c r="CK574" s="1198"/>
      <c r="CL574" s="1198"/>
      <c r="CM574" s="1199"/>
      <c r="CN574" s="1197">
        <f>SUM(BJ574:CM574)</f>
        <v>0</v>
      </c>
      <c r="CO574" s="1198"/>
      <c r="CP574" s="1198"/>
      <c r="CQ574" s="1198"/>
      <c r="CR574" s="1199"/>
    </row>
    <row r="575" spans="1:96" s="4" customFormat="1" ht="12.75" customHeight="1">
      <c r="E575" s="1883"/>
      <c r="F575" s="1884"/>
      <c r="G575" s="1884"/>
      <c r="H575" s="1884"/>
      <c r="I575" s="1884"/>
      <c r="J575" s="1885"/>
      <c r="K575" s="1883"/>
      <c r="L575" s="1884"/>
      <c r="M575" s="1884"/>
      <c r="N575" s="1884"/>
      <c r="O575" s="1884"/>
      <c r="P575" s="1885"/>
      <c r="Q575" s="1135"/>
      <c r="R575" s="1136"/>
      <c r="S575" s="1136"/>
      <c r="T575" s="1136"/>
      <c r="U575" s="1136"/>
      <c r="V575" s="1137"/>
      <c r="W575" s="1135"/>
      <c r="X575" s="1136"/>
      <c r="Y575" s="1136"/>
      <c r="Z575" s="1136"/>
      <c r="AA575" s="1136"/>
      <c r="AB575" s="1137"/>
      <c r="AC575" s="1135"/>
      <c r="AD575" s="1136"/>
      <c r="AE575" s="1136"/>
      <c r="AF575" s="1136"/>
      <c r="AG575" s="1136"/>
      <c r="AH575" s="1137"/>
      <c r="AN575" s="281"/>
    </row>
    <row r="576" spans="1:96" s="4" customFormat="1" ht="12.75" customHeight="1">
      <c r="E576" s="1883"/>
      <c r="F576" s="1884"/>
      <c r="G576" s="1884"/>
      <c r="H576" s="1884"/>
      <c r="I576" s="1884"/>
      <c r="J576" s="1885"/>
      <c r="K576" s="1883"/>
      <c r="L576" s="1884"/>
      <c r="M576" s="1884"/>
      <c r="N576" s="1884"/>
      <c r="O576" s="1884"/>
      <c r="P576" s="1885"/>
      <c r="Q576" s="1135"/>
      <c r="R576" s="1136"/>
      <c r="S576" s="1136"/>
      <c r="T576" s="1136"/>
      <c r="U576" s="1136"/>
      <c r="V576" s="1137"/>
      <c r="W576" s="1135"/>
      <c r="X576" s="1136"/>
      <c r="Y576" s="1136"/>
      <c r="Z576" s="1136"/>
      <c r="AA576" s="1136"/>
      <c r="AB576" s="1137"/>
      <c r="AC576" s="1135"/>
      <c r="AD576" s="1136"/>
      <c r="AE576" s="1136"/>
      <c r="AF576" s="1136"/>
      <c r="AG576" s="1136"/>
      <c r="AH576" s="1137"/>
      <c r="AN576" s="281"/>
    </row>
    <row r="577" spans="2:69" s="4" customFormat="1" ht="12.75" customHeight="1">
      <c r="E577" s="1883"/>
      <c r="F577" s="1884"/>
      <c r="G577" s="1884"/>
      <c r="H577" s="1884"/>
      <c r="I577" s="1884"/>
      <c r="J577" s="1885"/>
      <c r="K577" s="1883"/>
      <c r="L577" s="1884"/>
      <c r="M577" s="1884"/>
      <c r="N577" s="1884"/>
      <c r="O577" s="1884"/>
      <c r="P577" s="1885"/>
      <c r="Q577" s="1135"/>
      <c r="R577" s="1136"/>
      <c r="S577" s="1136"/>
      <c r="T577" s="1136"/>
      <c r="U577" s="1136"/>
      <c r="V577" s="1137"/>
      <c r="W577" s="1135"/>
      <c r="X577" s="1136"/>
      <c r="Y577" s="1136"/>
      <c r="Z577" s="1136"/>
      <c r="AA577" s="1136"/>
      <c r="AB577" s="1137"/>
      <c r="AC577" s="1135"/>
      <c r="AD577" s="1136"/>
      <c r="AE577" s="1136"/>
      <c r="AF577" s="1136"/>
      <c r="AG577" s="1136"/>
      <c r="AH577" s="1137"/>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832</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16</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32.653061224489797</v>
      </c>
      <c r="R579" s="1657"/>
      <c r="S579" s="1657"/>
      <c r="T579" s="1657"/>
      <c r="U579" s="1657"/>
      <c r="V579" s="1658"/>
      <c r="W579" s="1659">
        <f>IF(FLOOR(Q579,5)&gt;80,80,FLOOR(Q579,5))</f>
        <v>30</v>
      </c>
      <c r="X579" s="1660"/>
      <c r="Y579" s="1660"/>
      <c r="Z579" s="1660"/>
      <c r="AA579" s="1660"/>
      <c r="AB579" s="1661"/>
      <c r="AC579" s="1659">
        <f t="shared" si="4"/>
        <v>45</v>
      </c>
      <c r="AD579" s="1660"/>
      <c r="AE579" s="1660"/>
      <c r="AF579" s="1660"/>
      <c r="AG579" s="1660"/>
      <c r="AH579" s="1661"/>
      <c r="AN579" s="281"/>
      <c r="AO579" s="4">
        <v>4</v>
      </c>
      <c r="AP579" s="1653">
        <f t="shared" si="5"/>
        <v>0</v>
      </c>
      <c r="AQ579" s="1654"/>
      <c r="AR579" s="1654"/>
      <c r="AS579" s="1654"/>
      <c r="AT579" s="1655"/>
      <c r="AX579" s="1767" t="s">
        <v>652</v>
      </c>
      <c r="AY579" s="1768"/>
      <c r="AZ579" s="1252" t="s">
        <v>652</v>
      </c>
      <c r="BA579" s="1253"/>
      <c r="BB579" s="1767" t="s">
        <v>280</v>
      </c>
      <c r="BC579" s="1768"/>
      <c r="BD579" s="1757" t="s">
        <v>280</v>
      </c>
      <c r="BE579" s="1759"/>
      <c r="BF579" s="1767" t="s">
        <v>279</v>
      </c>
      <c r="BG579" s="1768"/>
      <c r="BH579" s="1757" t="s">
        <v>279</v>
      </c>
      <c r="BI579" s="1759"/>
      <c r="BJ579" s="1767" t="s">
        <v>278</v>
      </c>
      <c r="BK579" s="1768"/>
      <c r="BL579" s="1757" t="s">
        <v>278</v>
      </c>
      <c r="BM579" s="1759"/>
      <c r="BN579" s="1767" t="s">
        <v>651</v>
      </c>
      <c r="BO579" s="1768"/>
      <c r="BP579" s="1757" t="s">
        <v>651</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v>9</v>
      </c>
      <c r="F581" s="1668"/>
      <c r="G581" s="1668"/>
      <c r="H581" s="1668"/>
      <c r="I581" s="1668"/>
      <c r="J581" s="1669"/>
      <c r="K581" s="1653">
        <v>40</v>
      </c>
      <c r="L581" s="1654"/>
      <c r="M581" s="1654"/>
      <c r="N581" s="1654"/>
      <c r="O581" s="1654"/>
      <c r="P581" s="1655"/>
      <c r="Q581" s="1656">
        <f t="shared" si="6"/>
        <v>18.367346938775512</v>
      </c>
      <c r="R581" s="1657"/>
      <c r="S581" s="1657"/>
      <c r="T581" s="1657"/>
      <c r="U581" s="1657"/>
      <c r="V581" s="1658"/>
      <c r="W581" s="1659">
        <f t="shared" si="7"/>
        <v>15</v>
      </c>
      <c r="X581" s="1660"/>
      <c r="Y581" s="1660"/>
      <c r="Z581" s="1660"/>
      <c r="AA581" s="1660"/>
      <c r="AB581" s="1661"/>
      <c r="AC581" s="1659">
        <f t="shared" si="4"/>
        <v>15</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v>16</v>
      </c>
      <c r="F583" s="1668"/>
      <c r="G583" s="1668"/>
      <c r="H583" s="1668"/>
      <c r="I583" s="1668"/>
      <c r="J583" s="1669"/>
      <c r="K583" s="1653">
        <v>50</v>
      </c>
      <c r="L583" s="1654"/>
      <c r="M583" s="1654"/>
      <c r="N583" s="1654"/>
      <c r="O583" s="1654"/>
      <c r="P583" s="1655"/>
      <c r="Q583" s="1656">
        <f t="shared" si="6"/>
        <v>32.653061224489797</v>
      </c>
      <c r="R583" s="1657"/>
      <c r="S583" s="1657"/>
      <c r="T583" s="1657"/>
      <c r="U583" s="1657"/>
      <c r="V583" s="1658"/>
      <c r="W583" s="1659">
        <f>IF(FLOOR(Q583,5)&gt;40,40,FLOOR(Q583,5))</f>
        <v>30</v>
      </c>
      <c r="X583" s="1660"/>
      <c r="Y583" s="1660"/>
      <c r="Z583" s="1660"/>
      <c r="AA583" s="1660"/>
      <c r="AB583" s="1661"/>
      <c r="AC583" s="1659">
        <f t="shared" si="4"/>
        <v>15</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1</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0</v>
      </c>
      <c r="L584" s="1736"/>
      <c r="M584" s="1737" t="s">
        <v>1930</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1</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0</v>
      </c>
      <c r="L585" s="1736"/>
      <c r="M585" s="1737" t="s">
        <v>1930</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0</v>
      </c>
      <c r="BI585" s="1759"/>
      <c r="BJ585" s="1767">
        <f>SUM(BJ580:BK584)</f>
        <v>0</v>
      </c>
      <c r="BK585" s="1768"/>
      <c r="BL585" s="1757">
        <f>SUM(BL580:BM584)</f>
        <v>1</v>
      </c>
      <c r="BM585" s="1759"/>
      <c r="BN585" s="1767">
        <f>SUM(BN580:BO584)</f>
        <v>1</v>
      </c>
      <c r="BO585" s="1768"/>
      <c r="BP585" s="1757">
        <f>SUM(BP580:BQ584)</f>
        <v>2</v>
      </c>
      <c r="BQ585" s="1759"/>
    </row>
    <row r="586" spans="2:69" s="4" customFormat="1" ht="12.75" customHeight="1">
      <c r="E586" s="1667">
        <v>8</v>
      </c>
      <c r="F586" s="1668"/>
      <c r="G586" s="1668"/>
      <c r="H586" s="1668"/>
      <c r="I586" s="1668"/>
      <c r="J586" s="1669"/>
      <c r="K586" s="1653" t="s">
        <v>2257</v>
      </c>
      <c r="L586" s="1654"/>
      <c r="M586" s="1654"/>
      <c r="N586" s="1654"/>
      <c r="O586" s="1654"/>
      <c r="P586" s="1655"/>
      <c r="Q586" s="1656">
        <f t="shared" si="6"/>
        <v>16.326530612244898</v>
      </c>
      <c r="R586" s="1657"/>
      <c r="S586" s="1657"/>
      <c r="T586" s="1657"/>
      <c r="U586" s="1657"/>
      <c r="V586" s="1658"/>
      <c r="W586" s="1659">
        <f t="shared" si="7"/>
        <v>15</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1</v>
      </c>
      <c r="BO586" s="1763"/>
      <c r="BP586" s="1763"/>
      <c r="BQ586" s="1764"/>
    </row>
    <row r="587" spans="2:69" s="4" customFormat="1" ht="12.75" customHeight="1">
      <c r="E587" s="967"/>
      <c r="F587" s="968"/>
      <c r="G587" s="968"/>
      <c r="H587" s="968"/>
      <c r="I587" s="968"/>
      <c r="J587" s="969"/>
      <c r="K587" s="1653" t="s">
        <v>2258</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2">
        <f>AX586+BB586+BF586+BJ586+BN586</f>
        <v>1</v>
      </c>
      <c r="BK587" s="1763"/>
      <c r="BL587" s="1763"/>
      <c r="BM587" s="1764"/>
      <c r="BN587"/>
      <c r="BO587"/>
      <c r="BP587"/>
      <c r="BQ587"/>
    </row>
    <row r="588" spans="2:69" s="4" customFormat="1" ht="12.75" customHeight="1">
      <c r="E588" s="967"/>
      <c r="F588" s="968"/>
      <c r="G588" s="968"/>
      <c r="H588" s="968"/>
      <c r="I588" s="968"/>
      <c r="J588" s="969"/>
      <c r="K588" s="1653" t="s">
        <v>2259</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49</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1">
        <f>IF(SUM(AC578:AH588)&gt;0,SUM(AC578:AH588),0)</f>
        <v>75</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5" t="s">
        <v>111</v>
      </c>
      <c r="AH592" s="1685"/>
      <c r="AI592" s="1685"/>
      <c r="AJ592" s="1685"/>
      <c r="AK592" s="5"/>
      <c r="AL592" s="5"/>
      <c r="AM592" s="5"/>
      <c r="AN592" s="281"/>
    </row>
    <row r="593" spans="1:60" s="4" customFormat="1" ht="12.75" customHeight="1">
      <c r="B593" s="1874" t="s">
        <v>2244</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833</v>
      </c>
      <c r="K600" s="1804"/>
      <c r="L600" s="1804"/>
      <c r="M600" s="1804"/>
      <c r="N600" s="1805"/>
      <c r="O600" s="1132" t="s">
        <v>1574</v>
      </c>
      <c r="P600" s="1133"/>
      <c r="Q600" s="1133"/>
      <c r="R600" s="1133"/>
      <c r="S600" s="1134"/>
      <c r="T600" s="1132" t="s">
        <v>1846</v>
      </c>
      <c r="U600" s="1133"/>
      <c r="V600" s="1133"/>
      <c r="W600" s="1133"/>
      <c r="X600" s="1134"/>
      <c r="Y600" s="1132" t="s">
        <v>1575</v>
      </c>
      <c r="Z600" s="1133"/>
      <c r="AA600" s="1133"/>
      <c r="AB600" s="1133"/>
      <c r="AC600" s="1134"/>
      <c r="AF600"/>
      <c r="AG600"/>
      <c r="AH600"/>
      <c r="AI600"/>
      <c r="AJ600"/>
    </row>
    <row r="601" spans="1:60">
      <c r="D601"/>
      <c r="E601"/>
      <c r="F601"/>
      <c r="G601"/>
      <c r="H601"/>
      <c r="I601"/>
      <c r="J601" s="1806"/>
      <c r="K601" s="1807"/>
      <c r="L601" s="1807"/>
      <c r="M601" s="1807"/>
      <c r="N601" s="1808"/>
      <c r="O601" s="1135"/>
      <c r="P601" s="1136"/>
      <c r="Q601" s="1136"/>
      <c r="R601" s="1136"/>
      <c r="S601" s="1137"/>
      <c r="T601" s="1135"/>
      <c r="U601" s="1136"/>
      <c r="V601" s="1136"/>
      <c r="W601" s="1136"/>
      <c r="X601" s="1137"/>
      <c r="Y601" s="1135"/>
      <c r="Z601" s="1136"/>
      <c r="AA601" s="1136"/>
      <c r="AB601" s="1136"/>
      <c r="AC601" s="1137"/>
      <c r="AF601"/>
      <c r="AG601"/>
      <c r="AH601"/>
      <c r="AI601"/>
      <c r="AJ601"/>
    </row>
    <row r="602" spans="1:60">
      <c r="I602"/>
      <c r="J602" s="1806"/>
      <c r="K602" s="1807"/>
      <c r="L602" s="1807"/>
      <c r="M602" s="1807"/>
      <c r="N602" s="1808"/>
      <c r="O602" s="1135"/>
      <c r="P602" s="1136"/>
      <c r="Q602" s="1136"/>
      <c r="R602" s="1136"/>
      <c r="S602" s="1137"/>
      <c r="T602" s="1135"/>
      <c r="U602" s="1136"/>
      <c r="V602" s="1136"/>
      <c r="W602" s="1136"/>
      <c r="X602" s="1137"/>
      <c r="Y602" s="1135"/>
      <c r="Z602" s="1136"/>
      <c r="AA602" s="1136"/>
      <c r="AB602" s="1136"/>
      <c r="AC602" s="1137"/>
      <c r="AD602"/>
      <c r="AF602"/>
      <c r="AG602"/>
      <c r="AH602"/>
      <c r="AI602"/>
      <c r="AJ602"/>
    </row>
    <row r="603" spans="1:60">
      <c r="D603"/>
      <c r="E603"/>
      <c r="F603"/>
      <c r="G603"/>
      <c r="H603"/>
      <c r="I603"/>
      <c r="J603" s="1806"/>
      <c r="K603" s="1807"/>
      <c r="L603" s="1807"/>
      <c r="M603" s="1807"/>
      <c r="N603" s="1808"/>
      <c r="O603" s="1135"/>
      <c r="P603" s="1136"/>
      <c r="Q603" s="1136"/>
      <c r="R603" s="1136"/>
      <c r="S603" s="1137"/>
      <c r="T603" s="1135"/>
      <c r="U603" s="1136"/>
      <c r="V603" s="1136"/>
      <c r="W603" s="1136"/>
      <c r="X603" s="1137"/>
      <c r="Y603" s="1135"/>
      <c r="Z603" s="1136"/>
      <c r="AA603" s="1136"/>
      <c r="AB603" s="1136"/>
      <c r="AC603" s="1137"/>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0</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4</v>
      </c>
      <c r="P607" s="1654"/>
      <c r="Q607" s="1654"/>
      <c r="R607" s="1654"/>
      <c r="S607" s="1655"/>
      <c r="T607" s="1653">
        <f>Application!DC614</f>
        <v>1</v>
      </c>
      <c r="U607" s="1654"/>
      <c r="V607" s="1654"/>
      <c r="W607" s="1654"/>
      <c r="X607" s="1655"/>
      <c r="Y607" s="1726">
        <f t="shared" si="8"/>
        <v>0.25</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8</v>
      </c>
      <c r="P608" s="1654"/>
      <c r="Q608" s="1654"/>
      <c r="R608" s="1654"/>
      <c r="S608" s="1655"/>
      <c r="T608" s="1653">
        <f>Application!CX614</f>
        <v>1</v>
      </c>
      <c r="U608" s="1654"/>
      <c r="V608" s="1654"/>
      <c r="W608" s="1654"/>
      <c r="X608" s="1655"/>
      <c r="Y608" s="1726">
        <f t="shared" si="8"/>
        <v>0.125</v>
      </c>
      <c r="Z608" s="1727"/>
      <c r="AA608" s="1727"/>
      <c r="AB608" s="1727"/>
      <c r="AC608" s="1728"/>
      <c r="AD608"/>
      <c r="AF608"/>
      <c r="AG608"/>
      <c r="AH608"/>
      <c r="AI608"/>
      <c r="AJ608"/>
    </row>
    <row r="609" spans="1:60">
      <c r="D609"/>
      <c r="E609"/>
      <c r="F609"/>
      <c r="G609"/>
      <c r="H609"/>
      <c r="I609"/>
      <c r="J609" s="1723" t="s">
        <v>651</v>
      </c>
      <c r="K609" s="1724"/>
      <c r="L609" s="1724"/>
      <c r="M609" s="1724"/>
      <c r="N609" s="1725"/>
      <c r="O609" s="1653">
        <f>Application!BN613</f>
        <v>37</v>
      </c>
      <c r="P609" s="1654"/>
      <c r="Q609" s="1654"/>
      <c r="R609" s="1654"/>
      <c r="S609" s="1655"/>
      <c r="T609" s="1653">
        <f>Application!CS614</f>
        <v>14</v>
      </c>
      <c r="U609" s="1654"/>
      <c r="V609" s="1654"/>
      <c r="W609" s="1654"/>
      <c r="X609" s="1655"/>
      <c r="Y609" s="1726">
        <f t="shared" si="8"/>
        <v>0.3783783783783784</v>
      </c>
      <c r="Z609" s="1727"/>
      <c r="AA609" s="1727"/>
      <c r="AB609" s="1727"/>
      <c r="AC609" s="1728"/>
      <c r="AD609"/>
      <c r="AF609"/>
      <c r="AG609"/>
      <c r="AH609"/>
      <c r="AI609"/>
      <c r="AJ609"/>
    </row>
    <row r="610" spans="1:60">
      <c r="D610"/>
      <c r="E610"/>
      <c r="F610"/>
      <c r="G610"/>
      <c r="H610"/>
      <c r="I610"/>
      <c r="J610" s="1567" t="s">
        <v>917</v>
      </c>
      <c r="K610" s="1568"/>
      <c r="L610" s="1568"/>
      <c r="M610" s="1568"/>
      <c r="N610" s="1569"/>
      <c r="O610" s="1819">
        <f>SUM(O604:S609)</f>
        <v>49</v>
      </c>
      <c r="P610" s="1820"/>
      <c r="Q610" s="1820"/>
      <c r="R610" s="1820"/>
      <c r="S610" s="1821"/>
      <c r="T610" s="1819">
        <f>SUM(T604:X609)</f>
        <v>16</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00" t="s">
        <v>1578</v>
      </c>
      <c r="B613" s="1101"/>
      <c r="C613" s="1101"/>
      <c r="D613" s="1101"/>
      <c r="E613" s="1101"/>
      <c r="F613" s="1101"/>
      <c r="G613" s="1101"/>
      <c r="H613" s="1101"/>
      <c r="I613" s="1101"/>
      <c r="J613" s="1101"/>
      <c r="K613" s="1101"/>
      <c r="L613" s="1101"/>
      <c r="M613" s="1101"/>
      <c r="N613" s="1101"/>
      <c r="O613" s="1101"/>
      <c r="P613" s="1101"/>
      <c r="Q613" s="1101"/>
      <c r="R613" s="1101"/>
      <c r="S613" s="1101"/>
      <c r="T613" s="1101"/>
      <c r="U613" s="1101"/>
      <c r="V613" s="1101"/>
      <c r="W613" s="1101"/>
      <c r="X613" s="1101"/>
      <c r="Y613" s="1101"/>
      <c r="Z613" s="1101"/>
      <c r="AA613" s="1101"/>
      <c r="AB613" s="1101"/>
      <c r="AC613" s="1101"/>
      <c r="AD613" s="1101"/>
      <c r="AE613" s="1101"/>
      <c r="AF613" s="1101"/>
      <c r="AG613" s="1101"/>
      <c r="AH613" s="1101"/>
      <c r="AI613" s="1103"/>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8">
        <f>IF($AC$589=0,0,$AC$589+$AJ$613)</f>
        <v>77</v>
      </c>
      <c r="AL615" s="1249"/>
      <c r="AM615" s="125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1579</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0" t="s">
        <v>116</v>
      </c>
      <c r="D623" s="1120"/>
      <c r="E623" s="185"/>
      <c r="F623" s="1809" t="s">
        <v>2245</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8" t="s">
        <v>982</v>
      </c>
      <c r="AH623" s="1018"/>
      <c r="AI623" s="1018"/>
      <c r="AJ623" s="1018"/>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4" t="s">
        <v>2246</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4"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8">
        <f>IF($C$623="yes",10,0)</f>
        <v>10</v>
      </c>
      <c r="AL641" s="1249"/>
      <c r="AM641" s="125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0" t="s">
        <v>116</v>
      </c>
      <c r="D646" s="1120"/>
      <c r="E646" s="185" t="s">
        <v>612</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0" t="s">
        <v>132</v>
      </c>
      <c r="D651" s="1120"/>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0" t="s">
        <v>132</v>
      </c>
      <c r="D655" s="1120"/>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132</v>
      </c>
      <c r="D659" s="1120"/>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0" t="s">
        <v>132</v>
      </c>
      <c r="D661" s="1120"/>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0" t="s">
        <v>132</v>
      </c>
      <c r="D666" s="1120"/>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0" t="s">
        <v>132</v>
      </c>
      <c r="D669" s="1120"/>
      <c r="E669" s="185" t="s">
        <v>296</v>
      </c>
      <c r="F669" s="1674" t="s">
        <v>2349</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8">
        <f>$AO$651</f>
        <v>2</v>
      </c>
      <c r="AL684" s="1249"/>
      <c r="AM684" s="125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758</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2039</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2040</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0" t="s">
        <v>249</v>
      </c>
      <c r="U692" s="1181"/>
      <c r="V692" s="1181"/>
      <c r="W692" s="1181"/>
      <c r="X692" s="1181"/>
      <c r="Y692" s="1530"/>
      <c r="Z692" s="1180" t="s">
        <v>248</v>
      </c>
      <c r="AA692" s="1181"/>
      <c r="AB692" s="1181"/>
      <c r="AC692" s="1181"/>
      <c r="AD692" s="1181"/>
      <c r="AE692" s="1530"/>
      <c r="AF692" s="1180" t="s">
        <v>250</v>
      </c>
      <c r="AG692" s="1181"/>
      <c r="AH692" s="1181"/>
      <c r="AI692" s="1181"/>
      <c r="AJ692" s="1181"/>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4"/>
      <c r="U693" s="1185"/>
      <c r="V693" s="1185"/>
      <c r="W693" s="1185"/>
      <c r="X693" s="1185"/>
      <c r="Y693" s="1278"/>
      <c r="Z693" s="1184"/>
      <c r="AA693" s="1185"/>
      <c r="AB693" s="1185"/>
      <c r="AC693" s="1185"/>
      <c r="AD693" s="1185"/>
      <c r="AE693" s="1278"/>
      <c r="AF693" s="1184"/>
      <c r="AG693" s="1185"/>
      <c r="AH693" s="1185"/>
      <c r="AI693" s="1185"/>
      <c r="AJ693" s="1185"/>
      <c r="AK693" s="1278"/>
      <c r="AL693" s="795"/>
      <c r="AM693" s="20"/>
    </row>
    <row r="694" spans="1:43">
      <c r="A694" s="609" t="s">
        <v>689</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3">
        <v>10</v>
      </c>
      <c r="AA694" s="1233"/>
      <c r="AB694" s="1233"/>
      <c r="AC694" s="1233"/>
      <c r="AD694" s="1233"/>
      <c r="AE694" s="1233"/>
      <c r="AF694" s="1233">
        <f>IF(T694&gt;Z694,Z694,T694)</f>
        <v>10</v>
      </c>
      <c r="AG694" s="1233"/>
      <c r="AH694" s="1233"/>
      <c r="AI694" s="1233"/>
      <c r="AJ694" s="1233"/>
      <c r="AK694" s="1233"/>
      <c r="AL694" s="795"/>
      <c r="AM694" s="20"/>
      <c r="AO694" s="4">
        <f>IF(T703&gt;50,50,T703)</f>
        <v>50</v>
      </c>
    </row>
    <row r="695" spans="1:4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3">
        <v>10</v>
      </c>
      <c r="AA697" s="1233"/>
      <c r="AB697" s="1233"/>
      <c r="AC697" s="1233"/>
      <c r="AD697" s="1233"/>
      <c r="AE697" s="1233"/>
      <c r="AF697" s="1233">
        <f>IF(T697&gt;Z697,Z697,T697)</f>
        <v>10</v>
      </c>
      <c r="AG697" s="1233"/>
      <c r="AH697" s="1233"/>
      <c r="AI697" s="1233"/>
      <c r="AJ697" s="1233"/>
      <c r="AK697" s="1233"/>
      <c r="AL697" s="795"/>
      <c r="AM697" s="20"/>
    </row>
    <row r="698" spans="1:4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3">
        <v>25</v>
      </c>
      <c r="AA698" s="1233"/>
      <c r="AB698" s="1233"/>
      <c r="AC698" s="1233"/>
      <c r="AD698" s="1233"/>
      <c r="AE698" s="1233"/>
      <c r="AF698" s="1233">
        <f>IF(T698&gt;Z698,Z698,T698)</f>
        <v>25</v>
      </c>
      <c r="AG698" s="1233"/>
      <c r="AH698" s="1233"/>
      <c r="AI698" s="1233"/>
      <c r="AJ698" s="1233"/>
      <c r="AK698" s="1233"/>
      <c r="AL698" s="795"/>
      <c r="AM698" s="20"/>
    </row>
    <row r="699" spans="1:43" hidden="1">
      <c r="A699" s="609"/>
      <c r="B699" s="630"/>
      <c r="C699" s="630"/>
      <c r="D699" s="307" t="s">
        <v>1534</v>
      </c>
      <c r="E699" s="1720" t="s">
        <v>310</v>
      </c>
      <c r="F699" s="1720"/>
      <c r="G699" s="1720"/>
      <c r="H699" s="1720"/>
      <c r="I699" s="1720"/>
      <c r="J699" s="1720"/>
      <c r="K699" s="1720"/>
      <c r="L699" s="1720"/>
      <c r="M699" s="1720"/>
      <c r="N699" s="1720"/>
      <c r="O699" s="1720"/>
      <c r="P699" s="1720"/>
      <c r="Q699" s="1720"/>
      <c r="R699" s="1720"/>
      <c r="S699" s="1721"/>
      <c r="T699" s="1722">
        <f>AK280</f>
        <v>21</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c r="A700" s="632"/>
      <c r="B700" s="90"/>
      <c r="C700" s="90"/>
      <c r="D700" s="633" t="s">
        <v>1535</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3"/>
      <c r="AA701" s="1233"/>
      <c r="AB701" s="1233"/>
      <c r="AC701" s="1233"/>
      <c r="AD701" s="1233"/>
      <c r="AE701" s="1233"/>
      <c r="AF701" s="1233"/>
      <c r="AG701" s="1233"/>
      <c r="AH701" s="1233"/>
      <c r="AI701" s="1233"/>
      <c r="AJ701" s="1233"/>
      <c r="AK701" s="1233"/>
      <c r="AL701" s="795"/>
      <c r="AM701" s="20"/>
    </row>
    <row r="702" spans="1:4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c r="A703" s="634"/>
      <c r="B703" s="636"/>
      <c r="C703" s="636"/>
      <c r="D703" s="637" t="s">
        <v>1536</v>
      </c>
      <c r="E703" s="1720" t="s">
        <v>194</v>
      </c>
      <c r="F703" s="1720"/>
      <c r="G703" s="1720"/>
      <c r="H703" s="1720"/>
      <c r="I703" s="1720"/>
      <c r="J703" s="1720"/>
      <c r="K703" s="1720"/>
      <c r="L703" s="1720"/>
      <c r="M703" s="1720"/>
      <c r="N703" s="1720"/>
      <c r="O703" s="1720"/>
      <c r="P703" s="1720"/>
      <c r="Q703" s="1720"/>
      <c r="R703" s="1720"/>
      <c r="S703" s="1721"/>
      <c r="T703" s="1743">
        <f>AC589</f>
        <v>75</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c r="A704" s="638"/>
      <c r="B704" s="630"/>
      <c r="C704" s="630"/>
      <c r="D704" s="307" t="s">
        <v>1537</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8">
        <v>2</v>
      </c>
      <c r="AA704" s="1249"/>
      <c r="AB704" s="1249"/>
      <c r="AC704" s="1249"/>
      <c r="AD704" s="1249"/>
      <c r="AE704" s="1251"/>
      <c r="AF704" s="1843"/>
      <c r="AG704" s="1844"/>
      <c r="AH704" s="1844"/>
      <c r="AI704" s="1844"/>
      <c r="AJ704" s="1844"/>
      <c r="AK704" s="1845"/>
      <c r="AL704" s="795"/>
      <c r="AM704" s="4"/>
    </row>
    <row r="705" spans="1:39">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3">
        <v>10</v>
      </c>
      <c r="AA705" s="1233"/>
      <c r="AB705" s="1233"/>
      <c r="AC705" s="1233"/>
      <c r="AD705" s="1233"/>
      <c r="AE705" s="1233"/>
      <c r="AF705" s="1399">
        <f>IF(T705&gt;Z705,Z705,T705)</f>
        <v>10</v>
      </c>
      <c r="AG705" s="1400"/>
      <c r="AH705" s="1400"/>
      <c r="AI705" s="1400"/>
      <c r="AJ705" s="1400"/>
      <c r="AK705" s="1401"/>
      <c r="AL705" s="795"/>
      <c r="AM705" s="20"/>
    </row>
    <row r="706" spans="1:39">
      <c r="A706" s="634" t="s">
        <v>133</v>
      </c>
      <c r="B706" s="1718" t="s">
        <v>1029</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75">
      <c r="A708" s="1729" t="s">
        <v>757</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4"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6" t="s">
        <v>7</v>
      </c>
      <c r="B710" s="986"/>
      <c r="C710" s="986"/>
      <c r="D710" s="986"/>
      <c r="E710" s="986"/>
      <c r="F710" s="986"/>
      <c r="G710" s="986"/>
      <c r="H710" s="986"/>
      <c r="I710" s="986"/>
      <c r="J710" s="986"/>
      <c r="K710" s="986"/>
      <c r="L710" s="986"/>
      <c r="M710" s="986"/>
      <c r="N710" s="986"/>
      <c r="O710" s="986"/>
      <c r="P710" s="986"/>
      <c r="Q710" s="986"/>
      <c r="R710" s="986"/>
      <c r="S710" s="986"/>
      <c r="T710" s="986"/>
      <c r="U710" s="986"/>
      <c r="V710" s="986"/>
      <c r="W710" s="986"/>
      <c r="X710" s="986"/>
      <c r="Y710" s="986"/>
      <c r="Z710" s="986"/>
      <c r="AA710" s="986"/>
      <c r="AB710" s="986"/>
      <c r="AC710" s="986"/>
      <c r="AD710" s="986"/>
      <c r="AE710" s="986"/>
      <c r="AF710" s="986"/>
      <c r="AG710" s="986"/>
      <c r="AH710" s="986"/>
      <c r="AI710" s="986"/>
      <c r="AJ710" s="986"/>
      <c r="AK710" s="986"/>
      <c r="AL710" s="986"/>
      <c r="AM710" s="1879"/>
    </row>
    <row r="711" spans="1:39" ht="12.4" hidden="1" customHeight="1">
      <c r="A711" s="986"/>
      <c r="B711" s="986"/>
      <c r="C711" s="986"/>
      <c r="D711" s="986"/>
      <c r="E711" s="986"/>
      <c r="F711" s="986"/>
      <c r="G711" s="986"/>
      <c r="H711" s="986"/>
      <c r="I711" s="986"/>
      <c r="J711" s="986"/>
      <c r="K711" s="986"/>
      <c r="L711" s="986"/>
      <c r="M711" s="986"/>
      <c r="N711" s="986"/>
      <c r="O711" s="986"/>
      <c r="P711" s="986"/>
      <c r="Q711" s="986"/>
      <c r="R711" s="986"/>
      <c r="S711" s="986"/>
      <c r="T711" s="986"/>
      <c r="U711" s="986"/>
      <c r="V711" s="986"/>
      <c r="W711" s="986"/>
      <c r="X711" s="986"/>
      <c r="Y711" s="986"/>
      <c r="Z711" s="986"/>
      <c r="AA711" s="986"/>
      <c r="AB711" s="986"/>
      <c r="AC711" s="986"/>
      <c r="AD711" s="986"/>
      <c r="AE711" s="986"/>
      <c r="AF711" s="986"/>
      <c r="AG711" s="986"/>
      <c r="AH711" s="986"/>
      <c r="AI711" s="986"/>
      <c r="AJ711" s="986"/>
      <c r="AK711" s="986"/>
      <c r="AL711" s="986"/>
      <c r="AM711" s="1879"/>
    </row>
    <row r="712" spans="1:39" ht="12.4" hidden="1" customHeight="1">
      <c r="A712" s="986"/>
      <c r="B712" s="986"/>
      <c r="C712" s="986"/>
      <c r="D712" s="986"/>
      <c r="E712" s="986"/>
      <c r="F712" s="986"/>
      <c r="G712" s="986"/>
      <c r="H712" s="986"/>
      <c r="I712" s="986"/>
      <c r="J712" s="986"/>
      <c r="K712" s="986"/>
      <c r="L712" s="986"/>
      <c r="M712" s="986"/>
      <c r="N712" s="986"/>
      <c r="O712" s="986"/>
      <c r="P712" s="986"/>
      <c r="Q712" s="986"/>
      <c r="R712" s="986"/>
      <c r="S712" s="986"/>
      <c r="T712" s="986"/>
      <c r="U712" s="986"/>
      <c r="V712" s="986"/>
      <c r="W712" s="986"/>
      <c r="X712" s="986"/>
      <c r="Y712" s="986"/>
      <c r="Z712" s="986"/>
      <c r="AA712" s="986"/>
      <c r="AB712" s="986"/>
      <c r="AC712" s="986"/>
      <c r="AD712" s="986"/>
      <c r="AE712" s="986"/>
      <c r="AF712" s="986"/>
      <c r="AG712" s="986"/>
      <c r="AH712" s="986"/>
      <c r="AI712" s="986"/>
      <c r="AJ712" s="986"/>
      <c r="AK712" s="986"/>
      <c r="AL712" s="986"/>
      <c r="AM712" s="1879"/>
    </row>
    <row r="713" spans="1:39" ht="12.4" hidden="1" customHeight="1">
      <c r="A713" s="986"/>
      <c r="B713" s="986"/>
      <c r="C713" s="986"/>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6"/>
      <c r="AD713" s="986"/>
      <c r="AE713" s="986"/>
      <c r="AF713" s="986"/>
      <c r="AG713" s="986"/>
      <c r="AH713" s="986"/>
      <c r="AI713" s="986"/>
      <c r="AJ713" s="986"/>
      <c r="AK713" s="986"/>
      <c r="AL713" s="986"/>
      <c r="AM713" s="1879"/>
    </row>
    <row r="714" spans="1:39" hidden="1">
      <c r="A714" s="986"/>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79"/>
    </row>
    <row r="715" spans="1:39">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8" priority="4" stopIfTrue="1">
      <formula>ISERROR(T453)</formula>
    </cfRule>
  </conditionalFormatting>
  <conditionalFormatting sqref="AP473">
    <cfRule type="expression" dxfId="7" priority="3" stopIfTrue="1">
      <formula>ISERROR(AP473)</formula>
    </cfRule>
  </conditionalFormatting>
  <conditionalFormatting sqref="T112:Y112">
    <cfRule type="expression" dxfId="6" priority="2">
      <formula>$H$112="(iv)"</formula>
    </cfRule>
  </conditionalFormatting>
  <conditionalFormatting sqref="O112">
    <cfRule type="expression" dxfId="5"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0" t="s">
        <v>2136</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918"/>
      <c r="B3" s="918"/>
      <c r="I3" s="919"/>
      <c r="K3" s="920"/>
    </row>
    <row r="4" spans="1:57" ht="14.25" customHeight="1">
      <c r="A4" s="1899" t="s">
        <v>2137</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2140</v>
      </c>
      <c r="I6" s="919"/>
      <c r="K6" s="920"/>
      <c r="U6" s="1898"/>
      <c r="V6" s="1898"/>
      <c r="W6" s="1898"/>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6"/>
      <c r="Q9" s="1906"/>
      <c r="R9" s="1906"/>
      <c r="S9" s="1906"/>
      <c r="T9" s="1906"/>
    </row>
    <row r="10" spans="1:57">
      <c r="A10" s="918"/>
      <c r="B10" s="918"/>
      <c r="I10" s="919"/>
      <c r="K10" s="920"/>
    </row>
    <row r="11" spans="1:57">
      <c r="A11" s="1899" t="s">
        <v>2143</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2144</v>
      </c>
      <c r="I13" s="919"/>
      <c r="K13" s="920"/>
      <c r="T13" s="1898"/>
      <c r="U13" s="1898"/>
      <c r="V13" s="1898"/>
    </row>
    <row r="14" spans="1:57">
      <c r="A14" s="918"/>
      <c r="B14" s="918"/>
      <c r="E14" s="916" t="s">
        <v>2151</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2500000</v>
      </c>
    </row>
    <row r="16" spans="1:57">
      <c r="A16" s="918"/>
      <c r="B16" s="918"/>
      <c r="BC16" s="916" t="s">
        <v>2155</v>
      </c>
      <c r="BE16" s="916">
        <f>'Basis &amp; Credits'!T11+'Basis &amp; Credits'!AD11</f>
        <v>43290053.646808423</v>
      </c>
    </row>
    <row r="17" spans="1:43">
      <c r="A17" s="918"/>
      <c r="B17" s="918"/>
      <c r="D17" s="916" t="s">
        <v>2146</v>
      </c>
      <c r="I17" s="919"/>
      <c r="K17" s="920"/>
      <c r="U17" s="1905" t="str">
        <f>IF(T13="yes",(BE15/BE16)," ")</f>
        <v xml:space="preserve"> </v>
      </c>
      <c r="V17" s="1905"/>
      <c r="W17" s="1905"/>
      <c r="X17" s="1905"/>
      <c r="Y17" s="1905"/>
    </row>
    <row r="18" spans="1:43">
      <c r="A18" s="918"/>
      <c r="B18" s="918"/>
      <c r="I18" s="919"/>
      <c r="K18" s="920"/>
    </row>
    <row r="19" spans="1:43">
      <c r="A19" s="1899" t="s">
        <v>2148</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764</v>
      </c>
      <c r="D22" s="921"/>
      <c r="E22" s="916" t="s">
        <v>2149</v>
      </c>
      <c r="H22" s="922"/>
      <c r="K22" s="916"/>
      <c r="Q22" s="1907">
        <f>ROUND('Basis &amp; Credits'!AB55,0)</f>
        <v>2500000</v>
      </c>
      <c r="R22" s="1907"/>
      <c r="S22" s="1907"/>
      <c r="T22" s="1907"/>
      <c r="U22" s="1907"/>
      <c r="V22" s="1907"/>
      <c r="W22" s="1907"/>
      <c r="X22" s="1907"/>
      <c r="Y22" s="936"/>
    </row>
    <row r="23" spans="1:43">
      <c r="C23" s="918"/>
      <c r="D23" s="918"/>
      <c r="G23" s="923"/>
      <c r="H23" s="923"/>
      <c r="I23" s="924"/>
      <c r="J23" s="924"/>
      <c r="K23" s="923"/>
      <c r="M23" s="917"/>
    </row>
    <row r="24" spans="1:43">
      <c r="C24" s="925"/>
      <c r="D24" s="925"/>
      <c r="E24" s="926"/>
      <c r="J24" s="924"/>
      <c r="K24" s="916"/>
      <c r="L24" s="1910" t="s">
        <v>2126</v>
      </c>
      <c r="M24" s="1910"/>
      <c r="N24" s="1910"/>
      <c r="P24" s="1895" t="s">
        <v>2127</v>
      </c>
      <c r="Q24" s="1895"/>
      <c r="R24" s="1895"/>
      <c r="S24" s="1895"/>
      <c r="T24" s="1895"/>
      <c r="V24" s="1895" t="s">
        <v>2128</v>
      </c>
      <c r="W24" s="1895"/>
      <c r="X24" s="1895"/>
    </row>
    <row r="25" spans="1:43">
      <c r="C25" s="921" t="s">
        <v>201</v>
      </c>
      <c r="D25" s="921"/>
      <c r="E25" s="916" t="s">
        <v>1030</v>
      </c>
      <c r="J25" s="924"/>
      <c r="L25" s="1896" t="s">
        <v>2129</v>
      </c>
      <c r="M25" s="1896"/>
      <c r="N25" s="1896"/>
      <c r="P25" s="1896" t="s">
        <v>2130</v>
      </c>
      <c r="Q25" s="1896"/>
      <c r="R25" s="1896"/>
      <c r="S25" s="1896"/>
      <c r="T25" s="1896"/>
      <c r="V25" s="1896" t="s">
        <v>2129</v>
      </c>
      <c r="W25" s="1896"/>
      <c r="X25" s="1896"/>
    </row>
    <row r="26" spans="1:43">
      <c r="C26" s="918"/>
      <c r="D26" s="918"/>
      <c r="E26" s="927" t="s">
        <v>2131</v>
      </c>
      <c r="F26" s="927"/>
      <c r="J26" s="928"/>
      <c r="L26" s="1908">
        <f>Application!BN613</f>
        <v>37</v>
      </c>
      <c r="M26" s="1908"/>
      <c r="N26" s="1908"/>
      <c r="P26" s="1897">
        <v>0.9</v>
      </c>
      <c r="Q26" s="1897"/>
      <c r="R26" s="1897"/>
      <c r="S26" s="1897"/>
      <c r="T26" s="1897"/>
      <c r="V26" s="1897">
        <f>L26*P26</f>
        <v>33.300000000000004</v>
      </c>
      <c r="W26" s="1897"/>
      <c r="X26" s="1897"/>
    </row>
    <row r="27" spans="1:43">
      <c r="C27" s="918"/>
      <c r="D27" s="918"/>
      <c r="E27" s="916" t="s">
        <v>2132</v>
      </c>
      <c r="J27" s="928"/>
      <c r="L27" s="1888">
        <f>Application!BS613</f>
        <v>8</v>
      </c>
      <c r="M27" s="1888">
        <f>Application!BS621+Application!BS630+Application!CX644</f>
        <v>0</v>
      </c>
      <c r="N27" s="1888"/>
      <c r="P27" s="1893">
        <v>1</v>
      </c>
      <c r="Q27" s="1893"/>
      <c r="R27" s="1893"/>
      <c r="S27" s="1893"/>
      <c r="T27" s="1893"/>
      <c r="V27" s="1893">
        <f>L27*P27</f>
        <v>8</v>
      </c>
      <c r="W27" s="1893"/>
      <c r="X27" s="1893"/>
    </row>
    <row r="28" spans="1:43">
      <c r="C28" s="918"/>
      <c r="D28" s="918"/>
      <c r="E28" s="916" t="s">
        <v>2133</v>
      </c>
      <c r="J28" s="928"/>
      <c r="L28" s="1888">
        <f>Application!BX613</f>
        <v>4</v>
      </c>
      <c r="M28" s="1888">
        <f>Application!BX621+Application!BX630+Application!DC644</f>
        <v>0</v>
      </c>
      <c r="N28" s="1888"/>
      <c r="P28" s="1893">
        <v>1.25</v>
      </c>
      <c r="Q28" s="1893"/>
      <c r="R28" s="1893"/>
      <c r="S28" s="1893"/>
      <c r="T28" s="1893"/>
      <c r="V28" s="1893">
        <f>L28*P28</f>
        <v>5</v>
      </c>
      <c r="W28" s="1893"/>
      <c r="X28" s="1893"/>
    </row>
    <row r="29" spans="1:43">
      <c r="C29" s="918"/>
      <c r="D29" s="918"/>
      <c r="E29" s="916" t="s">
        <v>2134</v>
      </c>
      <c r="J29" s="928"/>
      <c r="L29" s="1888">
        <f>Application!CC613</f>
        <v>0</v>
      </c>
      <c r="M29" s="1888">
        <f>Application!CC621+Application!CC630+Application!DH644</f>
        <v>0</v>
      </c>
      <c r="N29" s="1888"/>
      <c r="P29" s="1893">
        <v>1.5</v>
      </c>
      <c r="Q29" s="1893"/>
      <c r="R29" s="1893"/>
      <c r="S29" s="1893"/>
      <c r="T29" s="1893"/>
      <c r="V29" s="1893">
        <f>L29*P29</f>
        <v>0</v>
      </c>
      <c r="W29" s="1893"/>
      <c r="X29" s="1893"/>
    </row>
    <row r="30" spans="1:43">
      <c r="C30" s="918"/>
      <c r="D30" s="918"/>
      <c r="E30" s="916" t="s">
        <v>2135</v>
      </c>
      <c r="J30" s="928"/>
      <c r="L30" s="1889">
        <f>Application!CH613+Application!CM613</f>
        <v>0</v>
      </c>
      <c r="M30" s="1889"/>
      <c r="N30" s="1889"/>
      <c r="P30" s="1893">
        <v>1.75</v>
      </c>
      <c r="Q30" s="1893"/>
      <c r="R30" s="1893">
        <f>1.75+0.25*0</f>
        <v>1.75</v>
      </c>
      <c r="S30" s="1893"/>
      <c r="T30" s="1893"/>
      <c r="V30" s="1894">
        <f>L30*P30</f>
        <v>0</v>
      </c>
      <c r="W30" s="1894"/>
      <c r="X30" s="1894"/>
    </row>
    <row r="31" spans="1:43">
      <c r="C31" s="918"/>
      <c r="D31" s="918"/>
      <c r="L31" s="1908">
        <f>SUM(L26:N30)</f>
        <v>49</v>
      </c>
      <c r="M31" s="1909"/>
      <c r="N31" s="1909"/>
      <c r="V31" s="1897">
        <f>SUM(V26:X30)</f>
        <v>46.300000000000004</v>
      </c>
      <c r="W31" s="1897"/>
      <c r="X31" s="1897"/>
    </row>
    <row r="32" spans="1:43">
      <c r="C32" s="918"/>
      <c r="D32" s="918"/>
      <c r="K32" s="929"/>
    </row>
    <row r="33" spans="1:27">
      <c r="C33" s="921" t="s">
        <v>202</v>
      </c>
      <c r="D33" s="921"/>
      <c r="E33" s="918" t="s">
        <v>2150</v>
      </c>
      <c r="H33" s="930"/>
      <c r="I33" s="931"/>
      <c r="J33" s="932"/>
      <c r="K33" s="929"/>
      <c r="M33" s="917"/>
      <c r="V33" s="1890">
        <f>IF(V31&gt;0,V31/Q22," ")</f>
        <v>1.8520000000000002E-5</v>
      </c>
      <c r="W33" s="1891"/>
      <c r="X33" s="1891"/>
      <c r="Y33" s="1891"/>
      <c r="Z33" s="1891"/>
      <c r="AA33" s="1892"/>
    </row>
    <row r="34" spans="1:27">
      <c r="K34" s="916"/>
      <c r="M34" s="917"/>
    </row>
    <row r="35" spans="1:27">
      <c r="E35" s="918" t="s">
        <v>2156</v>
      </c>
      <c r="F35" s="918"/>
      <c r="G35" s="918"/>
      <c r="H35" s="918"/>
      <c r="I35" s="918"/>
      <c r="J35" s="918"/>
      <c r="K35" s="918"/>
      <c r="L35" s="918"/>
      <c r="M35" s="938"/>
      <c r="N35" s="918"/>
      <c r="O35" s="918"/>
      <c r="P35" s="918"/>
      <c r="Q35" s="918"/>
      <c r="R35" s="918"/>
      <c r="V35" s="1901">
        <f>IF(V31&gt;0,1/V33," ")</f>
        <v>53995.680345572349</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4" priority="1">
      <formula>$U$17=" "</formula>
    </cfRule>
    <cfRule type="expression" dxfId="3"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3" zoomScaleNormal="100" workbookViewId="0">
      <selection activeCell="B52" sqref="B52:E52"/>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2" t="s">
        <v>1953</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2247</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1770</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2337</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2248</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1880</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1881</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1769</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1681</v>
      </c>
      <c r="C29" s="1947"/>
      <c r="D29" s="1947"/>
      <c r="E29" s="1947"/>
      <c r="F29" s="1947"/>
      <c r="G29" s="1947"/>
      <c r="H29" s="380"/>
      <c r="I29" s="380"/>
      <c r="J29" s="380"/>
      <c r="K29" s="380"/>
      <c r="L29" s="380"/>
      <c r="M29" s="380"/>
      <c r="N29" s="380"/>
      <c r="O29" s="1945" t="s">
        <v>1690</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1036</v>
      </c>
      <c r="K32" s="1949">
        <v>1</v>
      </c>
      <c r="M32" s="524"/>
      <c r="O32" s="1946"/>
      <c r="P32" s="1914" t="s">
        <v>2038</v>
      </c>
    </row>
    <row r="33" spans="1:18" ht="15" customHeight="1">
      <c r="B33" s="1912" t="s">
        <v>1685</v>
      </c>
      <c r="C33" s="1912"/>
      <c r="D33" s="1912"/>
      <c r="E33" s="1912"/>
      <c r="F33" s="1912"/>
      <c r="G33" s="1912"/>
      <c r="I33" s="1913"/>
      <c r="J33" s="1914"/>
      <c r="K33" s="1949"/>
      <c r="M33" s="525"/>
      <c r="O33" s="1912" t="s">
        <v>1685</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1673</v>
      </c>
      <c r="C37" s="1934"/>
      <c r="D37" s="1934"/>
      <c r="E37" s="1934"/>
      <c r="F37" s="531"/>
      <c r="G37" s="531"/>
      <c r="H37" s="532"/>
      <c r="I37" s="380"/>
      <c r="J37" s="380"/>
      <c r="Q37" s="380"/>
      <c r="R37" s="380"/>
    </row>
    <row r="38" spans="1:18" ht="15" customHeight="1">
      <c r="B38" s="1928" t="s">
        <v>1691</v>
      </c>
      <c r="C38" s="1928"/>
      <c r="D38" s="1928"/>
      <c r="E38" s="1928"/>
      <c r="F38" s="665"/>
      <c r="G38" s="533">
        <f>D110</f>
        <v>4501393.0492565809</v>
      </c>
      <c r="H38" s="388"/>
      <c r="I38" s="534"/>
      <c r="J38" s="388"/>
      <c r="L38" s="804"/>
      <c r="M38" s="804"/>
      <c r="N38" s="804"/>
      <c r="O38" s="804"/>
      <c r="Q38" s="1911"/>
      <c r="R38" s="1911"/>
    </row>
    <row r="39" spans="1:18" ht="15" customHeight="1">
      <c r="B39" s="1939" t="s">
        <v>1336</v>
      </c>
      <c r="C39" s="1939"/>
      <c r="D39" s="1939"/>
      <c r="E39" s="1939"/>
      <c r="F39" s="665"/>
      <c r="G39" s="647">
        <v>6000000</v>
      </c>
      <c r="H39" s="388"/>
      <c r="I39" s="534"/>
      <c r="J39" s="388"/>
      <c r="L39" s="388"/>
      <c r="M39" s="380"/>
      <c r="N39" s="380"/>
      <c r="O39" s="380"/>
      <c r="Q39" s="535"/>
      <c r="R39" s="535"/>
    </row>
    <row r="40" spans="1:18" ht="15" customHeight="1">
      <c r="B40" s="1939" t="s">
        <v>2547</v>
      </c>
      <c r="C40" s="1939"/>
      <c r="D40" s="1939"/>
      <c r="E40" s="1939"/>
      <c r="F40" s="665"/>
      <c r="G40" s="975">
        <f>3826701</f>
        <v>3826701</v>
      </c>
      <c r="H40" s="388"/>
      <c r="I40" s="534"/>
      <c r="J40" s="388"/>
      <c r="K40" s="1941"/>
      <c r="L40" s="1941"/>
      <c r="M40" s="1941"/>
      <c r="N40" s="1941"/>
      <c r="O40" s="1941"/>
      <c r="Q40" s="1911"/>
      <c r="R40" s="1911"/>
    </row>
    <row r="41" spans="1:18" ht="15" customHeight="1">
      <c r="B41" s="1940" t="s">
        <v>1686</v>
      </c>
      <c r="C41" s="1940"/>
      <c r="D41" s="1940"/>
      <c r="E41" s="1940"/>
      <c r="F41" s="665"/>
      <c r="G41" s="388"/>
      <c r="H41" s="388"/>
      <c r="I41" s="534"/>
      <c r="J41" s="388"/>
      <c r="K41" s="388"/>
      <c r="L41" s="388"/>
      <c r="M41" s="380"/>
      <c r="N41" s="380"/>
      <c r="O41" s="380"/>
      <c r="Q41" s="535"/>
      <c r="R41" s="535"/>
    </row>
    <row r="42" spans="1:18" ht="15" customHeight="1">
      <c r="B42" s="649" t="s">
        <v>2509</v>
      </c>
      <c r="C42" s="649"/>
      <c r="D42" s="643"/>
      <c r="E42" s="667">
        <v>12000000</v>
      </c>
      <c r="F42" s="665"/>
      <c r="G42" s="388"/>
      <c r="H42" s="388"/>
      <c r="I42" s="534"/>
      <c r="J42" s="388"/>
      <c r="K42" s="1941"/>
      <c r="L42" s="1941"/>
      <c r="M42" s="1941"/>
      <c r="N42" s="1941"/>
      <c r="O42" s="1941"/>
      <c r="Q42" s="1911"/>
      <c r="R42" s="1911"/>
    </row>
    <row r="43" spans="1:18" ht="15" customHeight="1">
      <c r="B43" s="649" t="s">
        <v>2510</v>
      </c>
      <c r="C43" s="649"/>
      <c r="D43" s="519"/>
      <c r="E43" s="667">
        <v>3356330</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1"/>
      <c r="R44" s="1911"/>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7" t="s">
        <v>1934</v>
      </c>
      <c r="L46" s="1917"/>
      <c r="M46" s="1917"/>
      <c r="N46" s="1917"/>
      <c r="O46" s="1917"/>
      <c r="Q46" s="1915"/>
      <c r="R46" s="1915"/>
    </row>
    <row r="47" spans="1:18" ht="15" customHeight="1">
      <c r="B47" s="649"/>
      <c r="C47" s="649"/>
      <c r="D47" s="519"/>
      <c r="E47" s="667"/>
      <c r="F47" s="665"/>
      <c r="G47" s="388"/>
      <c r="H47" s="388"/>
      <c r="I47" s="534"/>
      <c r="J47" s="388"/>
      <c r="K47" s="1916" t="s">
        <v>1935</v>
      </c>
      <c r="L47" s="1916"/>
      <c r="M47" s="1916"/>
      <c r="N47" s="1916"/>
      <c r="O47" s="1916"/>
      <c r="Q47" s="1944"/>
      <c r="R47" s="1944"/>
    </row>
    <row r="48" spans="1:18" ht="15" customHeight="1">
      <c r="B48" s="649"/>
      <c r="C48" s="649"/>
      <c r="D48" s="519"/>
      <c r="E48" s="667"/>
      <c r="F48" s="665"/>
      <c r="G48" s="388"/>
      <c r="H48" s="388"/>
      <c r="I48" s="534"/>
      <c r="J48" s="388"/>
      <c r="K48" s="1943" t="s">
        <v>1936</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v>94344</v>
      </c>
      <c r="F51" s="665"/>
      <c r="G51" s="388"/>
      <c r="H51" s="388"/>
      <c r="I51" s="534"/>
      <c r="J51" s="388"/>
    </row>
    <row r="52" spans="1:29" ht="15" customHeight="1">
      <c r="B52" s="1928" t="s">
        <v>1682</v>
      </c>
      <c r="C52" s="1928"/>
      <c r="D52" s="1928"/>
      <c r="E52" s="1928"/>
      <c r="F52" s="665"/>
      <c r="G52" s="533">
        <f>SUM(E42:E49)-ABS(E50)-ABS(E51)</f>
        <v>15261986</v>
      </c>
      <c r="H52" s="388"/>
      <c r="I52" s="534"/>
      <c r="J52" s="388"/>
    </row>
    <row r="53" spans="1:29" ht="15" customHeight="1">
      <c r="C53" s="538"/>
      <c r="D53" s="538" t="s">
        <v>916</v>
      </c>
      <c r="E53" s="538"/>
      <c r="F53" s="538"/>
      <c r="G53" s="539">
        <f>SUM(G38:G40)+G52</f>
        <v>29590080.049256582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7" t="s">
        <v>1317</v>
      </c>
      <c r="C56" s="1927"/>
      <c r="D56" s="665"/>
      <c r="E56" s="665"/>
      <c r="F56" s="665"/>
      <c r="G56" s="665"/>
      <c r="H56" s="665"/>
      <c r="I56" s="665"/>
      <c r="J56" s="665"/>
      <c r="K56" s="665"/>
      <c r="L56" s="665"/>
      <c r="M56" s="665"/>
      <c r="N56" s="665"/>
      <c r="O56" s="665"/>
      <c r="P56" s="665"/>
      <c r="U56" s="769" t="s">
        <v>1875</v>
      </c>
      <c r="AC56" s="798">
        <v>0.2</v>
      </c>
    </row>
    <row r="57" spans="1:29" ht="15" customHeight="1">
      <c r="A57" s="536"/>
      <c r="B57" s="1926" t="s">
        <v>1676</v>
      </c>
      <c r="C57" s="1926"/>
      <c r="D57" s="1926"/>
      <c r="E57" s="1926"/>
      <c r="F57" s="1926"/>
      <c r="G57" s="1926"/>
      <c r="H57" s="1926"/>
      <c r="I57" s="1926"/>
      <c r="J57" s="1926"/>
      <c r="K57" s="1926"/>
      <c r="L57" s="1926"/>
      <c r="M57" s="1926"/>
      <c r="N57" s="1926"/>
      <c r="O57" s="1926"/>
      <c r="P57" s="665"/>
      <c r="U57" s="769" t="s">
        <v>1876</v>
      </c>
      <c r="AC57" s="798">
        <v>0.1</v>
      </c>
    </row>
    <row r="58" spans="1:29" ht="15" customHeight="1">
      <c r="B58" s="1934" t="s">
        <v>1675</v>
      </c>
      <c r="C58" s="1935"/>
      <c r="D58" s="1935"/>
      <c r="E58" s="1935"/>
      <c r="F58" s="541"/>
      <c r="G58" s="541"/>
      <c r="H58" s="531"/>
      <c r="I58" s="531"/>
      <c r="J58" s="1936">
        <f>('Sources and Uses Budget'!D104+Q47)/('Sources and Uses Budget'!B104+Q48)</f>
        <v>4.859657808778306E-2</v>
      </c>
      <c r="K58" s="1937"/>
      <c r="L58" s="1937"/>
      <c r="M58" s="1937"/>
      <c r="N58" s="1938"/>
      <c r="O58" s="531"/>
      <c r="P58" s="531"/>
      <c r="U58" s="769" t="s">
        <v>1877</v>
      </c>
      <c r="AC58" s="798">
        <v>0.1</v>
      </c>
    </row>
    <row r="59" spans="1:29" ht="15" customHeight="1">
      <c r="B59" s="1925" t="s">
        <v>2249</v>
      </c>
      <c r="C59" s="1925"/>
      <c r="D59" s="1925"/>
      <c r="E59" s="1925"/>
      <c r="F59" s="1925"/>
      <c r="G59" s="1925"/>
      <c r="H59" s="1925"/>
      <c r="I59" s="1925"/>
      <c r="J59" s="1925"/>
      <c r="K59" s="1925"/>
      <c r="L59" s="1925"/>
      <c r="M59" s="1925"/>
      <c r="N59" s="1925"/>
      <c r="O59" s="1925"/>
      <c r="P59" s="531"/>
      <c r="U59" s="769" t="s">
        <v>1878</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1677</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2251</v>
      </c>
      <c r="K63" s="1931"/>
      <c r="L63" s="1931"/>
      <c r="M63" s="1931"/>
      <c r="N63" s="1931"/>
      <c r="O63" s="1931"/>
      <c r="P63" s="1931"/>
      <c r="Q63" s="1931"/>
      <c r="R63" s="1931"/>
      <c r="U63" s="1950">
        <f>IF(J67="Non-rural project, Census Tract is High Resource (10 percentage points)",AC57,0)</f>
        <v>0</v>
      </c>
    </row>
    <row r="64" spans="1:29" ht="15" customHeight="1" thickBot="1">
      <c r="B64" s="1927" t="s">
        <v>1687</v>
      </c>
      <c r="C64" s="1927"/>
      <c r="D64" s="380"/>
      <c r="F64" s="380"/>
      <c r="G64" s="538" t="s">
        <v>1937</v>
      </c>
      <c r="H64" s="380"/>
      <c r="I64" s="775"/>
      <c r="J64" s="1932"/>
      <c r="K64" s="1933"/>
      <c r="L64" s="1933"/>
      <c r="M64" s="1933"/>
      <c r="N64" s="1933"/>
      <c r="O64" s="1933"/>
      <c r="P64" s="1933"/>
      <c r="Q64" s="1933"/>
      <c r="R64" s="1933"/>
      <c r="U64" s="1951"/>
    </row>
    <row r="65" spans="1:22" ht="15" customHeight="1">
      <c r="B65" s="542" t="s">
        <v>1680</v>
      </c>
      <c r="C65" s="527" t="str">
        <f>IF(Application!M349="Yes","Yes","No")</f>
        <v>Yes</v>
      </c>
      <c r="E65" s="807"/>
      <c r="F65" s="807"/>
      <c r="G65" s="538" t="s">
        <v>1939</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1757</v>
      </c>
      <c r="C66" s="653">
        <f>Application!AG430-Application!AG431</f>
        <v>50</v>
      </c>
      <c r="D66" s="807"/>
      <c r="E66" s="543" t="s">
        <v>1940</v>
      </c>
      <c r="F66" s="807"/>
      <c r="G66" s="670"/>
      <c r="H66" s="544"/>
      <c r="I66" s="776"/>
      <c r="J66" s="1932"/>
      <c r="K66" s="1933"/>
      <c r="L66" s="1933"/>
      <c r="M66" s="1933"/>
      <c r="N66" s="1933"/>
      <c r="O66" s="1933"/>
      <c r="P66" s="1933"/>
      <c r="Q66" s="1933"/>
      <c r="R66" s="1933"/>
      <c r="U66" s="1951"/>
    </row>
    <row r="67" spans="1:22" ht="15" customHeight="1">
      <c r="B67" s="543" t="s">
        <v>1674</v>
      </c>
      <c r="C67" s="654">
        <f>MIN(IF(AND(C65="Yes",G67&gt;=50),(0.75+(G67/200)),1),1.5)</f>
        <v>1</v>
      </c>
      <c r="D67" s="544"/>
      <c r="E67" s="543" t="s">
        <v>1758</v>
      </c>
      <c r="G67" s="653">
        <f>C66+G66</f>
        <v>50</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1684</v>
      </c>
      <c r="C70" s="523"/>
      <c r="D70" s="523"/>
      <c r="E70" s="523"/>
      <c r="F70" s="523"/>
      <c r="G70" s="523"/>
      <c r="U70" s="1955"/>
      <c r="V70" s="377" t="s">
        <v>1879</v>
      </c>
    </row>
    <row r="71" spans="1:22" ht="15" customHeight="1">
      <c r="B71" s="1928" t="s">
        <v>1688</v>
      </c>
      <c r="C71" s="1928"/>
      <c r="D71" s="1928"/>
      <c r="E71" s="523"/>
      <c r="F71" s="523"/>
      <c r="G71" s="533">
        <f>G53*(1-J58)</f>
        <v>28152103.413519133</v>
      </c>
      <c r="J71" s="545"/>
      <c r="K71" s="702" t="s">
        <v>1690</v>
      </c>
      <c r="L71" s="702"/>
      <c r="M71" s="702"/>
      <c r="N71" s="702"/>
      <c r="O71" s="702"/>
      <c r="Q71" s="1917">
        <f>'Basis &amp; Credits'!T23+'Basis &amp; Credits'!Y23+'Basis &amp; Credits'!AD23+'Basis &amp; Credits'!AI23</f>
        <v>37087715.646808423</v>
      </c>
      <c r="R71" s="1917"/>
    </row>
    <row r="72" spans="1:22" ht="15" customHeight="1">
      <c r="B72" s="1919" t="s">
        <v>1689</v>
      </c>
      <c r="C72" s="1919"/>
      <c r="D72" s="1919"/>
      <c r="E72" s="523"/>
      <c r="F72" s="523"/>
      <c r="G72" s="533">
        <f>G71*C67</f>
        <v>28152103.413519133</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28152103.413519133</v>
      </c>
      <c r="C75" s="1921"/>
      <c r="D75" s="1921"/>
      <c r="E75" s="1921"/>
      <c r="F75" s="1921"/>
      <c r="G75" s="1921"/>
      <c r="H75" s="546"/>
      <c r="I75" s="1913" t="s">
        <v>149</v>
      </c>
      <c r="J75" s="1914" t="s">
        <v>1036</v>
      </c>
      <c r="K75" s="1913">
        <v>1</v>
      </c>
      <c r="M75" s="399"/>
      <c r="N75" s="525"/>
      <c r="O75" s="672">
        <f>$Q$71</f>
        <v>37087715.646808423</v>
      </c>
      <c r="P75" s="1914" t="s">
        <v>2038</v>
      </c>
      <c r="Q75" s="1922" t="s">
        <v>148</v>
      </c>
      <c r="R75" s="1952">
        <f>((B75/B76)+((1-(O75/O76))/2))+U69</f>
        <v>0.66905676064892861</v>
      </c>
    </row>
    <row r="76" spans="1:22" ht="15" customHeight="1" thickBot="1">
      <c r="B76" s="1923">
        <f>'Sources and Uses Budget'!$C$104+$Q$46-($E$50+$E$51)*(1-$J$58)</f>
        <v>56834435.684402265</v>
      </c>
      <c r="C76" s="1924"/>
      <c r="D76" s="1924"/>
      <c r="E76" s="1924"/>
      <c r="F76" s="1924"/>
      <c r="G76" s="1923"/>
      <c r="I76" s="1913"/>
      <c r="J76" s="1914"/>
      <c r="K76" s="1913"/>
      <c r="M76" s="663"/>
      <c r="O76" s="671">
        <f>B76</f>
        <v>56834435.684402265</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5"/>
      <c r="R84" s="1915"/>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1061</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1037</v>
      </c>
      <c r="I88" s="534"/>
      <c r="K88" s="773" t="s">
        <v>1696</v>
      </c>
      <c r="L88" s="666"/>
      <c r="M88" s="666"/>
      <c r="N88" s="666"/>
      <c r="O88" s="666"/>
      <c r="P88" s="666"/>
    </row>
    <row r="89" spans="2:18" ht="15" customHeight="1">
      <c r="B89" s="547" t="s">
        <v>1030</v>
      </c>
      <c r="C89" s="548" t="s">
        <v>1031</v>
      </c>
      <c r="D89" s="792" t="s">
        <v>1885</v>
      </c>
      <c r="E89" s="792" t="s">
        <v>1952</v>
      </c>
      <c r="F89" s="526"/>
      <c r="G89" s="526" t="s">
        <v>1886</v>
      </c>
      <c r="I89" s="534"/>
      <c r="K89" s="773" t="s">
        <v>1698</v>
      </c>
      <c r="L89" s="699"/>
      <c r="M89" s="699"/>
      <c r="N89" s="699"/>
      <c r="O89" s="699"/>
      <c r="P89" s="699"/>
      <c r="Q89" s="1915"/>
      <c r="R89" s="1915"/>
    </row>
    <row r="90" spans="2:18" ht="15" customHeight="1">
      <c r="B90" s="511" t="s">
        <v>651</v>
      </c>
      <c r="C90" s="512">
        <v>21</v>
      </c>
      <c r="D90" s="513">
        <v>885</v>
      </c>
      <c r="E90" s="513">
        <v>2445</v>
      </c>
      <c r="F90" s="555"/>
      <c r="G90" s="388">
        <f>MAX(($E90-$D90)*$C90*12,0)</f>
        <v>393120</v>
      </c>
      <c r="I90" s="534"/>
      <c r="K90" s="773" t="s">
        <v>1699</v>
      </c>
      <c r="L90" s="699"/>
      <c r="M90" s="699"/>
      <c r="N90" s="699"/>
      <c r="O90" s="699"/>
      <c r="P90" s="699"/>
      <c r="Q90" s="1918"/>
      <c r="R90" s="1918"/>
    </row>
    <row r="91" spans="2:18" ht="15" customHeight="1">
      <c r="B91" s="511" t="s">
        <v>2511</v>
      </c>
      <c r="C91" s="512">
        <v>3</v>
      </c>
      <c r="D91" s="513">
        <v>948</v>
      </c>
      <c r="E91" s="513">
        <v>2764</v>
      </c>
      <c r="F91" s="555"/>
      <c r="G91" s="388">
        <f t="shared" ref="G91:G97" si="0">MAX(($E91-$D91)*$C91*12,0)</f>
        <v>65376</v>
      </c>
      <c r="I91" s="534"/>
      <c r="K91" s="773" t="s">
        <v>1702</v>
      </c>
      <c r="L91" s="699"/>
      <c r="M91" s="699"/>
      <c r="N91" s="699"/>
      <c r="O91" s="699"/>
      <c r="P91" s="699"/>
      <c r="Q91" s="1916">
        <f>IFERROR(Q89/Q90,0)</f>
        <v>0</v>
      </c>
      <c r="R91" s="1916"/>
    </row>
    <row r="92" spans="2:18" ht="15" customHeight="1">
      <c r="B92" s="511" t="s">
        <v>2512</v>
      </c>
      <c r="C92" s="512">
        <v>1</v>
      </c>
      <c r="D92" s="513">
        <v>1137</v>
      </c>
      <c r="E92" s="513">
        <v>3235</v>
      </c>
      <c r="F92" s="555"/>
      <c r="G92" s="388">
        <f t="shared" si="0"/>
        <v>25176</v>
      </c>
      <c r="I92" s="534"/>
    </row>
    <row r="93" spans="2:18" ht="15" customHeight="1">
      <c r="B93" s="511" t="s">
        <v>651</v>
      </c>
      <c r="C93" s="512"/>
      <c r="D93" s="513"/>
      <c r="E93" s="513"/>
      <c r="F93" s="555"/>
      <c r="G93" s="388">
        <f t="shared" si="0"/>
        <v>0</v>
      </c>
      <c r="I93" s="534"/>
      <c r="K93" s="380" t="s">
        <v>1703</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1793</v>
      </c>
      <c r="F98" s="543"/>
      <c r="G98" s="539">
        <f>SUM(G90:G97)</f>
        <v>483672</v>
      </c>
      <c r="I98" s="534"/>
    </row>
    <row r="99" spans="2:9" ht="15" customHeight="1">
      <c r="I99" s="534"/>
    </row>
    <row r="100" spans="2:9" ht="15" customHeight="1">
      <c r="B100" s="380" t="s">
        <v>1700</v>
      </c>
      <c r="D100" s="535">
        <f>G98+Q93</f>
        <v>483672</v>
      </c>
      <c r="I100" s="534"/>
    </row>
    <row r="101" spans="2:9" ht="15" customHeight="1">
      <c r="B101" s="380" t="s">
        <v>1032</v>
      </c>
      <c r="D101" s="551">
        <v>0.05</v>
      </c>
      <c r="I101" s="534"/>
    </row>
    <row r="102" spans="2:9" ht="15" customHeight="1">
      <c r="B102" s="380" t="s">
        <v>1062</v>
      </c>
      <c r="D102" s="535">
        <f>D100-(D100*D101)</f>
        <v>459488.4</v>
      </c>
    </row>
    <row r="103" spans="2:9" ht="15" customHeight="1">
      <c r="B103" s="380" t="s">
        <v>1692</v>
      </c>
      <c r="D103" s="552"/>
    </row>
    <row r="104" spans="2:9" ht="15" customHeight="1">
      <c r="B104" s="380" t="s">
        <v>1701</v>
      </c>
      <c r="D104" s="535">
        <f>D102/D108</f>
        <v>399555.13043478265</v>
      </c>
    </row>
    <row r="106" spans="2:9" ht="15" customHeight="1">
      <c r="B106" s="380" t="s">
        <v>1693</v>
      </c>
      <c r="D106" s="380">
        <v>15</v>
      </c>
    </row>
    <row r="107" spans="2:9" ht="15" customHeight="1">
      <c r="B107" s="380" t="s">
        <v>1694</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1695</v>
      </c>
      <c r="C110" s="380"/>
      <c r="D110" s="652">
        <f>PV(D107/12,D106*12,-D104/12, ,0)</f>
        <v>4501393.0492565809</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37" zoomScale="80" zoomScaleNormal="80" workbookViewId="0">
      <selection activeCell="E67" sqref="E6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722796</v>
      </c>
      <c r="F4" s="388"/>
      <c r="G4" s="388">
        <f>E4*$C$4</f>
        <v>740865.89999999991</v>
      </c>
      <c r="H4" s="388"/>
      <c r="I4" s="388">
        <f>G4*$C$4</f>
        <v>759387.54749999987</v>
      </c>
      <c r="J4" s="388"/>
      <c r="K4" s="388">
        <f>I4*$C$4</f>
        <v>778372.23618749983</v>
      </c>
      <c r="L4" s="388"/>
      <c r="M4" s="388">
        <f>K4*$C$4</f>
        <v>797831.54209218721</v>
      </c>
      <c r="N4" s="388"/>
      <c r="O4" s="388">
        <f>M4*$C$4</f>
        <v>817777.33064449183</v>
      </c>
      <c r="P4" s="388"/>
      <c r="Q4" s="388">
        <f>O4*$C$4</f>
        <v>838221.76391060406</v>
      </c>
      <c r="R4" s="388"/>
      <c r="S4" s="388">
        <f>Q4*$C$4</f>
        <v>859177.30800836906</v>
      </c>
      <c r="T4" s="388"/>
      <c r="U4" s="388">
        <f>S4*$C$4</f>
        <v>880656.74070857826</v>
      </c>
      <c r="V4" s="388"/>
      <c r="W4" s="388">
        <f>U4*$C$4</f>
        <v>902673.15922629263</v>
      </c>
      <c r="X4" s="388"/>
      <c r="Y4" s="388">
        <f>W4*$C$4</f>
        <v>925239.9882069499</v>
      </c>
      <c r="Z4" s="388"/>
      <c r="AA4" s="388">
        <f>Y4*$C$4</f>
        <v>948370.98791212356</v>
      </c>
      <c r="AB4" s="388"/>
      <c r="AC4" s="388">
        <f>AA4*$C$4</f>
        <v>972080.26260992652</v>
      </c>
      <c r="AD4" s="388"/>
      <c r="AE4" s="388">
        <f>AC4*$C$4</f>
        <v>996382.26917517465</v>
      </c>
      <c r="AF4" s="388"/>
      <c r="AG4" s="388">
        <f>AE4*$C$4</f>
        <v>1021291.8259045539</v>
      </c>
      <c r="AH4" s="388"/>
    </row>
    <row r="5" spans="1:34" ht="14.25">
      <c r="A5" s="380"/>
      <c r="B5" s="380" t="s">
        <v>1032</v>
      </c>
      <c r="C5" s="412">
        <f>[4]EVERYTHING!$S$24</f>
        <v>6.6326530612244902E-2</v>
      </c>
      <c r="D5" s="380"/>
      <c r="E5" s="390">
        <f>-E4*$C$5</f>
        <v>-47940.551020408166</v>
      </c>
      <c r="F5" s="390"/>
      <c r="G5" s="390">
        <f>-G4*$C$5</f>
        <v>-49139.064795918363</v>
      </c>
      <c r="H5" s="390"/>
      <c r="I5" s="390">
        <f>-I4*$C$5</f>
        <v>-50367.541415816318</v>
      </c>
      <c r="J5" s="390"/>
      <c r="K5" s="390">
        <f>-K4*$C$5</f>
        <v>-51626.729951211724</v>
      </c>
      <c r="L5" s="390"/>
      <c r="M5" s="390">
        <f>-M4*$C$5</f>
        <v>-52917.398199992014</v>
      </c>
      <c r="N5" s="390"/>
      <c r="O5" s="390">
        <f>-O4*$C$5</f>
        <v>-54240.333154991808</v>
      </c>
      <c r="P5" s="390"/>
      <c r="Q5" s="390">
        <f>-Q4*$C$5</f>
        <v>-55596.341483866599</v>
      </c>
      <c r="R5" s="390"/>
      <c r="S5" s="390">
        <f>-S4*$C$5</f>
        <v>-56986.250020963256</v>
      </c>
      <c r="T5" s="390"/>
      <c r="U5" s="390">
        <f>-U4*$C$5</f>
        <v>-58410.906271487336</v>
      </c>
      <c r="V5" s="390"/>
      <c r="W5" s="390">
        <f>-W4*$C$5</f>
        <v>-59871.178928274516</v>
      </c>
      <c r="X5" s="390"/>
      <c r="Y5" s="390">
        <f>-Y4*$C$5</f>
        <v>-61367.958401481374</v>
      </c>
      <c r="Z5" s="390"/>
      <c r="AA5" s="390">
        <f>-AA4*$C$5</f>
        <v>-62902.157361518402</v>
      </c>
      <c r="AB5" s="390"/>
      <c r="AC5" s="390">
        <f>-AC4*$C$5</f>
        <v>-64474.711295556357</v>
      </c>
      <c r="AD5" s="390"/>
      <c r="AE5" s="390">
        <f>-AE4*$C$5</f>
        <v>-66086.579077945265</v>
      </c>
      <c r="AF5" s="390"/>
      <c r="AG5" s="390">
        <f>-AG4*$C$5</f>
        <v>-67738.743554893881</v>
      </c>
      <c r="AH5" s="380"/>
    </row>
    <row r="6" spans="1:34" ht="14.25">
      <c r="A6" s="380" t="s">
        <v>1121</v>
      </c>
      <c r="B6" s="380"/>
      <c r="C6" s="411">
        <v>1.0249999999999999</v>
      </c>
      <c r="D6" s="380"/>
      <c r="E6" s="391">
        <f>Application!Z773</f>
        <v>464472</v>
      </c>
      <c r="F6" s="391"/>
      <c r="G6" s="391">
        <f>E6*$C$6</f>
        <v>476083.79999999993</v>
      </c>
      <c r="H6" s="391"/>
      <c r="I6" s="391">
        <f>G6*$C$6</f>
        <v>487985.8949999999</v>
      </c>
      <c r="J6" s="391"/>
      <c r="K6" s="391">
        <f>I6*$C$6</f>
        <v>500185.54237499984</v>
      </c>
      <c r="L6" s="391"/>
      <c r="M6" s="391">
        <f>K6*$C$6</f>
        <v>512690.1809343748</v>
      </c>
      <c r="N6" s="391"/>
      <c r="O6" s="391">
        <f>M6*$C$6</f>
        <v>525507.43545773416</v>
      </c>
      <c r="P6" s="391"/>
      <c r="Q6" s="391">
        <f>O6*$C$6</f>
        <v>538645.12134417752</v>
      </c>
      <c r="R6" s="391"/>
      <c r="S6" s="391">
        <f>Q6*$C$6</f>
        <v>552111.24937778187</v>
      </c>
      <c r="T6" s="391"/>
      <c r="U6" s="391">
        <f>S6*$C$6</f>
        <v>565914.03061222634</v>
      </c>
      <c r="V6" s="391"/>
      <c r="W6" s="391">
        <f>U6*$C$6</f>
        <v>580061.88137753191</v>
      </c>
      <c r="X6" s="391"/>
      <c r="Y6" s="391">
        <f>W6*$C$6</f>
        <v>594563.42841197015</v>
      </c>
      <c r="Z6" s="391"/>
      <c r="AA6" s="391">
        <f>Y6*$C$6</f>
        <v>609427.51412226935</v>
      </c>
      <c r="AB6" s="391"/>
      <c r="AC6" s="391">
        <f>AA6*$C$6</f>
        <v>624663.20197532605</v>
      </c>
      <c r="AD6" s="391"/>
      <c r="AE6" s="391">
        <f>AC6*$C$6</f>
        <v>640279.78202470916</v>
      </c>
      <c r="AF6" s="391"/>
      <c r="AG6" s="391">
        <f>AE6*$C$6</f>
        <v>656286.7765753268</v>
      </c>
      <c r="AH6" s="380"/>
    </row>
    <row r="7" spans="1:34" ht="14.25">
      <c r="A7" s="380"/>
      <c r="B7" s="380" t="s">
        <v>1032</v>
      </c>
      <c r="C7" s="412">
        <v>0.05</v>
      </c>
      <c r="D7" s="380"/>
      <c r="E7" s="390">
        <f>-E6*$C$7</f>
        <v>-23223.600000000002</v>
      </c>
      <c r="F7" s="390"/>
      <c r="G7" s="390">
        <f>-G6*$C$7</f>
        <v>-23804.19</v>
      </c>
      <c r="H7" s="390"/>
      <c r="I7" s="390">
        <f>-I6*$C$7</f>
        <v>-24399.294749999997</v>
      </c>
      <c r="J7" s="390"/>
      <c r="K7" s="390">
        <f>-K6*$C$7</f>
        <v>-25009.277118749993</v>
      </c>
      <c r="L7" s="390"/>
      <c r="M7" s="390">
        <f>-M6*$C$7</f>
        <v>-25634.50904671874</v>
      </c>
      <c r="N7" s="390"/>
      <c r="O7" s="390">
        <f>-O6*$C$7</f>
        <v>-26275.371772886709</v>
      </c>
      <c r="P7" s="390"/>
      <c r="Q7" s="390">
        <f>-Q6*$C$7</f>
        <v>-26932.256067208877</v>
      </c>
      <c r="R7" s="390"/>
      <c r="S7" s="390">
        <f>-S6*$C$7</f>
        <v>-27605.562468889097</v>
      </c>
      <c r="T7" s="390"/>
      <c r="U7" s="390">
        <f>-U6*$C$7</f>
        <v>-28295.701530611317</v>
      </c>
      <c r="V7" s="390"/>
      <c r="W7" s="390">
        <f>-W6*$C$7</f>
        <v>-29003.094068876599</v>
      </c>
      <c r="X7" s="390"/>
      <c r="Y7" s="390">
        <f>-Y6*$C$7</f>
        <v>-29728.171420598508</v>
      </c>
      <c r="Z7" s="390"/>
      <c r="AA7" s="390">
        <f>-AA6*$C$7</f>
        <v>-30471.375706113467</v>
      </c>
      <c r="AB7" s="390"/>
      <c r="AC7" s="390">
        <f>-AC6*$C$7</f>
        <v>-31233.160098766304</v>
      </c>
      <c r="AD7" s="390"/>
      <c r="AE7" s="390">
        <f>-AE6*$C$7</f>
        <v>-32013.98910123546</v>
      </c>
      <c r="AF7" s="390"/>
      <c r="AG7" s="390">
        <f>-AG6*$C$7</f>
        <v>-32814.33882876634</v>
      </c>
      <c r="AH7" s="380"/>
    </row>
    <row r="8" spans="1:34" ht="14.25">
      <c r="A8" s="380" t="s">
        <v>276</v>
      </c>
      <c r="B8" s="380"/>
      <c r="C8" s="411">
        <v>1.0249999999999999</v>
      </c>
      <c r="D8" s="380"/>
      <c r="E8" s="391">
        <f>Application!Z781</f>
        <v>5401</v>
      </c>
      <c r="F8" s="391"/>
      <c r="G8" s="391">
        <f>E8*$C$8</f>
        <v>5536.0249999999996</v>
      </c>
      <c r="H8" s="391"/>
      <c r="I8" s="391">
        <f>G8*$C$8</f>
        <v>5674.4256249999989</v>
      </c>
      <c r="J8" s="391"/>
      <c r="K8" s="391">
        <f>I8*$C$8</f>
        <v>5816.2862656249981</v>
      </c>
      <c r="L8" s="391"/>
      <c r="M8" s="391">
        <f>K8*$C$8</f>
        <v>5961.6934222656228</v>
      </c>
      <c r="N8" s="391"/>
      <c r="O8" s="391">
        <f>M8*$C$8</f>
        <v>6110.7357578222627</v>
      </c>
      <c r="P8" s="391"/>
      <c r="Q8" s="391">
        <f>O8*$C$8</f>
        <v>6263.5041517678192</v>
      </c>
      <c r="R8" s="391"/>
      <c r="S8" s="391">
        <f>Q8*$C$8</f>
        <v>6420.0917555620144</v>
      </c>
      <c r="T8" s="391"/>
      <c r="U8" s="391">
        <f>S8*$C$8</f>
        <v>6580.5940494510642</v>
      </c>
      <c r="V8" s="391"/>
      <c r="W8" s="391">
        <f>U8*$C$8</f>
        <v>6745.1089006873399</v>
      </c>
      <c r="X8" s="391"/>
      <c r="Y8" s="391">
        <f>W8*$C$8</f>
        <v>6913.7366232045224</v>
      </c>
      <c r="Z8" s="391"/>
      <c r="AA8" s="391">
        <f>Y8*$C$8</f>
        <v>7086.5800387846348</v>
      </c>
      <c r="AB8" s="391"/>
      <c r="AC8" s="391">
        <f>AA8*$C$8</f>
        <v>7263.7445397542497</v>
      </c>
      <c r="AD8" s="391"/>
      <c r="AE8" s="391">
        <f>AC8*$C$8</f>
        <v>7445.3381532481053</v>
      </c>
      <c r="AF8" s="391"/>
      <c r="AG8" s="391">
        <f>AE8*$C$8</f>
        <v>7631.4716070793074</v>
      </c>
      <c r="AH8" s="380"/>
    </row>
    <row r="9" spans="1:34" ht="14.25">
      <c r="A9" s="380"/>
      <c r="B9" s="380" t="s">
        <v>1032</v>
      </c>
      <c r="C9" s="412">
        <f>C5</f>
        <v>6.6326530612244902E-2</v>
      </c>
      <c r="D9" s="380"/>
      <c r="E9" s="390">
        <f>-E8*$C$9</f>
        <v>-358.2295918367347</v>
      </c>
      <c r="F9" s="390"/>
      <c r="G9" s="390">
        <f>-G8*$C$9</f>
        <v>-367.18533163265306</v>
      </c>
      <c r="H9" s="390"/>
      <c r="I9" s="390">
        <f>-I8*$C$9</f>
        <v>-376.36496492346936</v>
      </c>
      <c r="J9" s="390"/>
      <c r="K9" s="390">
        <f>-K8*$C$9</f>
        <v>-385.77408904655601</v>
      </c>
      <c r="L9" s="390"/>
      <c r="M9" s="390">
        <f>-M8*$C$9</f>
        <v>-395.41844127271992</v>
      </c>
      <c r="N9" s="390"/>
      <c r="O9" s="390">
        <f>-O8*$C$9</f>
        <v>-405.30390230453787</v>
      </c>
      <c r="P9" s="390"/>
      <c r="Q9" s="390">
        <f>-Q8*$C$9</f>
        <v>-415.43649986215132</v>
      </c>
      <c r="R9" s="390"/>
      <c r="S9" s="390">
        <f>-S8*$C$9</f>
        <v>-425.82241235870509</v>
      </c>
      <c r="T9" s="390"/>
      <c r="U9" s="390">
        <f>-U8*$C$9</f>
        <v>-436.46797266767265</v>
      </c>
      <c r="V9" s="390"/>
      <c r="W9" s="390">
        <f>-W8*$C$9</f>
        <v>-447.37967198436439</v>
      </c>
      <c r="X9" s="390"/>
      <c r="Y9" s="390">
        <f>-Y8*$C$9</f>
        <v>-458.56416378397347</v>
      </c>
      <c r="Z9" s="390"/>
      <c r="AA9" s="390">
        <f>-AA8*$C$9</f>
        <v>-470.02826787857276</v>
      </c>
      <c r="AB9" s="390"/>
      <c r="AC9" s="390">
        <f>-AC8*$C$9</f>
        <v>-481.77897457553701</v>
      </c>
      <c r="AD9" s="390"/>
      <c r="AE9" s="390">
        <f>-AE8*$C$9</f>
        <v>-493.82344893992536</v>
      </c>
      <c r="AF9" s="390"/>
      <c r="AG9" s="390">
        <f>-AG8*$C$9</f>
        <v>-506.16903516342347</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1121146.6193877552</v>
      </c>
      <c r="F11" s="392"/>
      <c r="G11" s="392">
        <f>SUM(G4:G10)</f>
        <v>1149175.2848724488</v>
      </c>
      <c r="H11" s="392"/>
      <c r="I11" s="392">
        <f>SUM(I4:I10)</f>
        <v>1177904.6669942602</v>
      </c>
      <c r="J11" s="392"/>
      <c r="K11" s="392">
        <f>SUM(K4:K10)</f>
        <v>1207352.2836691164</v>
      </c>
      <c r="L11" s="392"/>
      <c r="M11" s="392">
        <f>SUM(M4:M10)</f>
        <v>1237536.0907608441</v>
      </c>
      <c r="N11" s="392"/>
      <c r="O11" s="392">
        <f>SUM(O4:O10)</f>
        <v>1268474.4930298652</v>
      </c>
      <c r="P11" s="392"/>
      <c r="Q11" s="392">
        <f>SUM(Q4:Q10)</f>
        <v>1300186.3553556115</v>
      </c>
      <c r="R11" s="392"/>
      <c r="S11" s="392">
        <f>SUM(S4:S10)</f>
        <v>1332691.0142395019</v>
      </c>
      <c r="T11" s="392"/>
      <c r="U11" s="392">
        <f>SUM(U4:U10)</f>
        <v>1366008.2895954894</v>
      </c>
      <c r="V11" s="392"/>
      <c r="W11" s="392">
        <f>SUM(W4:W10)</f>
        <v>1400158.4968353764</v>
      </c>
      <c r="X11" s="392"/>
      <c r="Y11" s="392">
        <f>SUM(Y4:Y10)</f>
        <v>1435162.4592562609</v>
      </c>
      <c r="Z11" s="392"/>
      <c r="AA11" s="392">
        <f>SUM(AA4:AA10)</f>
        <v>1471041.5207376671</v>
      </c>
      <c r="AB11" s="392"/>
      <c r="AC11" s="392">
        <f>SUM(AC4:AC10)</f>
        <v>1507817.5587561089</v>
      </c>
      <c r="AD11" s="392"/>
      <c r="AE11" s="392">
        <f>SUM(AE4:AE10)</f>
        <v>1545512.9977250113</v>
      </c>
      <c r="AF11" s="392"/>
      <c r="AG11" s="392">
        <f>SUM(AG4:AG10)</f>
        <v>1584150.8226681363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72360</v>
      </c>
      <c r="F15" s="388"/>
      <c r="G15" s="388">
        <f t="shared" ref="G15:G21" si="0">E15*$C$14</f>
        <v>74892.599999999991</v>
      </c>
      <c r="H15" s="388"/>
      <c r="I15" s="388">
        <f t="shared" ref="I15:I21" si="1">G15*$C$14</f>
        <v>77513.840999999986</v>
      </c>
      <c r="J15" s="388"/>
      <c r="K15" s="388">
        <f t="shared" ref="K15:K21" si="2">I15*$C$14</f>
        <v>80226.825434999977</v>
      </c>
      <c r="L15" s="388"/>
      <c r="M15" s="388">
        <f t="shared" ref="M15:M21" si="3">K15*$C$14</f>
        <v>83034.764325224969</v>
      </c>
      <c r="N15" s="388"/>
      <c r="O15" s="388">
        <f t="shared" ref="O15:O21" si="4">M15*$C$14</f>
        <v>85940.98107660783</v>
      </c>
      <c r="P15" s="388"/>
      <c r="Q15" s="388">
        <f t="shared" ref="Q15:Q21" si="5">O15*$C$14</f>
        <v>88948.915414289091</v>
      </c>
      <c r="R15" s="388"/>
      <c r="S15" s="388">
        <f t="shared" ref="S15:S21" si="6">Q15*$C$14</f>
        <v>92062.127453789202</v>
      </c>
      <c r="T15" s="388"/>
      <c r="U15" s="388">
        <f t="shared" ref="U15:U21" si="7">S15*$C$14</f>
        <v>95284.301914671814</v>
      </c>
      <c r="V15" s="388"/>
      <c r="W15" s="388">
        <f t="shared" ref="W15:W21" si="8">U15*$C$14</f>
        <v>98619.252481685326</v>
      </c>
      <c r="X15" s="388"/>
      <c r="Y15" s="388">
        <f t="shared" ref="Y15:Y21" si="9">W15*$C$14</f>
        <v>102070.9263185443</v>
      </c>
      <c r="Z15" s="388"/>
      <c r="AA15" s="388">
        <f t="shared" ref="AA15:AA21" si="10">Y15*$C$14</f>
        <v>105643.40873969335</v>
      </c>
      <c r="AB15" s="388"/>
      <c r="AC15" s="388">
        <f t="shared" ref="AC15:AC21" si="11">AA15*$C$14</f>
        <v>109340.92804558261</v>
      </c>
      <c r="AD15" s="388"/>
      <c r="AE15" s="388">
        <f t="shared" ref="AE15:AE21" si="12">AC15*$C$14</f>
        <v>113167.860527178</v>
      </c>
      <c r="AF15" s="388"/>
      <c r="AG15" s="388">
        <f t="shared" ref="AG15:AG21" si="13">AE15*$C$14</f>
        <v>117128.73564562922</v>
      </c>
      <c r="AH15" s="388"/>
    </row>
    <row r="16" spans="1:34" ht="14.25">
      <c r="A16" s="380" t="s">
        <v>497</v>
      </c>
      <c r="B16" s="380"/>
      <c r="C16" s="402"/>
      <c r="D16" s="380"/>
      <c r="E16" s="391">
        <f>Application!W813</f>
        <v>45000</v>
      </c>
      <c r="F16" s="391"/>
      <c r="G16" s="391">
        <f t="shared" si="0"/>
        <v>46575</v>
      </c>
      <c r="H16" s="391"/>
      <c r="I16" s="391">
        <f t="shared" si="1"/>
        <v>48205.124999999993</v>
      </c>
      <c r="J16" s="391"/>
      <c r="K16" s="391">
        <f t="shared" si="2"/>
        <v>49892.304374999985</v>
      </c>
      <c r="L16" s="391"/>
      <c r="M16" s="391">
        <f t="shared" si="3"/>
        <v>51638.535028124978</v>
      </c>
      <c r="N16" s="391"/>
      <c r="O16" s="391">
        <f t="shared" si="4"/>
        <v>53445.883754109345</v>
      </c>
      <c r="P16" s="391"/>
      <c r="Q16" s="391">
        <f t="shared" si="5"/>
        <v>55316.489685503169</v>
      </c>
      <c r="R16" s="391"/>
      <c r="S16" s="391">
        <f t="shared" si="6"/>
        <v>57252.566824495778</v>
      </c>
      <c r="T16" s="391"/>
      <c r="U16" s="391">
        <f t="shared" si="7"/>
        <v>59256.406663353126</v>
      </c>
      <c r="V16" s="391"/>
      <c r="W16" s="391">
        <f t="shared" si="8"/>
        <v>61330.380896570481</v>
      </c>
      <c r="X16" s="391"/>
      <c r="Y16" s="391">
        <f t="shared" si="9"/>
        <v>63476.944227950444</v>
      </c>
      <c r="Z16" s="391"/>
      <c r="AA16" s="391">
        <f t="shared" si="10"/>
        <v>65698.637275928704</v>
      </c>
      <c r="AB16" s="391"/>
      <c r="AC16" s="391">
        <f t="shared" si="11"/>
        <v>67998.089580586209</v>
      </c>
      <c r="AD16" s="391"/>
      <c r="AE16" s="391">
        <f t="shared" si="12"/>
        <v>70378.022715906714</v>
      </c>
      <c r="AF16" s="391"/>
      <c r="AG16" s="391">
        <f t="shared" si="13"/>
        <v>72841.253510963448</v>
      </c>
      <c r="AH16" s="380"/>
    </row>
    <row r="17" spans="1:34" ht="14.25">
      <c r="A17" s="380" t="s">
        <v>770</v>
      </c>
      <c r="B17" s="380"/>
      <c r="C17" s="402"/>
      <c r="D17" s="380"/>
      <c r="E17" s="391">
        <f>Application!W819</f>
        <v>71234</v>
      </c>
      <c r="F17" s="391"/>
      <c r="G17" s="391">
        <f t="shared" si="0"/>
        <v>73727.189999999988</v>
      </c>
      <c r="H17" s="391"/>
      <c r="I17" s="391">
        <f t="shared" si="1"/>
        <v>76307.641649999976</v>
      </c>
      <c r="J17" s="391"/>
      <c r="K17" s="391">
        <f t="shared" si="2"/>
        <v>78978.409107749976</v>
      </c>
      <c r="L17" s="391"/>
      <c r="M17" s="391">
        <f t="shared" si="3"/>
        <v>81742.653426521225</v>
      </c>
      <c r="N17" s="391"/>
      <c r="O17" s="391">
        <f t="shared" si="4"/>
        <v>84603.646296449457</v>
      </c>
      <c r="P17" s="391"/>
      <c r="Q17" s="391">
        <f t="shared" si="5"/>
        <v>87564.773916825186</v>
      </c>
      <c r="R17" s="391"/>
      <c r="S17" s="391">
        <f t="shared" si="6"/>
        <v>90629.541003914055</v>
      </c>
      <c r="T17" s="391"/>
      <c r="U17" s="391">
        <f t="shared" si="7"/>
        <v>93801.574939051046</v>
      </c>
      <c r="V17" s="391"/>
      <c r="W17" s="391">
        <f t="shared" si="8"/>
        <v>97084.630061917822</v>
      </c>
      <c r="X17" s="391"/>
      <c r="Y17" s="391">
        <f t="shared" si="9"/>
        <v>100482.59211408494</v>
      </c>
      <c r="Z17" s="391"/>
      <c r="AA17" s="391">
        <f t="shared" si="10"/>
        <v>103999.48283807791</v>
      </c>
      <c r="AB17" s="391"/>
      <c r="AC17" s="391">
        <f t="shared" si="11"/>
        <v>107639.46473741063</v>
      </c>
      <c r="AD17" s="391"/>
      <c r="AE17" s="391">
        <f t="shared" si="12"/>
        <v>111406.84600321999</v>
      </c>
      <c r="AF17" s="391"/>
      <c r="AG17" s="391">
        <f t="shared" si="13"/>
        <v>115306.08561333269</v>
      </c>
      <c r="AH17" s="380"/>
    </row>
    <row r="18" spans="1:34" ht="14.25">
      <c r="A18" s="380" t="s">
        <v>1126</v>
      </c>
      <c r="B18" s="380"/>
      <c r="C18" s="402"/>
      <c r="D18" s="380"/>
      <c r="E18" s="391">
        <f>Application!W826</f>
        <v>116529</v>
      </c>
      <c r="F18" s="391"/>
      <c r="G18" s="391">
        <f t="shared" si="0"/>
        <v>120607.51499999998</v>
      </c>
      <c r="H18" s="391"/>
      <c r="I18" s="391">
        <f t="shared" si="1"/>
        <v>124828.77802499998</v>
      </c>
      <c r="J18" s="391"/>
      <c r="K18" s="391">
        <f t="shared" si="2"/>
        <v>129197.78525587497</v>
      </c>
      <c r="L18" s="391"/>
      <c r="M18" s="391">
        <f t="shared" si="3"/>
        <v>133719.7077398306</v>
      </c>
      <c r="N18" s="391"/>
      <c r="O18" s="391">
        <f t="shared" si="4"/>
        <v>138399.89751072467</v>
      </c>
      <c r="P18" s="391"/>
      <c r="Q18" s="391">
        <f t="shared" si="5"/>
        <v>143243.89392360003</v>
      </c>
      <c r="R18" s="391"/>
      <c r="S18" s="391">
        <f t="shared" si="6"/>
        <v>148257.43021092602</v>
      </c>
      <c r="T18" s="391"/>
      <c r="U18" s="391">
        <f t="shared" si="7"/>
        <v>153446.44026830842</v>
      </c>
      <c r="V18" s="391"/>
      <c r="W18" s="391">
        <f t="shared" si="8"/>
        <v>158817.0656776992</v>
      </c>
      <c r="X18" s="391"/>
      <c r="Y18" s="391">
        <f t="shared" si="9"/>
        <v>164375.66297641865</v>
      </c>
      <c r="Z18" s="391"/>
      <c r="AA18" s="391">
        <f t="shared" si="10"/>
        <v>170128.8111805933</v>
      </c>
      <c r="AB18" s="391"/>
      <c r="AC18" s="391">
        <f t="shared" si="11"/>
        <v>176083.31957191406</v>
      </c>
      <c r="AD18" s="391"/>
      <c r="AE18" s="391">
        <f t="shared" si="12"/>
        <v>182246.23575693104</v>
      </c>
      <c r="AF18" s="391"/>
      <c r="AG18" s="391">
        <f t="shared" si="13"/>
        <v>188624.8540084236</v>
      </c>
    </row>
    <row r="19" spans="1:34" ht="14.25">
      <c r="A19" s="380" t="s">
        <v>975</v>
      </c>
      <c r="B19" s="380"/>
      <c r="C19" s="402"/>
      <c r="D19" s="380"/>
      <c r="E19" s="391">
        <f>Application!W827</f>
        <v>32348</v>
      </c>
      <c r="F19" s="391"/>
      <c r="G19" s="391">
        <f t="shared" si="0"/>
        <v>33480.18</v>
      </c>
      <c r="H19" s="391"/>
      <c r="I19" s="391">
        <f t="shared" si="1"/>
        <v>34651.986299999997</v>
      </c>
      <c r="J19" s="391"/>
      <c r="K19" s="391">
        <f t="shared" si="2"/>
        <v>35864.805820499991</v>
      </c>
      <c r="L19" s="391"/>
      <c r="M19" s="391">
        <f t="shared" si="3"/>
        <v>37120.074024217487</v>
      </c>
      <c r="N19" s="391"/>
      <c r="O19" s="391">
        <f t="shared" si="4"/>
        <v>38419.276615065093</v>
      </c>
      <c r="P19" s="391"/>
      <c r="Q19" s="391">
        <f t="shared" si="5"/>
        <v>39763.951296592371</v>
      </c>
      <c r="R19" s="391"/>
      <c r="S19" s="391">
        <f t="shared" si="6"/>
        <v>41155.689591973103</v>
      </c>
      <c r="T19" s="391"/>
      <c r="U19" s="391">
        <f t="shared" si="7"/>
        <v>42596.13872769216</v>
      </c>
      <c r="V19" s="391"/>
      <c r="W19" s="391">
        <f t="shared" si="8"/>
        <v>44087.003583161379</v>
      </c>
      <c r="X19" s="391"/>
      <c r="Y19" s="391">
        <f t="shared" si="9"/>
        <v>45630.048708572023</v>
      </c>
      <c r="Z19" s="391"/>
      <c r="AA19" s="391">
        <f t="shared" si="10"/>
        <v>47227.100413372042</v>
      </c>
      <c r="AB19" s="391"/>
      <c r="AC19" s="391">
        <f t="shared" si="11"/>
        <v>48880.048927840056</v>
      </c>
      <c r="AD19" s="391"/>
      <c r="AE19" s="391">
        <f t="shared" si="12"/>
        <v>50590.850640314457</v>
      </c>
      <c r="AF19" s="391"/>
      <c r="AG19" s="391">
        <f t="shared" si="13"/>
        <v>52361.530412725457</v>
      </c>
    </row>
    <row r="20" spans="1:34" ht="14.25">
      <c r="A20" s="380" t="s">
        <v>59</v>
      </c>
      <c r="B20" s="380"/>
      <c r="C20" s="402"/>
      <c r="D20" s="380"/>
      <c r="E20" s="391">
        <f>Application!W836</f>
        <v>103110</v>
      </c>
      <c r="F20" s="391"/>
      <c r="G20" s="391">
        <f t="shared" si="0"/>
        <v>106718.84999999999</v>
      </c>
      <c r="H20" s="391"/>
      <c r="I20" s="391">
        <f t="shared" si="1"/>
        <v>110454.00974999998</v>
      </c>
      <c r="J20" s="391"/>
      <c r="K20" s="391">
        <f t="shared" si="2"/>
        <v>114319.90009124998</v>
      </c>
      <c r="L20" s="391"/>
      <c r="M20" s="391">
        <f t="shared" si="3"/>
        <v>118321.09659444372</v>
      </c>
      <c r="N20" s="391"/>
      <c r="O20" s="391">
        <f t="shared" si="4"/>
        <v>122462.33497524924</v>
      </c>
      <c r="P20" s="391"/>
      <c r="Q20" s="391">
        <f t="shared" si="5"/>
        <v>126748.51669938295</v>
      </c>
      <c r="R20" s="391"/>
      <c r="S20" s="391">
        <f t="shared" si="6"/>
        <v>131184.71478386133</v>
      </c>
      <c r="T20" s="391"/>
      <c r="U20" s="391">
        <f t="shared" si="7"/>
        <v>135776.17980129647</v>
      </c>
      <c r="V20" s="391"/>
      <c r="W20" s="391">
        <f t="shared" si="8"/>
        <v>140528.34609434183</v>
      </c>
      <c r="X20" s="391"/>
      <c r="Y20" s="391">
        <f t="shared" si="9"/>
        <v>145446.8382076438</v>
      </c>
      <c r="Z20" s="391"/>
      <c r="AA20" s="391">
        <f t="shared" si="10"/>
        <v>150537.47754491132</v>
      </c>
      <c r="AB20" s="391"/>
      <c r="AC20" s="391">
        <f t="shared" si="11"/>
        <v>155806.28925898322</v>
      </c>
      <c r="AD20" s="391"/>
      <c r="AE20" s="391">
        <f t="shared" si="12"/>
        <v>161259.50938304761</v>
      </c>
      <c r="AF20" s="391"/>
      <c r="AG20" s="391">
        <f t="shared" si="13"/>
        <v>166903.59221145426</v>
      </c>
    </row>
    <row r="21" spans="1:34" ht="14.25">
      <c r="A21" s="614" t="s">
        <v>1271</v>
      </c>
      <c r="B21" s="614"/>
      <c r="C21" s="402"/>
      <c r="D21" s="380"/>
      <c r="E21" s="401">
        <f>Application!W843</f>
        <v>29603</v>
      </c>
      <c r="F21" s="391"/>
      <c r="G21" s="401">
        <f t="shared" si="0"/>
        <v>30639.104999999996</v>
      </c>
      <c r="H21" s="391"/>
      <c r="I21" s="401">
        <f t="shared" si="1"/>
        <v>31711.473674999994</v>
      </c>
      <c r="J21" s="391"/>
      <c r="K21" s="401">
        <f t="shared" si="2"/>
        <v>32821.375253624989</v>
      </c>
      <c r="L21" s="391"/>
      <c r="M21" s="401">
        <f t="shared" si="3"/>
        <v>33970.123387501859</v>
      </c>
      <c r="N21" s="391"/>
      <c r="O21" s="401">
        <f t="shared" si="4"/>
        <v>35159.077706064418</v>
      </c>
      <c r="P21" s="391"/>
      <c r="Q21" s="401">
        <f t="shared" si="5"/>
        <v>36389.645425776667</v>
      </c>
      <c r="R21" s="391"/>
      <c r="S21" s="401">
        <f t="shared" si="6"/>
        <v>37663.283015678848</v>
      </c>
      <c r="T21" s="391"/>
      <c r="U21" s="401">
        <f t="shared" si="7"/>
        <v>38981.497921227601</v>
      </c>
      <c r="V21" s="391"/>
      <c r="W21" s="401">
        <f t="shared" si="8"/>
        <v>40345.850348470565</v>
      </c>
      <c r="X21" s="391"/>
      <c r="Y21" s="401">
        <f t="shared" si="9"/>
        <v>41757.955110667033</v>
      </c>
      <c r="Z21" s="391"/>
      <c r="AA21" s="401">
        <f t="shared" si="10"/>
        <v>43219.483539540379</v>
      </c>
      <c r="AB21" s="391"/>
      <c r="AC21" s="401">
        <f t="shared" si="11"/>
        <v>44732.165463424288</v>
      </c>
      <c r="AD21" s="391"/>
      <c r="AE21" s="401">
        <f t="shared" si="12"/>
        <v>46297.791254644137</v>
      </c>
      <c r="AF21" s="391"/>
      <c r="AG21" s="401">
        <f t="shared" si="13"/>
        <v>47918.21394855668</v>
      </c>
    </row>
    <row r="22" spans="1:34" ht="15">
      <c r="A22" s="392" t="s">
        <v>1127</v>
      </c>
      <c r="B22" s="392"/>
      <c r="C22" s="402"/>
      <c r="D22" s="392"/>
      <c r="E22" s="392">
        <f>SUM(E15:E21)</f>
        <v>470184</v>
      </c>
      <c r="F22" s="392"/>
      <c r="G22" s="392">
        <f>SUM(G15:G21)</f>
        <v>486640.43999999989</v>
      </c>
      <c r="H22" s="392"/>
      <c r="I22" s="392">
        <f>SUM(I15:I21)</f>
        <v>503672.85539999988</v>
      </c>
      <c r="J22" s="392"/>
      <c r="K22" s="392">
        <f>SUM(K15:K21)</f>
        <v>521301.40533899987</v>
      </c>
      <c r="L22" s="392"/>
      <c r="M22" s="392">
        <f>SUM(M15:M21)</f>
        <v>539546.9545258648</v>
      </c>
      <c r="N22" s="392"/>
      <c r="O22" s="392">
        <f>SUM(O15:O21)</f>
        <v>558431.09793427004</v>
      </c>
      <c r="P22" s="392"/>
      <c r="Q22" s="392">
        <f>SUM(Q15:Q21)</f>
        <v>577976.18636196945</v>
      </c>
      <c r="R22" s="392"/>
      <c r="S22" s="392">
        <f>SUM(S15:S21)</f>
        <v>598205.35288463836</v>
      </c>
      <c r="T22" s="392"/>
      <c r="U22" s="392">
        <f>SUM(U15:U21)</f>
        <v>619142.54023560067</v>
      </c>
      <c r="V22" s="392"/>
      <c r="W22" s="392">
        <f>SUM(W15:W21)</f>
        <v>640812.52914384671</v>
      </c>
      <c r="X22" s="392"/>
      <c r="Y22" s="392">
        <f>SUM(Y15:Y21)</f>
        <v>663240.96766388125</v>
      </c>
      <c r="Z22" s="392"/>
      <c r="AA22" s="392">
        <f>SUM(AA15:AA21)</f>
        <v>686454.40153211704</v>
      </c>
      <c r="AB22" s="392"/>
      <c r="AC22" s="392">
        <f>SUM(AC15:AC21)</f>
        <v>710480.30558574107</v>
      </c>
      <c r="AD22" s="392"/>
      <c r="AE22" s="392">
        <f>SUM(AE15:AE21)</f>
        <v>735347.11628124188</v>
      </c>
      <c r="AF22" s="392"/>
      <c r="AG22" s="392">
        <f>SUM(AG15:AG21)</f>
        <v>761084.26535108534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28318</v>
      </c>
      <c r="F27" s="391"/>
      <c r="G27" s="391">
        <f>E27*$C$27</f>
        <v>29309.129999999997</v>
      </c>
      <c r="H27" s="391"/>
      <c r="I27" s="391">
        <f>G27*$C$27</f>
        <v>30334.949549999994</v>
      </c>
      <c r="J27" s="391"/>
      <c r="K27" s="391">
        <f>I27*$C$27</f>
        <v>31396.672784249989</v>
      </c>
      <c r="L27" s="391"/>
      <c r="M27" s="391">
        <f>K27*$C$27</f>
        <v>32495.556331698735</v>
      </c>
      <c r="N27" s="391"/>
      <c r="O27" s="391">
        <f>M27*$C$27</f>
        <v>33632.900803308192</v>
      </c>
      <c r="P27" s="391"/>
      <c r="Q27" s="391">
        <f>O27*$C$27</f>
        <v>34810.052331423976</v>
      </c>
      <c r="R27" s="391"/>
      <c r="S27" s="391">
        <f>Q27*$C$27</f>
        <v>36028.404163023813</v>
      </c>
      <c r="T27" s="391"/>
      <c r="U27" s="391">
        <f>S27*$C$27</f>
        <v>37289.398308729644</v>
      </c>
      <c r="V27" s="391"/>
      <c r="W27" s="391">
        <f>U27*$C$27</f>
        <v>38594.527249535182</v>
      </c>
      <c r="X27" s="391"/>
      <c r="Y27" s="391">
        <f>W27*$C$27</f>
        <v>39945.335703268909</v>
      </c>
      <c r="Z27" s="391"/>
      <c r="AA27" s="391">
        <f>Y27*$C$27</f>
        <v>41343.422452883315</v>
      </c>
      <c r="AB27" s="391"/>
      <c r="AC27" s="391">
        <f>AA27*$C$27</f>
        <v>42790.442238734227</v>
      </c>
      <c r="AD27" s="391"/>
      <c r="AE27" s="391">
        <f>AC27*$C$27</f>
        <v>44288.107717089923</v>
      </c>
      <c r="AF27" s="391"/>
      <c r="AG27" s="391">
        <f>AE27*$C$27</f>
        <v>45838.191487188065</v>
      </c>
    </row>
    <row r="28" spans="1:34" ht="14.25">
      <c r="A28" s="614" t="s">
        <v>1129</v>
      </c>
      <c r="B28" s="380"/>
      <c r="C28" s="411"/>
      <c r="D28" s="380"/>
      <c r="E28" s="391">
        <f>Application!AC853</f>
        <v>25000</v>
      </c>
      <c r="F28" s="391"/>
      <c r="G28" s="391">
        <f>$E$28</f>
        <v>25000</v>
      </c>
      <c r="H28" s="391"/>
      <c r="I28" s="391">
        <f>$E$28</f>
        <v>25000</v>
      </c>
      <c r="J28" s="391"/>
      <c r="K28" s="391">
        <f>$E$28</f>
        <v>25000</v>
      </c>
      <c r="L28" s="391"/>
      <c r="M28" s="391">
        <f>$E$28</f>
        <v>25000</v>
      </c>
      <c r="N28" s="391"/>
      <c r="O28" s="391">
        <f>$E$28</f>
        <v>25000</v>
      </c>
      <c r="P28" s="391"/>
      <c r="Q28" s="391">
        <f>$E$28</f>
        <v>25000</v>
      </c>
      <c r="R28" s="391"/>
      <c r="S28" s="391">
        <f>$E$28</f>
        <v>25000</v>
      </c>
      <c r="T28" s="391"/>
      <c r="U28" s="391">
        <f>$E$28</f>
        <v>25000</v>
      </c>
      <c r="V28" s="391"/>
      <c r="W28" s="391">
        <f>$E$28</f>
        <v>25000</v>
      </c>
      <c r="X28" s="391"/>
      <c r="Y28" s="391">
        <f>$E$28</f>
        <v>25000</v>
      </c>
      <c r="Z28" s="391"/>
      <c r="AA28" s="391">
        <f>$E$28</f>
        <v>25000</v>
      </c>
      <c r="AB28" s="391"/>
      <c r="AC28" s="391">
        <f>$E$28</f>
        <v>25000</v>
      </c>
      <c r="AD28" s="391"/>
      <c r="AE28" s="391">
        <f>$E$28</f>
        <v>25000</v>
      </c>
      <c r="AF28" s="391"/>
      <c r="AG28" s="391">
        <f>$E$28</f>
        <v>25000</v>
      </c>
    </row>
    <row r="29" spans="1:34" ht="14.25">
      <c r="A29" s="614" t="s">
        <v>2035</v>
      </c>
      <c r="B29" s="380"/>
      <c r="C29" s="411"/>
      <c r="D29" s="380"/>
      <c r="E29" s="391">
        <f>Application!AC854</f>
        <v>5390</v>
      </c>
      <c r="F29" s="391"/>
      <c r="G29" s="391">
        <f>$E$29</f>
        <v>5390</v>
      </c>
      <c r="H29" s="391"/>
      <c r="I29" s="391">
        <f>$E$29</f>
        <v>5390</v>
      </c>
      <c r="J29" s="391"/>
      <c r="K29" s="391">
        <f>$E$29</f>
        <v>5390</v>
      </c>
      <c r="L29" s="391"/>
      <c r="M29" s="391">
        <f>$E$29</f>
        <v>5390</v>
      </c>
      <c r="N29" s="391"/>
      <c r="O29" s="391">
        <f>$E$29</f>
        <v>5390</v>
      </c>
      <c r="P29" s="391"/>
      <c r="Q29" s="391">
        <f>$E$29</f>
        <v>5390</v>
      </c>
      <c r="R29" s="391"/>
      <c r="S29" s="391">
        <f>$E$29</f>
        <v>5390</v>
      </c>
      <c r="T29" s="391"/>
      <c r="U29" s="391">
        <f>$E$29</f>
        <v>5390</v>
      </c>
      <c r="V29" s="391"/>
      <c r="W29" s="391">
        <f>$E$29</f>
        <v>5390</v>
      </c>
      <c r="X29" s="391"/>
      <c r="Y29" s="391">
        <f>$E$29</f>
        <v>5390</v>
      </c>
      <c r="Z29" s="391"/>
      <c r="AA29" s="391">
        <f>$E$29</f>
        <v>5390</v>
      </c>
      <c r="AB29" s="391"/>
      <c r="AC29" s="391">
        <f>$E$29</f>
        <v>5390</v>
      </c>
      <c r="AD29" s="391"/>
      <c r="AE29" s="391">
        <f>$E$29</f>
        <v>5390</v>
      </c>
      <c r="AF29" s="391"/>
      <c r="AG29" s="391">
        <f>$E$29</f>
        <v>5390</v>
      </c>
    </row>
    <row r="30" spans="1:34" ht="14.25">
      <c r="A30" s="614" t="s">
        <v>1130</v>
      </c>
      <c r="B30" s="380"/>
      <c r="C30" s="411">
        <v>1.02</v>
      </c>
      <c r="D30" s="380"/>
      <c r="E30" s="391">
        <f>Application!AC855</f>
        <v>2157</v>
      </c>
      <c r="F30" s="391"/>
      <c r="G30" s="391">
        <f>E30*$C$30</f>
        <v>2200.14</v>
      </c>
      <c r="H30" s="391"/>
      <c r="I30" s="391">
        <f>G30*$C$30</f>
        <v>2244.1428000000001</v>
      </c>
      <c r="J30" s="391"/>
      <c r="K30" s="391">
        <f>I30*$C$30</f>
        <v>2289.0256560000003</v>
      </c>
      <c r="L30" s="391"/>
      <c r="M30" s="391">
        <f>K30*$C$30</f>
        <v>2334.8061691200005</v>
      </c>
      <c r="N30" s="391"/>
      <c r="O30" s="391">
        <f>M30*$C$30</f>
        <v>2381.5022925024005</v>
      </c>
      <c r="P30" s="391"/>
      <c r="Q30" s="391">
        <f>O30*$C$30</f>
        <v>2429.1323383524486</v>
      </c>
      <c r="R30" s="391"/>
      <c r="S30" s="391">
        <f>Q30*$C$30</f>
        <v>2477.7149851194977</v>
      </c>
      <c r="T30" s="391"/>
      <c r="U30" s="391">
        <f>S30*$C$30</f>
        <v>2527.2692848218876</v>
      </c>
      <c r="V30" s="391"/>
      <c r="W30" s="391">
        <f>U30*$C$30</f>
        <v>2577.8146705183253</v>
      </c>
      <c r="X30" s="391"/>
      <c r="Y30" s="391">
        <f>W30*$C$30</f>
        <v>2629.3709639286917</v>
      </c>
      <c r="Z30" s="391"/>
      <c r="AA30" s="391">
        <f>Y30*$C$30</f>
        <v>2681.9583832072658</v>
      </c>
      <c r="AB30" s="391"/>
      <c r="AC30" s="391">
        <f>AA30*$C$30</f>
        <v>2735.5975508714114</v>
      </c>
      <c r="AD30" s="391"/>
      <c r="AE30" s="391">
        <f>AC30*$C$30</f>
        <v>2790.3095018888398</v>
      </c>
      <c r="AF30" s="391"/>
      <c r="AG30" s="391">
        <f>AE30*$C$30</f>
        <v>2846.1156919266168</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531049</v>
      </c>
      <c r="F35" s="392"/>
      <c r="G35" s="392">
        <f>SUM(G22:G33)</f>
        <v>548539.70999999985</v>
      </c>
      <c r="H35" s="392"/>
      <c r="I35" s="392">
        <f>SUM(I22:I33)</f>
        <v>566641.94774999993</v>
      </c>
      <c r="J35" s="392"/>
      <c r="K35" s="392">
        <f>SUM(K22:K33)</f>
        <v>585377.10377924982</v>
      </c>
      <c r="L35" s="392"/>
      <c r="M35" s="392">
        <f>SUM(M22:M33)</f>
        <v>604767.3170266836</v>
      </c>
      <c r="N35" s="392"/>
      <c r="O35" s="392">
        <f>SUM(O22:O33)</f>
        <v>624835.50103008072</v>
      </c>
      <c r="P35" s="392"/>
      <c r="Q35" s="392">
        <f>SUM(Q22:Q33)</f>
        <v>645605.37103174592</v>
      </c>
      <c r="R35" s="392"/>
      <c r="S35" s="392">
        <f>SUM(S22:S33)</f>
        <v>667101.47203278169</v>
      </c>
      <c r="T35" s="392"/>
      <c r="U35" s="392">
        <f>SUM(U22:U33)</f>
        <v>689349.20782915223</v>
      </c>
      <c r="V35" s="392"/>
      <c r="W35" s="392">
        <f>SUM(W22:W33)</f>
        <v>712374.87106390018</v>
      </c>
      <c r="X35" s="392"/>
      <c r="Y35" s="392">
        <f>SUM(Y22:Y33)</f>
        <v>736205.67433107877</v>
      </c>
      <c r="Z35" s="392"/>
      <c r="AA35" s="392">
        <f>SUM(AA22:AA33)</f>
        <v>760869.78236820758</v>
      </c>
      <c r="AB35" s="392"/>
      <c r="AC35" s="392">
        <f>SUM(AC22:AC33)</f>
        <v>786396.34537534672</v>
      </c>
      <c r="AD35" s="392"/>
      <c r="AE35" s="392">
        <f>SUM(AE22:AE33)</f>
        <v>812815.53350022063</v>
      </c>
      <c r="AF35" s="392"/>
      <c r="AG35" s="392">
        <f>SUM(AG22:AG33)</f>
        <v>840158.57253020001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590097.61938775517</v>
      </c>
      <c r="F37" s="392"/>
      <c r="G37" s="392">
        <f>G11-G35</f>
        <v>600635.57487244892</v>
      </c>
      <c r="H37" s="392"/>
      <c r="I37" s="392">
        <f>I11-I35</f>
        <v>611262.71924426022</v>
      </c>
      <c r="J37" s="392"/>
      <c r="K37" s="392">
        <f>K11-K35</f>
        <v>621975.17988986662</v>
      </c>
      <c r="L37" s="392"/>
      <c r="M37" s="392">
        <f>M11-M35</f>
        <v>632768.77373416047</v>
      </c>
      <c r="N37" s="392"/>
      <c r="O37" s="392">
        <f>O11-O35</f>
        <v>643638.99199978448</v>
      </c>
      <c r="P37" s="392"/>
      <c r="Q37" s="392">
        <f>Q11-Q35</f>
        <v>654580.98432386562</v>
      </c>
      <c r="R37" s="392"/>
      <c r="S37" s="392">
        <f>S11-S35</f>
        <v>665589.54220672022</v>
      </c>
      <c r="T37" s="392"/>
      <c r="U37" s="392">
        <f>U11-U35</f>
        <v>676659.08176633716</v>
      </c>
      <c r="V37" s="392"/>
      <c r="W37" s="392">
        <f>W11-W35</f>
        <v>687783.62577147619</v>
      </c>
      <c r="X37" s="392"/>
      <c r="Y37" s="392">
        <f>Y11-Y35</f>
        <v>698956.78492518212</v>
      </c>
      <c r="Z37" s="392"/>
      <c r="AA37" s="392">
        <f>AA11-AA35</f>
        <v>710171.73836945952</v>
      </c>
      <c r="AB37" s="392"/>
      <c r="AC37" s="392">
        <f>AC11-AC35</f>
        <v>721421.21338076214</v>
      </c>
      <c r="AD37" s="392"/>
      <c r="AE37" s="392">
        <f>AE11-AE35</f>
        <v>732697.46422479069</v>
      </c>
      <c r="AF37" s="392"/>
      <c r="AG37" s="392">
        <f>AG11-AG35</f>
        <v>743992.25013793632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First Republic Bank Permanent Loan</v>
      </c>
      <c r="B40" s="395"/>
      <c r="C40" s="389"/>
      <c r="D40" s="380"/>
      <c r="E40" s="388">
        <f>Application!AF618</f>
        <v>513147.31605119677</v>
      </c>
      <c r="F40" s="388"/>
      <c r="G40" s="388">
        <f>$E$40</f>
        <v>513147.31605119677</v>
      </c>
      <c r="H40" s="388"/>
      <c r="I40" s="388">
        <f>$E$40</f>
        <v>513147.31605119677</v>
      </c>
      <c r="J40" s="388"/>
      <c r="K40" s="388">
        <f>$E$40</f>
        <v>513147.31605119677</v>
      </c>
      <c r="L40" s="388"/>
      <c r="M40" s="388">
        <f>$E$40</f>
        <v>513147.31605119677</v>
      </c>
      <c r="N40" s="388"/>
      <c r="O40" s="388">
        <f>$E$40</f>
        <v>513147.31605119677</v>
      </c>
      <c r="P40" s="388"/>
      <c r="Q40" s="388">
        <f>$E$40</f>
        <v>513147.31605119677</v>
      </c>
      <c r="R40" s="388"/>
      <c r="S40" s="388">
        <f>$E$40</f>
        <v>513147.31605119677</v>
      </c>
      <c r="T40" s="388"/>
      <c r="U40" s="388">
        <f>$E$40</f>
        <v>513147.31605119677</v>
      </c>
      <c r="V40" s="388"/>
      <c r="W40" s="388">
        <f>$E$40</f>
        <v>513147.31605119677</v>
      </c>
      <c r="X40" s="388"/>
      <c r="Y40" s="388">
        <f>$E$40</f>
        <v>513147.31605119677</v>
      </c>
      <c r="Z40" s="388"/>
      <c r="AA40" s="388">
        <f>$E$40</f>
        <v>513147.31605119677</v>
      </c>
      <c r="AB40" s="388"/>
      <c r="AC40" s="388">
        <f>$E$40</f>
        <v>513147.31605119677</v>
      </c>
      <c r="AD40" s="388"/>
      <c r="AE40" s="388">
        <f>$E$40</f>
        <v>513147.31605119677</v>
      </c>
      <c r="AF40" s="388"/>
      <c r="AG40" s="388">
        <f>$E$40</f>
        <v>513147.31605119677</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513147.31605119677</v>
      </c>
      <c r="F43" s="392"/>
      <c r="G43" s="392">
        <f>SUM(G40:G42)</f>
        <v>513147.31605119677</v>
      </c>
      <c r="H43" s="392"/>
      <c r="I43" s="392">
        <f>SUM(I40:I42)</f>
        <v>513147.31605119677</v>
      </c>
      <c r="J43" s="392"/>
      <c r="K43" s="392">
        <f>SUM(K40:K42)</f>
        <v>513147.31605119677</v>
      </c>
      <c r="L43" s="392"/>
      <c r="M43" s="392">
        <f>SUM(M40:M42)</f>
        <v>513147.31605119677</v>
      </c>
      <c r="N43" s="392"/>
      <c r="O43" s="392">
        <f>SUM(O40:O42)</f>
        <v>513147.31605119677</v>
      </c>
      <c r="P43" s="392"/>
      <c r="Q43" s="392">
        <f>SUM(Q40:Q42)</f>
        <v>513147.31605119677</v>
      </c>
      <c r="R43" s="392"/>
      <c r="S43" s="392">
        <f>SUM(S40:S42)</f>
        <v>513147.31605119677</v>
      </c>
      <c r="T43" s="392"/>
      <c r="U43" s="392">
        <f>SUM(U40:U42)</f>
        <v>513147.31605119677</v>
      </c>
      <c r="V43" s="392"/>
      <c r="W43" s="392">
        <f>SUM(W40:W42)</f>
        <v>513147.31605119677</v>
      </c>
      <c r="X43" s="392"/>
      <c r="Y43" s="392">
        <f>SUM(Y40:Y42)</f>
        <v>513147.31605119677</v>
      </c>
      <c r="Z43" s="392"/>
      <c r="AA43" s="392">
        <f>SUM(AA40:AA42)</f>
        <v>513147.31605119677</v>
      </c>
      <c r="AB43" s="392"/>
      <c r="AC43" s="392">
        <f>SUM(AC40:AC42)</f>
        <v>513147.31605119677</v>
      </c>
      <c r="AD43" s="392"/>
      <c r="AE43" s="392">
        <f>SUM(AE40:AE42)</f>
        <v>513147.31605119677</v>
      </c>
      <c r="AF43" s="392"/>
      <c r="AG43" s="392">
        <f>SUM(AG40:AG42)</f>
        <v>513147.31605119677</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76950.303336558398</v>
      </c>
      <c r="F45" s="392"/>
      <c r="G45" s="392">
        <f>G37-G43</f>
        <v>87488.258821252151</v>
      </c>
      <c r="H45" s="392"/>
      <c r="I45" s="392">
        <f>I37-I43</f>
        <v>98115.403193063452</v>
      </c>
      <c r="J45" s="392"/>
      <c r="K45" s="392">
        <f>K37-K43</f>
        <v>108827.86383866984</v>
      </c>
      <c r="L45" s="392"/>
      <c r="M45" s="392">
        <f>M37-M43</f>
        <v>119621.45768296369</v>
      </c>
      <c r="N45" s="392"/>
      <c r="O45" s="392">
        <f>O37-O43</f>
        <v>130491.67594858771</v>
      </c>
      <c r="P45" s="392"/>
      <c r="Q45" s="392">
        <f>Q37-Q43</f>
        <v>141433.66827266885</v>
      </c>
      <c r="R45" s="392"/>
      <c r="S45" s="392">
        <f>S37-S43</f>
        <v>152442.22615552344</v>
      </c>
      <c r="T45" s="392"/>
      <c r="U45" s="392">
        <f>U37-U43</f>
        <v>163511.76571514038</v>
      </c>
      <c r="V45" s="392"/>
      <c r="W45" s="392">
        <f>W37-W43</f>
        <v>174636.30972027942</v>
      </c>
      <c r="X45" s="392"/>
      <c r="Y45" s="392">
        <f>Y37-Y43</f>
        <v>185809.46887398534</v>
      </c>
      <c r="Z45" s="392"/>
      <c r="AA45" s="392">
        <f>AA37-AA43</f>
        <v>197024.42231826275</v>
      </c>
      <c r="AB45" s="392"/>
      <c r="AC45" s="392">
        <f>AC37-AC43</f>
        <v>208273.89732956537</v>
      </c>
      <c r="AD45" s="392"/>
      <c r="AE45" s="392">
        <f>AE37-AE43</f>
        <v>219550.14817359392</v>
      </c>
      <c r="AF45" s="392"/>
      <c r="AG45" s="392">
        <f>AG37-AG43</f>
        <v>230844.93408673955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6.4519412625429512E-2</v>
      </c>
      <c r="F47" s="396"/>
      <c r="G47" s="396">
        <f>G45/(G4+G6+G8)</f>
        <v>7.1565873557543735E-2</v>
      </c>
      <c r="H47" s="396"/>
      <c r="I47" s="396">
        <f>I45/(I4+I6+I8)</f>
        <v>7.8301400679830852E-2</v>
      </c>
      <c r="J47" s="396"/>
      <c r="K47" s="396">
        <f>K45/(K4+K6+K8)</f>
        <v>8.4732218454779545E-2</v>
      </c>
      <c r="L47" s="396"/>
      <c r="M47" s="396">
        <f>M45/(M4+M6+M8)</f>
        <v>9.0864386279653098E-2</v>
      </c>
      <c r="N47" s="396"/>
      <c r="O47" s="396">
        <f>O45/(O4+O6+O8)</f>
        <v>9.6703802383151558E-2</v>
      </c>
      <c r="P47" s="396"/>
      <c r="Q47" s="396">
        <f>Q45/(Q4+Q6+Q8)</f>
        <v>0.10225620762577044</v>
      </c>
      <c r="R47" s="396"/>
      <c r="S47" s="396">
        <f>S45/(S4+S6+S8)</f>
        <v>0.10752718920619736</v>
      </c>
      <c r="T47" s="396"/>
      <c r="U47" s="396">
        <f>U45/(U4+U6+U8)</f>
        <v>0.1125221842760189</v>
      </c>
      <c r="V47" s="396"/>
      <c r="W47" s="396">
        <f>W45/(W4+W6+W8)</f>
        <v>0.11724648346496841</v>
      </c>
      <c r="X47" s="396"/>
      <c r="Y47" s="396">
        <f>Y45/(Y4+Y6+Y8)</f>
        <v>0.12170523431887945</v>
      </c>
      <c r="Z47" s="396"/>
      <c r="AA47" s="396">
        <f>AA45/(AA4+AA6+AA8)</f>
        <v>0.12590344465246137</v>
      </c>
      <c r="AB47" s="396"/>
      <c r="AC47" s="396">
        <f>AC45/(AC4+AC6+AC8)</f>
        <v>0.12984598581896631</v>
      </c>
      <c r="AD47" s="396"/>
      <c r="AE47" s="396">
        <f>AE45/(AE4+AE6+AE8)</f>
        <v>0.133537595898754</v>
      </c>
      <c r="AF47" s="396"/>
      <c r="AG47" s="396">
        <f>AG45/(AG4+AG6+AG8)</f>
        <v>0.13698288280872664</v>
      </c>
      <c r="AH47" s="396"/>
      <c r="AI47" s="396"/>
    </row>
    <row r="48" spans="1:35" ht="14.25">
      <c r="A48" s="396" t="s">
        <v>1136</v>
      </c>
      <c r="B48" s="396"/>
      <c r="C48" s="389"/>
      <c r="D48" s="396"/>
      <c r="E48" s="396">
        <f>E45/E43</f>
        <v>0.1499575286268886</v>
      </c>
      <c r="F48" s="396"/>
      <c r="G48" s="396">
        <f>G45/G43</f>
        <v>0.17049345496824822</v>
      </c>
      <c r="H48" s="396"/>
      <c r="I48" s="396">
        <f>I45/I43</f>
        <v>0.19120318887778118</v>
      </c>
      <c r="J48" s="396"/>
      <c r="K48" s="396">
        <f>K45/K43</f>
        <v>0.21207918356882155</v>
      </c>
      <c r="L48" s="396"/>
      <c r="M48" s="396">
        <f>M45/M43</f>
        <v>0.23311328723977784</v>
      </c>
      <c r="N48" s="396"/>
      <c r="O48" s="396">
        <f>O45/O43</f>
        <v>0.25429671337415422</v>
      </c>
      <c r="P48" s="396"/>
      <c r="Q48" s="396">
        <f>Q45/Q43</f>
        <v>0.27562000978790657</v>
      </c>
      <c r="R48" s="396"/>
      <c r="S48" s="396">
        <f>S45/S43</f>
        <v>0.29707302637497235</v>
      </c>
      <c r="T48" s="396"/>
      <c r="U48" s="396">
        <f>U45/U43</f>
        <v>0.31864488149992931</v>
      </c>
      <c r="V48" s="396"/>
      <c r="W48" s="396">
        <f>W45/W43</f>
        <v>0.34032392698485037</v>
      </c>
      <c r="X48" s="396"/>
      <c r="Y48" s="396">
        <f>Y45/Y43</f>
        <v>0.36209771163539928</v>
      </c>
      <c r="Z48" s="396"/>
      <c r="AA48" s="396">
        <f>AA45/AA43</f>
        <v>0.38395294324915769</v>
      </c>
      <c r="AB48" s="396"/>
      <c r="AC48" s="396">
        <f>AC45/AC43</f>
        <v>0.40587544904704492</v>
      </c>
      <c r="AD48" s="396"/>
      <c r="AE48" s="396">
        <f>AE45/AE43</f>
        <v>0.42785013446643338</v>
      </c>
      <c r="AF48" s="396"/>
      <c r="AG48" s="396">
        <f>AG45/AG43</f>
        <v>0.44986094025230783</v>
      </c>
      <c r="AH48" s="396"/>
      <c r="AI48" s="396"/>
    </row>
    <row r="49" spans="1:35" ht="14.25">
      <c r="A49" s="397" t="s">
        <v>1137</v>
      </c>
      <c r="B49" s="397"/>
      <c r="C49" s="398"/>
      <c r="D49" s="397"/>
      <c r="E49" s="397">
        <f>E37/E43</f>
        <v>1.1499575286268886</v>
      </c>
      <c r="F49" s="397"/>
      <c r="G49" s="397">
        <f>G37/G43</f>
        <v>1.1704934549682482</v>
      </c>
      <c r="H49" s="397"/>
      <c r="I49" s="397">
        <f>I37/I43</f>
        <v>1.1912031888777812</v>
      </c>
      <c r="J49" s="397"/>
      <c r="K49" s="397">
        <f>K37/K43</f>
        <v>1.2120791835688216</v>
      </c>
      <c r="L49" s="397"/>
      <c r="M49" s="397">
        <f>M37/M43</f>
        <v>1.2331132872397779</v>
      </c>
      <c r="N49" s="397"/>
      <c r="O49" s="397">
        <f>O37/O43</f>
        <v>1.2542967133741543</v>
      </c>
      <c r="P49" s="397"/>
      <c r="Q49" s="397">
        <f>Q37/Q43</f>
        <v>1.2756200097879067</v>
      </c>
      <c r="R49" s="397"/>
      <c r="S49" s="397">
        <f>S37/S43</f>
        <v>1.2970730263749723</v>
      </c>
      <c r="T49" s="397"/>
      <c r="U49" s="397">
        <f>U37/U43</f>
        <v>1.3186448814999294</v>
      </c>
      <c r="V49" s="397"/>
      <c r="W49" s="397">
        <f>W37/W43</f>
        <v>1.3403239269848504</v>
      </c>
      <c r="X49" s="397"/>
      <c r="Y49" s="397">
        <f>Y37/Y43</f>
        <v>1.3620977116353994</v>
      </c>
      <c r="Z49" s="397"/>
      <c r="AA49" s="397">
        <f>AA37/AA43</f>
        <v>1.3839529432491577</v>
      </c>
      <c r="AB49" s="397"/>
      <c r="AC49" s="397">
        <f>AC37/AC43</f>
        <v>1.4058754490470449</v>
      </c>
      <c r="AD49" s="397"/>
      <c r="AE49" s="397">
        <f>AE37/AE43</f>
        <v>1.4278501344664334</v>
      </c>
      <c r="AF49" s="397"/>
      <c r="AG49" s="397">
        <f>AG37/AG43</f>
        <v>1.4498609402523077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v>25000</v>
      </c>
      <c r="F53" s="378"/>
      <c r="G53" s="839">
        <f>E53*$C$53</f>
        <v>25750</v>
      </c>
      <c r="H53" s="839"/>
      <c r="I53" s="839">
        <f>G53*$C$53</f>
        <v>26522.5</v>
      </c>
      <c r="J53" s="839"/>
      <c r="K53" s="839">
        <f>I53*$C$53</f>
        <v>27318.174999999999</v>
      </c>
      <c r="L53" s="839"/>
      <c r="M53" s="839">
        <f>K53*$C$53</f>
        <v>28137.720249999998</v>
      </c>
      <c r="N53" s="839"/>
      <c r="O53" s="839">
        <f>M53*$C$53</f>
        <v>28981.851857499998</v>
      </c>
      <c r="P53" s="839"/>
      <c r="Q53" s="839">
        <f>O53*$C$53</f>
        <v>29851.307413225</v>
      </c>
      <c r="R53" s="839"/>
      <c r="S53" s="839">
        <f>Q53*$C$53</f>
        <v>30746.84663562175</v>
      </c>
      <c r="T53" s="839"/>
      <c r="U53" s="839">
        <f>S53*$C$53</f>
        <v>31669.252034690402</v>
      </c>
      <c r="V53" s="839"/>
      <c r="W53" s="839">
        <f>U53*$C$53</f>
        <v>32619.329595731117</v>
      </c>
      <c r="X53" s="839"/>
      <c r="Y53" s="839">
        <f>W53*$C$53</f>
        <v>33597.909483603049</v>
      </c>
      <c r="Z53" s="839"/>
      <c r="AA53" s="839">
        <f>Y53*$C$53</f>
        <v>34605.846768111143</v>
      </c>
      <c r="AB53" s="839"/>
      <c r="AC53" s="839">
        <f>AA53*$C$53</f>
        <v>35644.02217115448</v>
      </c>
      <c r="AD53" s="839"/>
      <c r="AE53" s="839">
        <f>AC53*$C$53</f>
        <v>36713.342836289114</v>
      </c>
      <c r="AF53" s="839"/>
      <c r="AG53" s="839">
        <f>AE53*$C$53</f>
        <v>37814.743121377789</v>
      </c>
      <c r="AH53" s="378"/>
      <c r="AI53" s="378"/>
    </row>
    <row r="54" spans="1:35">
      <c r="A54" s="365" t="s">
        <v>1140</v>
      </c>
      <c r="B54" s="365"/>
      <c r="C54" s="413"/>
      <c r="D54" s="365"/>
      <c r="E54" s="406">
        <v>5000</v>
      </c>
      <c r="F54" s="384"/>
      <c r="G54" s="838">
        <f t="shared" ref="G54:AG57" si="14">E54*$C$53</f>
        <v>5150</v>
      </c>
      <c r="H54" s="838"/>
      <c r="I54" s="838">
        <f t="shared" si="14"/>
        <v>5304.5</v>
      </c>
      <c r="J54" s="838"/>
      <c r="K54" s="838">
        <f t="shared" si="14"/>
        <v>5463.6350000000002</v>
      </c>
      <c r="L54" s="838"/>
      <c r="M54" s="838">
        <f t="shared" si="14"/>
        <v>5627.5440500000004</v>
      </c>
      <c r="N54" s="838"/>
      <c r="O54" s="838">
        <f t="shared" si="14"/>
        <v>5796.3703715000001</v>
      </c>
      <c r="P54" s="838"/>
      <c r="Q54" s="838">
        <f t="shared" si="14"/>
        <v>5970.2614826449999</v>
      </c>
      <c r="R54" s="838"/>
      <c r="S54" s="838">
        <f t="shared" si="14"/>
        <v>6149.3693271243501</v>
      </c>
      <c r="T54" s="838"/>
      <c r="U54" s="838">
        <f t="shared" si="14"/>
        <v>6333.8504069380806</v>
      </c>
      <c r="V54" s="838"/>
      <c r="W54" s="838">
        <f t="shared" si="14"/>
        <v>6523.865919146223</v>
      </c>
      <c r="X54" s="838"/>
      <c r="Y54" s="838">
        <f t="shared" si="14"/>
        <v>6719.5818967206096</v>
      </c>
      <c r="Z54" s="838"/>
      <c r="AA54" s="838">
        <f t="shared" si="14"/>
        <v>6921.1693536222283</v>
      </c>
      <c r="AB54" s="838"/>
      <c r="AC54" s="838">
        <f t="shared" si="14"/>
        <v>7128.8044342308949</v>
      </c>
      <c r="AD54" s="838"/>
      <c r="AE54" s="838">
        <f t="shared" si="14"/>
        <v>7342.6685672578224</v>
      </c>
      <c r="AF54" s="838"/>
      <c r="AG54" s="838">
        <f t="shared" si="14"/>
        <v>7562.9486242755574</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30000</v>
      </c>
      <c r="F58" s="384"/>
      <c r="G58" s="384">
        <f>SUM(G53:G57)</f>
        <v>30900</v>
      </c>
      <c r="H58" s="384"/>
      <c r="I58" s="384">
        <f>SUM(I53:I57)</f>
        <v>31827</v>
      </c>
      <c r="J58" s="384"/>
      <c r="K58" s="384">
        <f>SUM(K53:K57)</f>
        <v>32781.81</v>
      </c>
      <c r="L58" s="384"/>
      <c r="M58" s="384">
        <f>SUM(M53:M57)</f>
        <v>33765.264299999995</v>
      </c>
      <c r="N58" s="384"/>
      <c r="O58" s="384">
        <f>SUM(O53:O57)</f>
        <v>34778.222228999999</v>
      </c>
      <c r="P58" s="384"/>
      <c r="Q58" s="384">
        <f>SUM(Q53:Q57)</f>
        <v>35821.568895869998</v>
      </c>
      <c r="R58" s="384"/>
      <c r="S58" s="384">
        <f>SUM(S53:S57)</f>
        <v>36896.215962746101</v>
      </c>
      <c r="T58" s="384"/>
      <c r="U58" s="384">
        <f>SUM(U53:U57)</f>
        <v>38003.102441628485</v>
      </c>
      <c r="V58" s="384"/>
      <c r="W58" s="384">
        <f>SUM(W53:W57)</f>
        <v>39143.195514877341</v>
      </c>
      <c r="X58" s="384"/>
      <c r="Y58" s="384">
        <f>SUM(Y53:Y57)</f>
        <v>40317.491380323656</v>
      </c>
      <c r="Z58" s="384"/>
      <c r="AA58" s="384">
        <f>SUM(AA53:AA57)</f>
        <v>41527.016121733373</v>
      </c>
      <c r="AB58" s="384"/>
      <c r="AC58" s="384">
        <f>SUM(AC53:AC57)</f>
        <v>42772.826605385373</v>
      </c>
      <c r="AD58" s="384"/>
      <c r="AE58" s="384">
        <f>SUM(AE53:AE57)</f>
        <v>44056.011403546938</v>
      </c>
      <c r="AF58" s="384"/>
      <c r="AG58" s="384">
        <f>SUM(AG53:AG57)</f>
        <v>45377.691745653348</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46950.303336558398</v>
      </c>
      <c r="F60" s="378"/>
      <c r="G60" s="378">
        <f>G45-G58</f>
        <v>56588.258821252151</v>
      </c>
      <c r="H60" s="378"/>
      <c r="I60" s="378">
        <f>I45-I58</f>
        <v>66288.403193063452</v>
      </c>
      <c r="J60" s="378"/>
      <c r="K60" s="378">
        <f>K45-K58</f>
        <v>76046.053838669846</v>
      </c>
      <c r="L60" s="378"/>
      <c r="M60" s="378">
        <f>M45-M58</f>
        <v>85856.193382963698</v>
      </c>
      <c r="N60" s="378"/>
      <c r="O60" s="378">
        <f>O45-O58</f>
        <v>95713.453719587706</v>
      </c>
      <c r="P60" s="378"/>
      <c r="Q60" s="378">
        <f>Q45-Q58</f>
        <v>105612.09937679884</v>
      </c>
      <c r="R60" s="378"/>
      <c r="S60" s="378">
        <f>S45-S58</f>
        <v>115546.01019277735</v>
      </c>
      <c r="T60" s="378"/>
      <c r="U60" s="378">
        <f>U45-U58</f>
        <v>125508.66327351189</v>
      </c>
      <c r="V60" s="378"/>
      <c r="W60" s="378">
        <f>W45-W58</f>
        <v>135493.11420540209</v>
      </c>
      <c r="X60" s="378"/>
      <c r="Y60" s="378">
        <f>Y45-Y58</f>
        <v>145491.97749366169</v>
      </c>
      <c r="Z60" s="378"/>
      <c r="AA60" s="378">
        <f>AA45-AA58</f>
        <v>155497.40619652937</v>
      </c>
      <c r="AB60" s="378"/>
      <c r="AC60" s="378">
        <f>AC45-AC58</f>
        <v>165501.07072418</v>
      </c>
      <c r="AD60" s="378"/>
      <c r="AE60" s="378">
        <f>AE45-AE58</f>
        <v>175494.13677004699</v>
      </c>
      <c r="AF60" s="378"/>
      <c r="AG60" s="378">
        <f>AG45-AG58</f>
        <v>185467.24234108621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2533</v>
      </c>
      <c r="B66" s="405"/>
      <c r="C66" s="403"/>
      <c r="D66" s="378"/>
      <c r="E66" s="405">
        <f>E60/2</f>
        <v>23475.151668279199</v>
      </c>
      <c r="F66" s="378"/>
      <c r="G66" s="378">
        <f>G60/2</f>
        <v>28294.129410626076</v>
      </c>
      <c r="H66" s="378"/>
      <c r="I66" s="378">
        <f t="shared" ref="I66:AG66" si="15">I60/2</f>
        <v>33144.201596531726</v>
      </c>
      <c r="J66" s="378"/>
      <c r="K66" s="378">
        <f t="shared" si="15"/>
        <v>38023.026919334923</v>
      </c>
      <c r="L66" s="378"/>
      <c r="M66" s="378">
        <f t="shared" si="15"/>
        <v>42928.096691481849</v>
      </c>
      <c r="N66" s="378"/>
      <c r="O66" s="378">
        <f t="shared" si="15"/>
        <v>47856.726859793853</v>
      </c>
      <c r="P66" s="378"/>
      <c r="Q66" s="378">
        <f t="shared" si="15"/>
        <v>52806.04968839942</v>
      </c>
      <c r="R66" s="378"/>
      <c r="S66" s="378">
        <f t="shared" si="15"/>
        <v>57773.005096388675</v>
      </c>
      <c r="T66" s="378"/>
      <c r="U66" s="378">
        <f t="shared" si="15"/>
        <v>62754.331636755946</v>
      </c>
      <c r="V66" s="378"/>
      <c r="W66" s="378">
        <f t="shared" si="15"/>
        <v>67746.557102701045</v>
      </c>
      <c r="X66" s="378"/>
      <c r="Y66" s="378">
        <f t="shared" si="15"/>
        <v>72745.988746830844</v>
      </c>
      <c r="Z66" s="378"/>
      <c r="AA66" s="378">
        <f t="shared" si="15"/>
        <v>77748.703098264683</v>
      </c>
      <c r="AB66" s="378"/>
      <c r="AC66" s="378">
        <f t="shared" si="15"/>
        <v>82750.535362089999</v>
      </c>
      <c r="AD66" s="378"/>
      <c r="AE66" s="378">
        <f t="shared" si="15"/>
        <v>87747.068385023493</v>
      </c>
      <c r="AF66" s="378"/>
      <c r="AG66" s="378">
        <f t="shared" si="15"/>
        <v>92733.621170543105</v>
      </c>
      <c r="AH66" s="378"/>
      <c r="AI66" s="378"/>
    </row>
    <row r="67" spans="1:35">
      <c r="A67" s="973" t="s">
        <v>2534</v>
      </c>
      <c r="B67" s="406"/>
      <c r="C67" s="386"/>
      <c r="D67" s="384"/>
      <c r="E67" s="406">
        <f>E66</f>
        <v>23475.151668279199</v>
      </c>
      <c r="F67" s="384"/>
      <c r="G67" s="844">
        <f>G66</f>
        <v>28294.129410626076</v>
      </c>
      <c r="H67" s="844"/>
      <c r="I67" s="844">
        <f t="shared" ref="I67:AG67" si="16">I66</f>
        <v>33144.201596531726</v>
      </c>
      <c r="J67" s="844"/>
      <c r="K67" s="844">
        <f t="shared" si="16"/>
        <v>38023.026919334923</v>
      </c>
      <c r="L67" s="844"/>
      <c r="M67" s="844">
        <f t="shared" si="16"/>
        <v>42928.096691481849</v>
      </c>
      <c r="N67" s="844"/>
      <c r="O67" s="844">
        <f t="shared" si="16"/>
        <v>47856.726859793853</v>
      </c>
      <c r="P67" s="844"/>
      <c r="Q67" s="844">
        <f t="shared" si="16"/>
        <v>52806.04968839942</v>
      </c>
      <c r="R67" s="844"/>
      <c r="S67" s="844">
        <f t="shared" si="16"/>
        <v>57773.005096388675</v>
      </c>
      <c r="T67" s="844"/>
      <c r="U67" s="844">
        <f t="shared" si="16"/>
        <v>62754.331636755946</v>
      </c>
      <c r="V67" s="844"/>
      <c r="W67" s="844">
        <f t="shared" si="16"/>
        <v>67746.557102701045</v>
      </c>
      <c r="X67" s="844"/>
      <c r="Y67" s="844">
        <f t="shared" si="16"/>
        <v>72745.988746830844</v>
      </c>
      <c r="Z67" s="844"/>
      <c r="AA67" s="844">
        <f t="shared" si="16"/>
        <v>77748.703098264683</v>
      </c>
      <c r="AB67" s="844"/>
      <c r="AC67" s="844">
        <f t="shared" si="16"/>
        <v>82750.535362089999</v>
      </c>
      <c r="AD67" s="844"/>
      <c r="AE67" s="844">
        <f t="shared" si="16"/>
        <v>87747.068385023493</v>
      </c>
      <c r="AF67" s="844"/>
      <c r="AG67" s="844">
        <f t="shared" si="16"/>
        <v>92733.621170543105</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46950.303336558398</v>
      </c>
      <c r="F70" s="378"/>
      <c r="G70" s="378">
        <f>SUM(G66:G69)</f>
        <v>56588.258821252151</v>
      </c>
      <c r="H70" s="378"/>
      <c r="I70" s="378">
        <f>SUM(I66:I69)</f>
        <v>66288.403193063452</v>
      </c>
      <c r="J70" s="378"/>
      <c r="K70" s="378">
        <f>SUM(K66:K69)</f>
        <v>76046.053838669846</v>
      </c>
      <c r="L70" s="378"/>
      <c r="M70" s="378">
        <f>SUM(M66:M69)</f>
        <v>85856.193382963698</v>
      </c>
      <c r="N70" s="378"/>
      <c r="O70" s="378">
        <f>SUM(O66:O69)</f>
        <v>95713.453719587706</v>
      </c>
      <c r="P70" s="378"/>
      <c r="Q70" s="378">
        <f>SUM(Q66:Q69)</f>
        <v>105612.09937679884</v>
      </c>
      <c r="R70" s="378"/>
      <c r="S70" s="378">
        <f>SUM(S66:S69)</f>
        <v>115546.01019277735</v>
      </c>
      <c r="T70" s="378"/>
      <c r="U70" s="378">
        <f>SUM(U66:U69)</f>
        <v>125508.66327351189</v>
      </c>
      <c r="V70" s="378"/>
      <c r="W70" s="378">
        <f>SUM(W66:W69)</f>
        <v>135493.11420540209</v>
      </c>
      <c r="X70" s="378"/>
      <c r="Y70" s="378">
        <f>SUM(Y66:Y69)</f>
        <v>145491.97749366169</v>
      </c>
      <c r="Z70" s="378"/>
      <c r="AA70" s="378">
        <f>SUM(AA66:AA69)</f>
        <v>155497.40619652937</v>
      </c>
      <c r="AB70" s="378"/>
      <c r="AC70" s="378">
        <f>SUM(AC66:AC69)</f>
        <v>165501.07072418</v>
      </c>
      <c r="AD70" s="378"/>
      <c r="AE70" s="378">
        <f>SUM(AE66:AE69)</f>
        <v>175494.13677004699</v>
      </c>
      <c r="AF70" s="378"/>
      <c r="AG70" s="378">
        <f>SUM(AG66:AG69)</f>
        <v>185467.24234108621</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11" sqref="E1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1425</v>
      </c>
      <c r="C3" s="482" t="s">
        <v>1213</v>
      </c>
      <c r="D3" s="614"/>
      <c r="E3" s="482" t="s">
        <v>1214</v>
      </c>
      <c r="F3" s="615" t="s">
        <v>1215</v>
      </c>
      <c r="G3" s="616"/>
      <c r="H3" s="615" t="s">
        <v>1212</v>
      </c>
      <c r="I3" s="615" t="s">
        <v>1216</v>
      </c>
    </row>
    <row r="4" spans="1:9">
      <c r="A4" s="617" t="str">
        <f>Application!$B692</f>
        <v>SRO/Studio</v>
      </c>
      <c r="B4" s="964">
        <f>Application!$G692</f>
        <v>14</v>
      </c>
      <c r="C4" s="617">
        <f>Application!$O692</f>
        <v>843</v>
      </c>
      <c r="D4" s="618"/>
      <c r="E4" s="962">
        <f>2445</f>
        <v>2445</v>
      </c>
      <c r="F4" s="617">
        <f>$E4*$B4</f>
        <v>34230</v>
      </c>
      <c r="G4" s="618"/>
      <c r="H4" s="617">
        <f>IF($E4=0,0,MAX($E4-$C4,0))</f>
        <v>1602</v>
      </c>
      <c r="I4" s="617">
        <f>IF($H4=0,0,($H4*$B4))</f>
        <v>22428</v>
      </c>
    </row>
    <row r="5" spans="1:9">
      <c r="A5" s="617" t="str">
        <f>Application!$B693</f>
        <v>SRO/Studio</v>
      </c>
      <c r="B5" s="963">
        <f>Application!$G693</f>
        <v>7</v>
      </c>
      <c r="C5" s="617">
        <f>Application!$O693</f>
        <v>1138</v>
      </c>
      <c r="D5" s="618"/>
      <c r="E5" s="962">
        <f>2445</f>
        <v>2445</v>
      </c>
      <c r="F5" s="617">
        <f t="shared" ref="F5:F28" si="0">$E5*$B5</f>
        <v>17115</v>
      </c>
      <c r="G5" s="618"/>
      <c r="H5" s="617">
        <f t="shared" ref="H5:H28" si="1">IF($E5=0,0,MAX($E5-$C5,0))</f>
        <v>1307</v>
      </c>
      <c r="I5" s="617">
        <f t="shared" ref="I5:I28" si="2">IF($H5=0,0,($H5*$B5))</f>
        <v>9149</v>
      </c>
    </row>
    <row r="6" spans="1:9">
      <c r="A6" s="617" t="str">
        <f>Application!$B694</f>
        <v>SRO/Studio</v>
      </c>
      <c r="B6" s="963">
        <f>Application!$G694</f>
        <v>16</v>
      </c>
      <c r="C6" s="617">
        <f>Application!$O694</f>
        <v>1433</v>
      </c>
      <c r="D6" s="618"/>
      <c r="E6" s="962"/>
      <c r="F6" s="617">
        <f t="shared" si="0"/>
        <v>0</v>
      </c>
      <c r="G6" s="618"/>
      <c r="H6" s="617">
        <f t="shared" si="1"/>
        <v>0</v>
      </c>
      <c r="I6" s="617">
        <f t="shared" si="2"/>
        <v>0</v>
      </c>
    </row>
    <row r="7" spans="1:9">
      <c r="A7" s="617" t="str">
        <f>Application!$B695</f>
        <v>1 Bedroom</v>
      </c>
      <c r="B7" s="963">
        <f>Application!$G695</f>
        <v>1</v>
      </c>
      <c r="C7" s="617">
        <f>Application!$O695</f>
        <v>899</v>
      </c>
      <c r="D7" s="618"/>
      <c r="E7" s="962">
        <f>2764</f>
        <v>2764</v>
      </c>
      <c r="F7" s="617">
        <f t="shared" si="0"/>
        <v>2764</v>
      </c>
      <c r="G7" s="618"/>
      <c r="H7" s="617">
        <f t="shared" si="1"/>
        <v>1865</v>
      </c>
      <c r="I7" s="617">
        <f t="shared" si="2"/>
        <v>1865</v>
      </c>
    </row>
    <row r="8" spans="1:9">
      <c r="A8" s="617" t="str">
        <f>Application!$B696</f>
        <v>1 Bedroom</v>
      </c>
      <c r="B8" s="963">
        <f>Application!$G696</f>
        <v>2</v>
      </c>
      <c r="C8" s="617">
        <f>Application!$O696</f>
        <v>1215</v>
      </c>
      <c r="D8" s="618"/>
      <c r="E8" s="962">
        <f>2764</f>
        <v>2764</v>
      </c>
      <c r="F8" s="617">
        <f t="shared" si="0"/>
        <v>5528</v>
      </c>
      <c r="G8" s="618"/>
      <c r="H8" s="617">
        <f t="shared" si="1"/>
        <v>1549</v>
      </c>
      <c r="I8" s="617">
        <f t="shared" si="2"/>
        <v>3098</v>
      </c>
    </row>
    <row r="9" spans="1:9">
      <c r="A9" s="617" t="str">
        <f>Application!$B697</f>
        <v>1 Bedroom</v>
      </c>
      <c r="B9" s="963">
        <f>Application!$G697</f>
        <v>5</v>
      </c>
      <c r="C9" s="617">
        <f>Application!$O697</f>
        <v>1531</v>
      </c>
      <c r="D9" s="618"/>
      <c r="E9" s="962"/>
      <c r="F9" s="617">
        <f t="shared" si="0"/>
        <v>0</v>
      </c>
      <c r="G9" s="618"/>
      <c r="H9" s="617">
        <f t="shared" si="1"/>
        <v>0</v>
      </c>
      <c r="I9" s="617">
        <f t="shared" si="2"/>
        <v>0</v>
      </c>
    </row>
    <row r="10" spans="1:9">
      <c r="A10" s="617" t="str">
        <f>Application!$B698</f>
        <v>2 Bedrooms</v>
      </c>
      <c r="B10" s="963">
        <f>Application!$G698</f>
        <v>1</v>
      </c>
      <c r="C10" s="617">
        <f>Application!$O698</f>
        <v>1069</v>
      </c>
      <c r="D10" s="618"/>
      <c r="E10" s="962">
        <f>3235</f>
        <v>3235</v>
      </c>
      <c r="F10" s="617">
        <f t="shared" si="0"/>
        <v>3235</v>
      </c>
      <c r="G10" s="618"/>
      <c r="H10" s="617">
        <f t="shared" si="1"/>
        <v>2166</v>
      </c>
      <c r="I10" s="617">
        <f t="shared" si="2"/>
        <v>2166</v>
      </c>
    </row>
    <row r="11" spans="1:9">
      <c r="A11" s="617" t="str">
        <f>Application!$B699</f>
        <v>2 Bedrooms</v>
      </c>
      <c r="B11" s="963">
        <f>Application!$G699</f>
        <v>3</v>
      </c>
      <c r="C11" s="617">
        <f>Application!$O699</f>
        <v>1828</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722796</v>
      </c>
      <c r="D30" s="618"/>
      <c r="E30" s="618"/>
      <c r="F30" s="621">
        <f>SUM(F4:F28)*12</f>
        <v>754464</v>
      </c>
      <c r="G30" s="622"/>
      <c r="H30" s="620"/>
      <c r="I30" s="621">
        <f>SUM(I4:I28)*12</f>
        <v>464472</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I21" sqref="AI21:AM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1147</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0" t="s">
        <v>539</v>
      </c>
      <c r="C11" s="1101"/>
      <c r="D11" s="1101"/>
      <c r="E11" s="1101"/>
      <c r="F11" s="1101"/>
      <c r="G11" s="1101"/>
      <c r="H11" s="1101"/>
      <c r="I11" s="1101"/>
      <c r="J11" s="1101"/>
      <c r="K11" s="1101"/>
      <c r="L11" s="1101"/>
      <c r="M11" s="1101"/>
      <c r="N11" s="1101"/>
      <c r="O11" s="1101"/>
      <c r="P11" s="1101"/>
      <c r="Q11" s="1101"/>
      <c r="R11" s="1101"/>
      <c r="S11" s="1103"/>
      <c r="T11" s="1630">
        <f>IF('Sources and Basis Breakdown'!F105=0,'Sources and Basis Breakdown'!E105,'Sources and Basis Breakdown'!F105)</f>
        <v>43290053.646808423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11"/>
      <c r="D12" s="1011"/>
      <c r="E12" s="1011"/>
      <c r="F12" s="1011"/>
      <c r="G12" s="1011"/>
      <c r="H12" s="1011"/>
      <c r="I12" s="1011"/>
      <c r="J12" s="1011"/>
      <c r="K12" s="1011"/>
      <c r="L12" s="1011"/>
      <c r="M12" s="1011"/>
      <c r="N12" s="1011"/>
      <c r="O12" s="1011"/>
      <c r="P12" s="1011"/>
      <c r="Q12" s="1011"/>
      <c r="R12" s="1011"/>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71">
        <f>'Basis &amp; Credits'!T14</f>
        <v>0</v>
      </c>
      <c r="U14" s="1247"/>
      <c r="V14" s="1247"/>
      <c r="W14" s="1247"/>
      <c r="X14" s="1247"/>
      <c r="Y14" s="1071">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71">
        <f>'Basis &amp; Credits'!T15</f>
        <v>0</v>
      </c>
      <c r="U15" s="1247"/>
      <c r="V15" s="1247"/>
      <c r="W15" s="1247"/>
      <c r="X15" s="1247"/>
      <c r="Y15" s="1071">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71">
        <f>'Basis &amp; Credits'!T16</f>
        <v>0</v>
      </c>
      <c r="U16" s="1247"/>
      <c r="V16" s="1247"/>
      <c r="W16" s="1247"/>
      <c r="X16" s="1247"/>
      <c r="Y16" s="1071">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71">
        <f>'Basis &amp; Credits'!T17</f>
        <v>0</v>
      </c>
      <c r="U17" s="1247"/>
      <c r="V17" s="1247"/>
      <c r="W17" s="1247"/>
      <c r="X17" s="1247"/>
      <c r="Y17" s="1071">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8"/>
      <c r="C18" s="1626" t="s">
        <v>1426</v>
      </c>
      <c r="D18" s="1627"/>
      <c r="E18" s="1627"/>
      <c r="F18" s="1627"/>
      <c r="G18" s="1627"/>
      <c r="H18" s="1627"/>
      <c r="I18" s="1627"/>
      <c r="J18" s="1627"/>
      <c r="K18" s="1627"/>
      <c r="L18" s="1627"/>
      <c r="M18" s="1627"/>
      <c r="N18" s="1627"/>
      <c r="O18" s="1627"/>
      <c r="P18" s="1627"/>
      <c r="Q18" s="1627"/>
      <c r="R18" s="1627"/>
      <c r="S18" s="1628"/>
      <c r="T18" s="1069">
        <f>'Basis &amp; Credits'!T18</f>
        <v>0</v>
      </c>
      <c r="U18" s="1070"/>
      <c r="V18" s="1070"/>
      <c r="W18" s="1070"/>
      <c r="X18" s="1071"/>
      <c r="Y18" s="1071">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71">
        <f>'Basis &amp; Credits'!T19</f>
        <v>0</v>
      </c>
      <c r="U19" s="1247"/>
      <c r="V19" s="1247"/>
      <c r="W19" s="1247"/>
      <c r="X19" s="1247"/>
      <c r="Y19" s="1071">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100" t="s">
        <v>808</v>
      </c>
      <c r="C20" s="1101"/>
      <c r="D20" s="1101"/>
      <c r="E20" s="1101"/>
      <c r="F20" s="1101"/>
      <c r="G20" s="1101"/>
      <c r="H20" s="1101"/>
      <c r="I20" s="1101"/>
      <c r="J20" s="1101"/>
      <c r="K20" s="1101"/>
      <c r="L20" s="1101"/>
      <c r="M20" s="1101"/>
      <c r="N20" s="1101"/>
      <c r="O20" s="1101"/>
      <c r="P20" s="1101"/>
      <c r="Q20" s="1101"/>
      <c r="R20" s="1101"/>
      <c r="S20" s="1103"/>
      <c r="T20" s="1596">
        <f>SUM(T13:X19)</f>
        <v>0</v>
      </c>
      <c r="U20" s="1317"/>
      <c r="V20" s="1317"/>
      <c r="W20" s="1317"/>
      <c r="X20" s="1317"/>
      <c r="Y20" s="1596">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100" t="s">
        <v>1787</v>
      </c>
      <c r="C21" s="1101"/>
      <c r="D21" s="1101"/>
      <c r="E21" s="1101"/>
      <c r="F21" s="1101"/>
      <c r="G21" s="1101"/>
      <c r="H21" s="1101"/>
      <c r="I21" s="1101"/>
      <c r="J21" s="1101"/>
      <c r="K21" s="1101"/>
      <c r="L21" s="1101"/>
      <c r="M21" s="1101"/>
      <c r="N21" s="1101"/>
      <c r="O21" s="1101"/>
      <c r="P21" s="1101"/>
      <c r="Q21" s="1101"/>
      <c r="R21" s="1101"/>
      <c r="S21" s="1103"/>
      <c r="T21" s="1071">
        <f>'Basis &amp; Credits'!E21</f>
        <v>0</v>
      </c>
      <c r="U21" s="1247"/>
      <c r="V21" s="1247"/>
      <c r="W21" s="1247"/>
      <c r="X21" s="1247"/>
      <c r="Y21" s="1071">
        <f>'Basis &amp; Credits'!J21</f>
        <v>0</v>
      </c>
      <c r="Z21" s="1247"/>
      <c r="AA21" s="1247"/>
      <c r="AB21" s="1247"/>
      <c r="AC21" s="1247"/>
      <c r="AD21" s="1247">
        <f>'Basis &amp; Credits'!O21</f>
        <v>0</v>
      </c>
      <c r="AE21" s="1247"/>
      <c r="AF21" s="1247"/>
      <c r="AG21" s="1247"/>
      <c r="AH21" s="1247"/>
      <c r="AI21" s="1247">
        <f>'Basis &amp; Credits'!T21</f>
        <v>6202338</v>
      </c>
      <c r="AJ21" s="1247"/>
      <c r="AK21" s="1247"/>
      <c r="AL21" s="1247"/>
      <c r="AM21" s="1247"/>
    </row>
    <row r="22" spans="1:39" ht="12.95" customHeight="1">
      <c r="B22" s="1100" t="s">
        <v>809</v>
      </c>
      <c r="C22" s="1101"/>
      <c r="D22" s="1101"/>
      <c r="E22" s="1101"/>
      <c r="F22" s="1101"/>
      <c r="G22" s="1101"/>
      <c r="H22" s="1101"/>
      <c r="I22" s="1101"/>
      <c r="J22" s="1101"/>
      <c r="K22" s="1101"/>
      <c r="L22" s="1101"/>
      <c r="M22" s="1101"/>
      <c r="N22" s="1101"/>
      <c r="O22" s="1101"/>
      <c r="P22" s="1101"/>
      <c r="Q22" s="1101"/>
      <c r="R22" s="1101"/>
      <c r="S22" s="1103"/>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-6202338</v>
      </c>
      <c r="AJ22" s="1632"/>
      <c r="AK22" s="1632"/>
      <c r="AL22" s="1632"/>
      <c r="AM22" s="1632"/>
    </row>
    <row r="23" spans="1:39" ht="12.95" customHeight="1">
      <c r="B23" s="1100" t="s">
        <v>810</v>
      </c>
      <c r="C23" s="1101"/>
      <c r="D23" s="1101"/>
      <c r="E23" s="1101"/>
      <c r="F23" s="1101"/>
      <c r="G23" s="1101"/>
      <c r="H23" s="1101"/>
      <c r="I23" s="1101"/>
      <c r="J23" s="1101"/>
      <c r="K23" s="1101"/>
      <c r="L23" s="1101"/>
      <c r="M23" s="1101"/>
      <c r="N23" s="1101"/>
      <c r="O23" s="1101"/>
      <c r="P23" s="1101"/>
      <c r="Q23" s="1101"/>
      <c r="R23" s="1101"/>
      <c r="S23" s="1103"/>
      <c r="T23" s="1596">
        <f>T11+T22</f>
        <v>43290053.646808423</v>
      </c>
      <c r="U23" s="1317"/>
      <c r="V23" s="1317"/>
      <c r="W23" s="1317"/>
      <c r="X23" s="1317"/>
      <c r="Y23" s="1596">
        <f>Y11+Y22</f>
        <v>0</v>
      </c>
      <c r="Z23" s="1317"/>
      <c r="AA23" s="1317"/>
      <c r="AB23" s="1317"/>
      <c r="AC23" s="1317"/>
      <c r="AD23" s="1596">
        <f>AD11+AD22</f>
        <v>0</v>
      </c>
      <c r="AE23" s="1317"/>
      <c r="AF23" s="1317"/>
      <c r="AG23" s="1317"/>
      <c r="AH23" s="1317"/>
      <c r="AI23" s="1596">
        <f>AI11+AI22</f>
        <v>-6202338</v>
      </c>
      <c r="AJ23" s="1317"/>
      <c r="AK23" s="1317"/>
      <c r="AL23" s="1317"/>
      <c r="AM23" s="1317"/>
    </row>
    <row r="24" spans="1:39" ht="12.95" customHeight="1">
      <c r="B24" s="1100" t="s">
        <v>1270</v>
      </c>
      <c r="C24" s="1101"/>
      <c r="D24" s="1101"/>
      <c r="E24" s="1101"/>
      <c r="F24" s="1101"/>
      <c r="G24" s="1101"/>
      <c r="H24" s="1101"/>
      <c r="I24" s="1101"/>
      <c r="J24" s="1101"/>
      <c r="K24" s="1101"/>
      <c r="L24" s="1101"/>
      <c r="M24" s="1101"/>
      <c r="N24" s="1101"/>
      <c r="O24" s="1101"/>
      <c r="P24" s="1101"/>
      <c r="Q24" s="1101"/>
      <c r="R24" s="1101"/>
      <c r="S24" s="1103"/>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0" t="s">
        <v>811</v>
      </c>
      <c r="C26" s="1101"/>
      <c r="D26" s="1101"/>
      <c r="E26" s="1101"/>
      <c r="F26" s="1101"/>
      <c r="G26" s="1101"/>
      <c r="H26" s="1101"/>
      <c r="I26" s="1101"/>
      <c r="J26" s="1101"/>
      <c r="K26" s="1101"/>
      <c r="L26" s="1101"/>
      <c r="M26" s="1101"/>
      <c r="N26" s="1101"/>
      <c r="O26" s="1101"/>
      <c r="P26" s="1101"/>
      <c r="Q26" s="1101"/>
      <c r="R26" s="1101"/>
      <c r="S26" s="1103"/>
      <c r="T26" s="1243">
        <f>T23*T25</f>
        <v>43290053.646808423</v>
      </c>
      <c r="U26" s="1608"/>
      <c r="V26" s="1608"/>
      <c r="W26" s="1608"/>
      <c r="X26" s="1608"/>
      <c r="Y26" s="1243">
        <f>Y23*Y25</f>
        <v>0</v>
      </c>
      <c r="Z26" s="1608"/>
      <c r="AA26" s="1608"/>
      <c r="AB26" s="1608"/>
      <c r="AC26" s="1608"/>
      <c r="AD26" s="1243">
        <f>AD23*AD25</f>
        <v>0</v>
      </c>
      <c r="AE26" s="1608"/>
      <c r="AF26" s="1608"/>
      <c r="AG26" s="1608"/>
      <c r="AH26" s="1608"/>
      <c r="AI26" s="1243">
        <f>AI23*AI25</f>
        <v>-6202338</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0" t="s">
        <v>884</v>
      </c>
      <c r="C28" s="1101"/>
      <c r="D28" s="1101"/>
      <c r="E28" s="1101"/>
      <c r="F28" s="1101"/>
      <c r="G28" s="1101"/>
      <c r="H28" s="1101"/>
      <c r="I28" s="1101"/>
      <c r="J28" s="1101"/>
      <c r="K28" s="1101"/>
      <c r="L28" s="1101"/>
      <c r="M28" s="1101"/>
      <c r="N28" s="1101"/>
      <c r="O28" s="1101"/>
      <c r="P28" s="1101"/>
      <c r="Q28" s="1101"/>
      <c r="R28" s="1101"/>
      <c r="S28" s="1103"/>
      <c r="T28" s="1243">
        <f>IF(ISERROR((T26*T27)),0,(T26*T27))</f>
        <v>43290053.646808423</v>
      </c>
      <c r="U28" s="1608"/>
      <c r="V28" s="1608"/>
      <c r="W28" s="1608"/>
      <c r="X28" s="1608"/>
      <c r="Y28" s="1243">
        <f>IF(ISERROR((Y26*Y27)),0,(Y26*Y27))</f>
        <v>0</v>
      </c>
      <c r="Z28" s="1608"/>
      <c r="AA28" s="1608"/>
      <c r="AB28" s="1608"/>
      <c r="AC28" s="1608"/>
      <c r="AD28" s="1243">
        <f>IF(ISERROR((AD26*AD27)),0,(AD26*AD27))</f>
        <v>0</v>
      </c>
      <c r="AE28" s="1608"/>
      <c r="AF28" s="1608"/>
      <c r="AG28" s="1608"/>
      <c r="AH28" s="1608"/>
      <c r="AI28" s="1243">
        <f>IF(ISERROR((AI26*AI27)),0,(AI26*AI27))</f>
        <v>-6202338</v>
      </c>
      <c r="AJ28" s="1608"/>
      <c r="AK28" s="1608"/>
      <c r="AL28" s="1608"/>
      <c r="AM28" s="1608"/>
    </row>
    <row r="29" spans="1:39" ht="12.95" customHeight="1">
      <c r="B29" s="1100" t="s">
        <v>659</v>
      </c>
      <c r="C29" s="1101"/>
      <c r="D29" s="1101"/>
      <c r="E29" s="1101"/>
      <c r="F29" s="1101"/>
      <c r="G29" s="1101"/>
      <c r="H29" s="1101"/>
      <c r="I29" s="1101"/>
      <c r="J29" s="1101"/>
      <c r="K29" s="1101"/>
      <c r="L29" s="1101"/>
      <c r="M29" s="1101"/>
      <c r="N29" s="1101"/>
      <c r="O29" s="1101"/>
      <c r="P29" s="1101"/>
      <c r="Q29" s="1101"/>
      <c r="R29" s="1101"/>
      <c r="S29" s="1103"/>
      <c r="T29" s="1597">
        <f>T28+Y28+AD28+AI28</f>
        <v>37087715.646808423</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3" t="s">
        <v>45</v>
      </c>
      <c r="AE35" s="1233"/>
      <c r="AF35" s="1233"/>
      <c r="AG35" s="1233"/>
      <c r="AH35" s="1233"/>
    </row>
    <row r="36" spans="1:40" ht="12.95" customHeight="1">
      <c r="B36" s="204"/>
      <c r="X36" s="71"/>
      <c r="Y36" s="1599"/>
      <c r="Z36" s="1599"/>
      <c r="AA36" s="1599"/>
      <c r="AB36" s="1599"/>
      <c r="AC36" s="1599"/>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3"/>
      <c r="AE37" s="1233"/>
      <c r="AF37" s="1233"/>
      <c r="AG37" s="1233"/>
      <c r="AH37" s="1233"/>
    </row>
    <row r="38" spans="1:40" ht="12.95" customHeight="1">
      <c r="A38" s="3"/>
      <c r="B38" s="1100" t="s">
        <v>884</v>
      </c>
      <c r="C38" s="1101"/>
      <c r="D38" s="1101"/>
      <c r="E38" s="1101"/>
      <c r="F38" s="1101"/>
      <c r="G38" s="1101"/>
      <c r="H38" s="1101"/>
      <c r="I38" s="1101"/>
      <c r="J38" s="1101"/>
      <c r="K38" s="1101"/>
      <c r="L38" s="1101"/>
      <c r="M38" s="1101"/>
      <c r="N38" s="1101"/>
      <c r="O38" s="1101"/>
      <c r="P38" s="1101"/>
      <c r="Q38" s="1101"/>
      <c r="R38" s="1101"/>
      <c r="S38" s="1101"/>
      <c r="T38" s="1101"/>
      <c r="U38" s="1101"/>
      <c r="V38" s="1101"/>
      <c r="W38" s="1101"/>
      <c r="X38" s="1103"/>
      <c r="Y38" s="1317">
        <f>IF(T24&gt;=(T23+Y23+AD23+AI23),T28+Y28,0)</f>
        <v>0</v>
      </c>
      <c r="Z38" s="1317"/>
      <c r="AA38" s="1317"/>
      <c r="AB38" s="1317"/>
      <c r="AC38" s="1317"/>
      <c r="AD38" s="1317">
        <f>IF(T24&gt;=(T23+Y23+AD23+AI23),AD28+AI28,0)</f>
        <v>0</v>
      </c>
      <c r="AE38" s="1317"/>
      <c r="AF38" s="1317"/>
      <c r="AG38" s="1317"/>
      <c r="AH38" s="1317"/>
    </row>
    <row r="39" spans="1:40" ht="12.95" customHeight="1">
      <c r="B39" s="1100" t="s">
        <v>802</v>
      </c>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3"/>
      <c r="Y39" s="1959">
        <v>0.09</v>
      </c>
      <c r="Z39" s="1959"/>
      <c r="AA39" s="1959"/>
      <c r="AB39" s="1959"/>
      <c r="AC39" s="1959"/>
      <c r="AD39" s="1959">
        <f>'Basis &amp; Credits'!AD39:AH39</f>
        <v>0.04</v>
      </c>
      <c r="AE39" s="1959"/>
      <c r="AF39" s="1959"/>
      <c r="AG39" s="1959"/>
      <c r="AH39" s="1959"/>
    </row>
    <row r="40" spans="1:40" ht="12.95" customHeight="1">
      <c r="A40" s="3"/>
      <c r="B40" s="1100" t="s">
        <v>25</v>
      </c>
      <c r="C40" s="1101"/>
      <c r="D40" s="1101"/>
      <c r="E40" s="1101"/>
      <c r="F40" s="1101"/>
      <c r="G40" s="1101"/>
      <c r="H40" s="1101"/>
      <c r="I40" s="1101"/>
      <c r="J40" s="1101"/>
      <c r="K40" s="1101"/>
      <c r="L40" s="1101"/>
      <c r="M40" s="1101"/>
      <c r="N40" s="1101"/>
      <c r="O40" s="1101"/>
      <c r="P40" s="1101"/>
      <c r="Q40" s="1101"/>
      <c r="R40" s="1101"/>
      <c r="S40" s="1101"/>
      <c r="T40" s="1101"/>
      <c r="U40" s="1101"/>
      <c r="V40" s="1101"/>
      <c r="W40" s="1101"/>
      <c r="X40" s="1103"/>
      <c r="Y40" s="1317">
        <f>ROUND(Y38*Y39,0)</f>
        <v>0</v>
      </c>
      <c r="Z40" s="1317"/>
      <c r="AA40" s="1317"/>
      <c r="AB40" s="1317"/>
      <c r="AC40" s="1317"/>
      <c r="AD40" s="1596">
        <f>ROUND(AD38*AD39,0)</f>
        <v>0</v>
      </c>
      <c r="AE40" s="1317"/>
      <c r="AF40" s="1317"/>
      <c r="AG40" s="1317"/>
      <c r="AH40" s="1317"/>
    </row>
    <row r="41" spans="1:40" ht="12.95" customHeight="1">
      <c r="B41" s="1100" t="s">
        <v>653</v>
      </c>
      <c r="C41" s="1101"/>
      <c r="D41" s="1101"/>
      <c r="E41" s="1101"/>
      <c r="F41" s="1101"/>
      <c r="G41" s="1101"/>
      <c r="H41" s="1101"/>
      <c r="I41" s="1101"/>
      <c r="J41" s="1101"/>
      <c r="K41" s="1101"/>
      <c r="L41" s="1101"/>
      <c r="M41" s="1101"/>
      <c r="N41" s="1101"/>
      <c r="O41" s="1101"/>
      <c r="P41" s="1101"/>
      <c r="Q41" s="1101"/>
      <c r="R41" s="1101"/>
      <c r="S41" s="1101"/>
      <c r="T41" s="1101"/>
      <c r="U41" s="1101"/>
      <c r="V41" s="1101"/>
      <c r="W41" s="1101"/>
      <c r="X41" s="1103"/>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9">
        <f>'Sources and Uses Budget'!B104-'Sources and Uses Budget'!$B$15</f>
        <v>59831816.428017184</v>
      </c>
      <c r="AC46" s="1160"/>
      <c r="AD46" s="1160"/>
      <c r="AE46" s="1160"/>
      <c r="AF46" s="1161"/>
    </row>
    <row r="47" spans="1:40" ht="12.95" customHeight="1">
      <c r="D47" s="3" t="s">
        <v>878</v>
      </c>
      <c r="AB47" s="1159">
        <f>Application!AG630-MIN('Sources and Uses Budget'!B15,Application!AG385)</f>
        <v>0</v>
      </c>
      <c r="AC47" s="1160"/>
      <c r="AD47" s="1160"/>
      <c r="AE47" s="1160"/>
      <c r="AF47" s="1161"/>
    </row>
    <row r="48" spans="1:40" ht="12.95" customHeight="1">
      <c r="D48" s="3" t="s">
        <v>403</v>
      </c>
      <c r="AB48" s="1159">
        <f>AB46-AB47</f>
        <v>59831816.428017184</v>
      </c>
      <c r="AC48" s="1160"/>
      <c r="AD48" s="1160"/>
      <c r="AE48" s="1160"/>
      <c r="AF48" s="1161"/>
    </row>
    <row r="49" spans="1:40" ht="12.95" customHeight="1">
      <c r="D49" s="3" t="s">
        <v>913</v>
      </c>
      <c r="AA49" s="34"/>
      <c r="AB49" s="1602"/>
      <c r="AC49" s="1603"/>
      <c r="AD49" s="1603"/>
      <c r="AE49" s="1603"/>
      <c r="AF49" s="1604"/>
    </row>
    <row r="50" spans="1:40" s="324" customFormat="1" ht="12.95"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592</v>
      </c>
      <c r="AB54" s="1159">
        <f>(AB53/10)</f>
        <v>0</v>
      </c>
      <c r="AC54" s="1160"/>
      <c r="AD54" s="1160"/>
      <c r="AE54" s="1160"/>
      <c r="AF54" s="1161"/>
    </row>
    <row r="55" spans="1:40" ht="12.95" customHeight="1">
      <c r="D55" s="3" t="s">
        <v>362</v>
      </c>
      <c r="AB55" s="1609">
        <f>(IF((Y41&lt;AB54),Y41,AB54))</f>
        <v>0</v>
      </c>
      <c r="AC55" s="1610"/>
      <c r="AD55" s="1610"/>
      <c r="AE55" s="1610"/>
      <c r="AF55" s="161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65">
        <f>AB48-AB56</f>
        <v>59831816.428017184</v>
      </c>
      <c r="AC58" s="1165"/>
      <c r="AD58" s="1165"/>
      <c r="AE58" s="1165"/>
      <c r="AF58" s="116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7">
        <f>Y28</f>
        <v>0</v>
      </c>
      <c r="Z63" s="1605"/>
      <c r="AA63" s="1605"/>
      <c r="AB63" s="1605"/>
      <c r="AC63" s="1605"/>
      <c r="AD63" s="1317">
        <f>AI28</f>
        <v>-6202338</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7">
        <f>ROUND(Y63*Y66,0)</f>
        <v>0</v>
      </c>
      <c r="Z67" s="1605"/>
      <c r="AA67" s="1605"/>
      <c r="AB67" s="1605"/>
      <c r="AC67" s="1605"/>
      <c r="AD67" s="1317" t="str">
        <f>IF(OR(Application!D211="At-Risk",Application!D211="At-Risk/Located in Rural Census Tract",Application!D214="At-Risk"),ROUND(AD63*AD66,0),"$0")</f>
        <v>$0</v>
      </c>
      <c r="AE67" s="1317"/>
      <c r="AF67" s="1317"/>
      <c r="AG67" s="1317"/>
      <c r="AH67" s="1317"/>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0</v>
      </c>
      <c r="AC75" s="1225"/>
      <c r="AD75" s="1225"/>
      <c r="AE75" s="1225"/>
      <c r="AF75" s="1225"/>
    </row>
    <row r="76" spans="1:34" ht="12.95" customHeight="1">
      <c r="C76" s="3"/>
      <c r="D76" s="3" t="s">
        <v>113</v>
      </c>
      <c r="AB76" s="1220">
        <f>IF((Y67+AD67&lt;AB75),Y67+AD67,AB75)</f>
        <v>0</v>
      </c>
      <c r="AC76" s="1221"/>
      <c r="AD76" s="1221"/>
      <c r="AE76" s="1221"/>
      <c r="AF76" s="1222"/>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5">
        <f>AB48-(AB56+AB77)</f>
        <v>59831816.428017184</v>
      </c>
      <c r="AC79" s="1165"/>
      <c r="AD79" s="1165"/>
      <c r="AE79" s="1165"/>
      <c r="AF79" s="116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2"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1416</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0" t="s">
        <v>539</v>
      </c>
      <c r="C11" s="1101"/>
      <c r="D11" s="1101"/>
      <c r="E11" s="1101"/>
      <c r="F11" s="1101"/>
      <c r="G11" s="1101"/>
      <c r="H11" s="1101"/>
      <c r="I11" s="1101"/>
      <c r="J11" s="1101"/>
      <c r="K11" s="1101"/>
      <c r="L11" s="1101"/>
      <c r="M11" s="1101"/>
      <c r="N11" s="1101"/>
      <c r="O11" s="1101"/>
      <c r="P11" s="1101"/>
      <c r="Q11" s="1101"/>
      <c r="R11" s="1101"/>
      <c r="S11" s="1103"/>
      <c r="T11" s="1630">
        <f>IF('Sources and Basis Breakdown'!F105=0,'Sources and Basis Breakdown'!E105,'Sources and Basis Breakdown'!F105)</f>
        <v>43290053.646808423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11"/>
      <c r="D12" s="1011"/>
      <c r="E12" s="1011"/>
      <c r="F12" s="1011"/>
      <c r="G12" s="1011"/>
      <c r="H12" s="1011"/>
      <c r="I12" s="1011"/>
      <c r="J12" s="1011"/>
      <c r="K12" s="1011"/>
      <c r="L12" s="1011"/>
      <c r="M12" s="1011"/>
      <c r="N12" s="1011"/>
      <c r="O12" s="1011"/>
      <c r="P12" s="1011"/>
      <c r="Q12" s="1011"/>
      <c r="R12" s="1011"/>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71">
        <f>'Basis &amp; Credits'!T14</f>
        <v>0</v>
      </c>
      <c r="U14" s="1247"/>
      <c r="V14" s="1247"/>
      <c r="W14" s="1247"/>
      <c r="X14" s="1247"/>
      <c r="Y14" s="1071">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71">
        <f>'Basis &amp; Credits'!T15</f>
        <v>0</v>
      </c>
      <c r="U15" s="1247"/>
      <c r="V15" s="1247"/>
      <c r="W15" s="1247"/>
      <c r="X15" s="1247"/>
      <c r="Y15" s="1071">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71">
        <f>'Basis &amp; Credits'!T16</f>
        <v>0</v>
      </c>
      <c r="U16" s="1247"/>
      <c r="V16" s="1247"/>
      <c r="W16" s="1247"/>
      <c r="X16" s="1247"/>
      <c r="Y16" s="1071">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71">
        <f>'Basis &amp; Credits'!T17</f>
        <v>0</v>
      </c>
      <c r="U17" s="1247"/>
      <c r="V17" s="1247"/>
      <c r="W17" s="1247"/>
      <c r="X17" s="1247"/>
      <c r="Y17" s="1071">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8"/>
      <c r="C18" s="1626" t="s">
        <v>1426</v>
      </c>
      <c r="D18" s="1627"/>
      <c r="E18" s="1627"/>
      <c r="F18" s="1627"/>
      <c r="G18" s="1627"/>
      <c r="H18" s="1627"/>
      <c r="I18" s="1627"/>
      <c r="J18" s="1627"/>
      <c r="K18" s="1627"/>
      <c r="L18" s="1627"/>
      <c r="M18" s="1627"/>
      <c r="N18" s="1627"/>
      <c r="O18" s="1627"/>
      <c r="P18" s="1627"/>
      <c r="Q18" s="1627"/>
      <c r="R18" s="1627"/>
      <c r="S18" s="1628"/>
      <c r="T18" s="1069">
        <f>'Basis &amp; Credits'!T18</f>
        <v>0</v>
      </c>
      <c r="U18" s="1070"/>
      <c r="V18" s="1070"/>
      <c r="W18" s="1070"/>
      <c r="X18" s="1071"/>
      <c r="Y18" s="1071">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71">
        <f>'Basis &amp; Credits'!T19</f>
        <v>0</v>
      </c>
      <c r="U19" s="1247"/>
      <c r="V19" s="1247"/>
      <c r="W19" s="1247"/>
      <c r="X19" s="1247"/>
      <c r="Y19" s="1071">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100" t="s">
        <v>808</v>
      </c>
      <c r="C20" s="1101"/>
      <c r="D20" s="1101"/>
      <c r="E20" s="1101"/>
      <c r="F20" s="1101"/>
      <c r="G20" s="1101"/>
      <c r="H20" s="1101"/>
      <c r="I20" s="1101"/>
      <c r="J20" s="1101"/>
      <c r="K20" s="1101"/>
      <c r="L20" s="1101"/>
      <c r="M20" s="1101"/>
      <c r="N20" s="1101"/>
      <c r="O20" s="1101"/>
      <c r="P20" s="1101"/>
      <c r="Q20" s="1101"/>
      <c r="R20" s="1101"/>
      <c r="S20" s="1103"/>
      <c r="T20" s="1596">
        <f>SUM(T13:X19)</f>
        <v>0</v>
      </c>
      <c r="U20" s="1317"/>
      <c r="V20" s="1317"/>
      <c r="W20" s="1317"/>
      <c r="X20" s="1317"/>
      <c r="Y20" s="1596">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100" t="s">
        <v>1787</v>
      </c>
      <c r="C21" s="1101"/>
      <c r="D21" s="1101"/>
      <c r="E21" s="1101"/>
      <c r="F21" s="1101"/>
      <c r="G21" s="1101"/>
      <c r="H21" s="1101"/>
      <c r="I21" s="1101"/>
      <c r="J21" s="1101"/>
      <c r="K21" s="1101"/>
      <c r="L21" s="1101"/>
      <c r="M21" s="1101"/>
      <c r="N21" s="1101"/>
      <c r="O21" s="1101"/>
      <c r="P21" s="1101"/>
      <c r="Q21" s="1101"/>
      <c r="R21" s="1101"/>
      <c r="S21" s="1103"/>
      <c r="T21" s="1071">
        <f>'Basis &amp; Credits'!T21</f>
        <v>6202338</v>
      </c>
      <c r="U21" s="1247"/>
      <c r="V21" s="1247"/>
      <c r="W21" s="1247"/>
      <c r="X21" s="1247"/>
      <c r="Y21" s="1071">
        <f>'Basis &amp; Credits'!Y21</f>
        <v>0</v>
      </c>
      <c r="Z21" s="1247"/>
      <c r="AA21" s="1247"/>
      <c r="AB21" s="1247"/>
      <c r="AC21" s="1247"/>
      <c r="AD21" s="1247">
        <f>'Basis &amp; Credits'!AD21</f>
        <v>0</v>
      </c>
      <c r="AE21" s="1247"/>
      <c r="AF21" s="1247"/>
      <c r="AG21" s="1247"/>
      <c r="AH21" s="1247"/>
      <c r="AI21" s="1247">
        <f>'Basis &amp; Credits'!AI21</f>
        <v>0</v>
      </c>
      <c r="AJ21" s="1247"/>
      <c r="AK21" s="1247"/>
      <c r="AL21" s="1247"/>
      <c r="AM21" s="1247"/>
    </row>
    <row r="22" spans="1:39" ht="12.95" customHeight="1">
      <c r="B22" s="1100" t="s">
        <v>809</v>
      </c>
      <c r="C22" s="1101"/>
      <c r="D22" s="1101"/>
      <c r="E22" s="1101"/>
      <c r="F22" s="1101"/>
      <c r="G22" s="1101"/>
      <c r="H22" s="1101"/>
      <c r="I22" s="1101"/>
      <c r="J22" s="1101"/>
      <c r="K22" s="1101"/>
      <c r="L22" s="1101"/>
      <c r="M22" s="1101"/>
      <c r="N22" s="1101"/>
      <c r="O22" s="1101"/>
      <c r="P22" s="1101"/>
      <c r="Q22" s="1101"/>
      <c r="R22" s="1101"/>
      <c r="S22" s="1103"/>
      <c r="T22" s="1631">
        <f>(T20+T21)*-1</f>
        <v>-6202338</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100" t="s">
        <v>810</v>
      </c>
      <c r="C23" s="1101"/>
      <c r="D23" s="1101"/>
      <c r="E23" s="1101"/>
      <c r="F23" s="1101"/>
      <c r="G23" s="1101"/>
      <c r="H23" s="1101"/>
      <c r="I23" s="1101"/>
      <c r="J23" s="1101"/>
      <c r="K23" s="1101"/>
      <c r="L23" s="1101"/>
      <c r="M23" s="1101"/>
      <c r="N23" s="1101"/>
      <c r="O23" s="1101"/>
      <c r="P23" s="1101"/>
      <c r="Q23" s="1101"/>
      <c r="R23" s="1101"/>
      <c r="S23" s="1103"/>
      <c r="T23" s="1596">
        <f>T11+T22</f>
        <v>37087715.646808423</v>
      </c>
      <c r="U23" s="1317"/>
      <c r="V23" s="1317"/>
      <c r="W23" s="1317"/>
      <c r="X23" s="1317"/>
      <c r="Y23" s="1596">
        <f>Y11+Y22</f>
        <v>0</v>
      </c>
      <c r="Z23" s="1317"/>
      <c r="AA23" s="1317"/>
      <c r="AB23" s="1317"/>
      <c r="AC23" s="1317"/>
      <c r="AD23" s="1596">
        <f>AD11+AD22</f>
        <v>0</v>
      </c>
      <c r="AE23" s="1317"/>
      <c r="AF23" s="1317"/>
      <c r="AG23" s="1317"/>
      <c r="AH23" s="1317"/>
      <c r="AI23" s="1596">
        <f>AI11+AI22</f>
        <v>0</v>
      </c>
      <c r="AJ23" s="1317"/>
      <c r="AK23" s="1317"/>
      <c r="AL23" s="1317"/>
      <c r="AM23" s="1317"/>
    </row>
    <row r="24" spans="1:39" ht="12.95" customHeight="1">
      <c r="B24" s="1100" t="s">
        <v>1270</v>
      </c>
      <c r="C24" s="1101"/>
      <c r="D24" s="1101"/>
      <c r="E24" s="1101"/>
      <c r="F24" s="1101"/>
      <c r="G24" s="1101"/>
      <c r="H24" s="1101"/>
      <c r="I24" s="1101"/>
      <c r="J24" s="1101"/>
      <c r="K24" s="1101"/>
      <c r="L24" s="1101"/>
      <c r="M24" s="1101"/>
      <c r="N24" s="1101"/>
      <c r="O24" s="1101"/>
      <c r="P24" s="1101"/>
      <c r="Q24" s="1101"/>
      <c r="R24" s="1101"/>
      <c r="S24" s="1103"/>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0" t="s">
        <v>811</v>
      </c>
      <c r="C26" s="1101"/>
      <c r="D26" s="1101"/>
      <c r="E26" s="1101"/>
      <c r="F26" s="1101"/>
      <c r="G26" s="1101"/>
      <c r="H26" s="1101"/>
      <c r="I26" s="1101"/>
      <c r="J26" s="1101"/>
      <c r="K26" s="1101"/>
      <c r="L26" s="1101"/>
      <c r="M26" s="1101"/>
      <c r="N26" s="1101"/>
      <c r="O26" s="1101"/>
      <c r="P26" s="1101"/>
      <c r="Q26" s="1101"/>
      <c r="R26" s="1101"/>
      <c r="S26" s="1103"/>
      <c r="T26" s="1243">
        <f>T23*T25</f>
        <v>37087715.646808423</v>
      </c>
      <c r="U26" s="1608"/>
      <c r="V26" s="1608"/>
      <c r="W26" s="1608"/>
      <c r="X26" s="1608"/>
      <c r="Y26" s="1243">
        <f>Y23*Y25</f>
        <v>0</v>
      </c>
      <c r="Z26" s="1608"/>
      <c r="AA26" s="1608"/>
      <c r="AB26" s="1608"/>
      <c r="AC26" s="1608"/>
      <c r="AD26" s="1243">
        <f>AD23*AD25</f>
        <v>0</v>
      </c>
      <c r="AE26" s="1608"/>
      <c r="AF26" s="1608"/>
      <c r="AG26" s="1608"/>
      <c r="AH26" s="1608"/>
      <c r="AI26" s="1243">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0" t="s">
        <v>884</v>
      </c>
      <c r="C28" s="1101"/>
      <c r="D28" s="1101"/>
      <c r="E28" s="1101"/>
      <c r="F28" s="1101"/>
      <c r="G28" s="1101"/>
      <c r="H28" s="1101"/>
      <c r="I28" s="1101"/>
      <c r="J28" s="1101"/>
      <c r="K28" s="1101"/>
      <c r="L28" s="1101"/>
      <c r="M28" s="1101"/>
      <c r="N28" s="1101"/>
      <c r="O28" s="1101"/>
      <c r="P28" s="1101"/>
      <c r="Q28" s="1101"/>
      <c r="R28" s="1101"/>
      <c r="S28" s="1103"/>
      <c r="T28" s="1243">
        <f>IF(ISERROR((T26*T27)),0,(T26*T27))</f>
        <v>37087715.646808423</v>
      </c>
      <c r="U28" s="1608"/>
      <c r="V28" s="1608"/>
      <c r="W28" s="1608"/>
      <c r="X28" s="1608"/>
      <c r="Y28" s="1243">
        <f>IF(ISERROR((Y26*Y27)),0,(Y26*Y27))</f>
        <v>0</v>
      </c>
      <c r="Z28" s="1608"/>
      <c r="AA28" s="1608"/>
      <c r="AB28" s="1608"/>
      <c r="AC28" s="1608"/>
      <c r="AD28" s="1243">
        <f>IF(ISERROR((AD26*AD27)),0,(AD26*AD27))</f>
        <v>0</v>
      </c>
      <c r="AE28" s="1608"/>
      <c r="AF28" s="1608"/>
      <c r="AG28" s="1608"/>
      <c r="AH28" s="1608"/>
      <c r="AI28" s="1243">
        <f>IF(ISERROR((AI26*AI27)),0,(AI26*AI27))</f>
        <v>0</v>
      </c>
      <c r="AJ28" s="1608"/>
      <c r="AK28" s="1608"/>
      <c r="AL28" s="1608"/>
      <c r="AM28" s="1608"/>
    </row>
    <row r="29" spans="1:39" ht="12.95" customHeight="1">
      <c r="B29" s="1100" t="s">
        <v>659</v>
      </c>
      <c r="C29" s="1101"/>
      <c r="D29" s="1101"/>
      <c r="E29" s="1101"/>
      <c r="F29" s="1101"/>
      <c r="G29" s="1101"/>
      <c r="H29" s="1101"/>
      <c r="I29" s="1101"/>
      <c r="J29" s="1101"/>
      <c r="K29" s="1101"/>
      <c r="L29" s="1101"/>
      <c r="M29" s="1101"/>
      <c r="N29" s="1101"/>
      <c r="O29" s="1101"/>
      <c r="P29" s="1101"/>
      <c r="Q29" s="1101"/>
      <c r="R29" s="1101"/>
      <c r="S29" s="1103"/>
      <c r="T29" s="1597">
        <f>T28+Y28+AD28+AI28</f>
        <v>37087715.646808423</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3" t="s">
        <v>45</v>
      </c>
      <c r="AE35" s="1233"/>
      <c r="AF35" s="1233"/>
      <c r="AG35" s="1233"/>
      <c r="AH35" s="1233"/>
    </row>
    <row r="36" spans="1:40" ht="12.95" customHeight="1">
      <c r="B36" s="204"/>
      <c r="X36" s="71"/>
      <c r="Y36" s="1599"/>
      <c r="Z36" s="1599"/>
      <c r="AA36" s="1599"/>
      <c r="AB36" s="1599"/>
      <c r="AC36" s="1599"/>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3"/>
      <c r="AE37" s="1233"/>
      <c r="AF37" s="1233"/>
      <c r="AG37" s="1233"/>
      <c r="AH37" s="1233"/>
    </row>
    <row r="38" spans="1:40" ht="12.95" customHeight="1">
      <c r="A38" s="3"/>
      <c r="B38" s="1100" t="s">
        <v>884</v>
      </c>
      <c r="C38" s="1101"/>
      <c r="D38" s="1101"/>
      <c r="E38" s="1101"/>
      <c r="F38" s="1101"/>
      <c r="G38" s="1101"/>
      <c r="H38" s="1101"/>
      <c r="I38" s="1101"/>
      <c r="J38" s="1101"/>
      <c r="K38" s="1101"/>
      <c r="L38" s="1101"/>
      <c r="M38" s="1101"/>
      <c r="N38" s="1101"/>
      <c r="O38" s="1101"/>
      <c r="P38" s="1101"/>
      <c r="Q38" s="1101"/>
      <c r="R38" s="1101"/>
      <c r="S38" s="1101"/>
      <c r="T38" s="1101"/>
      <c r="U38" s="1101"/>
      <c r="V38" s="1101"/>
      <c r="W38" s="1101"/>
      <c r="X38" s="1103"/>
      <c r="Y38" s="1317">
        <f>IF(T24&gt;=(T23+Y23+AD23+AI23),T28+Y28,0)</f>
        <v>0</v>
      </c>
      <c r="Z38" s="1317"/>
      <c r="AA38" s="1317"/>
      <c r="AB38" s="1317"/>
      <c r="AC38" s="1317"/>
      <c r="AD38" s="1317">
        <f>IF(T24&gt;=(T23+Y23+AD23+AI23),AD28+AI28,0)</f>
        <v>0</v>
      </c>
      <c r="AE38" s="1317"/>
      <c r="AF38" s="1317"/>
      <c r="AG38" s="1317"/>
      <c r="AH38" s="1317"/>
    </row>
    <row r="39" spans="1:40" ht="12.95" customHeight="1">
      <c r="B39" s="1100" t="s">
        <v>802</v>
      </c>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3"/>
      <c r="Y39" s="1959">
        <v>0.09</v>
      </c>
      <c r="Z39" s="1959"/>
      <c r="AA39" s="1959"/>
      <c r="AB39" s="1959"/>
      <c r="AC39" s="1959"/>
      <c r="AD39" s="1959">
        <f>'Basis &amp; Credits'!AD39:AH39</f>
        <v>0.04</v>
      </c>
      <c r="AE39" s="1959"/>
      <c r="AF39" s="1959"/>
      <c r="AG39" s="1959"/>
      <c r="AH39" s="1959"/>
    </row>
    <row r="40" spans="1:40" ht="12.95" customHeight="1">
      <c r="A40" s="3"/>
      <c r="B40" s="1100" t="s">
        <v>25</v>
      </c>
      <c r="C40" s="1101"/>
      <c r="D40" s="1101"/>
      <c r="E40" s="1101"/>
      <c r="F40" s="1101"/>
      <c r="G40" s="1101"/>
      <c r="H40" s="1101"/>
      <c r="I40" s="1101"/>
      <c r="J40" s="1101"/>
      <c r="K40" s="1101"/>
      <c r="L40" s="1101"/>
      <c r="M40" s="1101"/>
      <c r="N40" s="1101"/>
      <c r="O40" s="1101"/>
      <c r="P40" s="1101"/>
      <c r="Q40" s="1101"/>
      <c r="R40" s="1101"/>
      <c r="S40" s="1101"/>
      <c r="T40" s="1101"/>
      <c r="U40" s="1101"/>
      <c r="V40" s="1101"/>
      <c r="W40" s="1101"/>
      <c r="X40" s="1103"/>
      <c r="Y40" s="1317">
        <f>ROUND(Y38*Y39,0)</f>
        <v>0</v>
      </c>
      <c r="Z40" s="1317"/>
      <c r="AA40" s="1317"/>
      <c r="AB40" s="1317"/>
      <c r="AC40" s="1317"/>
      <c r="AD40" s="1596">
        <f>ROUND(AD38*AD39,0)</f>
        <v>0</v>
      </c>
      <c r="AE40" s="1317"/>
      <c r="AF40" s="1317"/>
      <c r="AG40" s="1317"/>
      <c r="AH40" s="1317"/>
    </row>
    <row r="41" spans="1:40" ht="12.95" customHeight="1">
      <c r="B41" s="1100" t="s">
        <v>653</v>
      </c>
      <c r="C41" s="1101"/>
      <c r="D41" s="1101"/>
      <c r="E41" s="1101"/>
      <c r="F41" s="1101"/>
      <c r="G41" s="1101"/>
      <c r="H41" s="1101"/>
      <c r="I41" s="1101"/>
      <c r="J41" s="1101"/>
      <c r="K41" s="1101"/>
      <c r="L41" s="1101"/>
      <c r="M41" s="1101"/>
      <c r="N41" s="1101"/>
      <c r="O41" s="1101"/>
      <c r="P41" s="1101"/>
      <c r="Q41" s="1101"/>
      <c r="R41" s="1101"/>
      <c r="S41" s="1101"/>
      <c r="T41" s="1101"/>
      <c r="U41" s="1101"/>
      <c r="V41" s="1101"/>
      <c r="W41" s="1101"/>
      <c r="X41" s="1103"/>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9">
        <f>'Sources and Uses Budget'!B104-'Sources and Uses Budget'!$B$15</f>
        <v>59831816.428017184</v>
      </c>
      <c r="AC46" s="1160"/>
      <c r="AD46" s="1160"/>
      <c r="AE46" s="1160"/>
      <c r="AF46" s="1161"/>
    </row>
    <row r="47" spans="1:40" ht="12.95" customHeight="1">
      <c r="D47" s="3" t="s">
        <v>878</v>
      </c>
      <c r="AB47" s="1159">
        <f>Application!AG630-MIN('Sources and Uses Budget'!B15,Application!AG385)</f>
        <v>0</v>
      </c>
      <c r="AC47" s="1160"/>
      <c r="AD47" s="1160"/>
      <c r="AE47" s="1160"/>
      <c r="AF47" s="1161"/>
    </row>
    <row r="48" spans="1:40" ht="12.95" customHeight="1">
      <c r="D48" s="3" t="s">
        <v>403</v>
      </c>
      <c r="AB48" s="1159">
        <f>AB46-AB47</f>
        <v>59831816.428017184</v>
      </c>
      <c r="AC48" s="1160"/>
      <c r="AD48" s="1160"/>
      <c r="AE48" s="1160"/>
      <c r="AF48" s="1161"/>
    </row>
    <row r="49" spans="1:40" ht="12.95" customHeight="1">
      <c r="D49" s="3" t="s">
        <v>913</v>
      </c>
      <c r="AA49" s="34"/>
      <c r="AB49" s="1602"/>
      <c r="AC49" s="1603"/>
      <c r="AD49" s="1603"/>
      <c r="AE49" s="1603"/>
      <c r="AF49" s="1604"/>
    </row>
    <row r="50" spans="1:40" s="324" customFormat="1" ht="12.95"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592</v>
      </c>
      <c r="AB54" s="1159">
        <f>(AB53/10)</f>
        <v>0</v>
      </c>
      <c r="AC54" s="1160"/>
      <c r="AD54" s="1160"/>
      <c r="AE54" s="1160"/>
      <c r="AF54" s="1161"/>
    </row>
    <row r="55" spans="1:40" ht="12.95" customHeight="1">
      <c r="D55" s="3" t="s">
        <v>362</v>
      </c>
      <c r="AB55" s="1609">
        <f>(IF((Y41&lt;AB54),Y41,AB54))</f>
        <v>0</v>
      </c>
      <c r="AC55" s="1610"/>
      <c r="AD55" s="1610"/>
      <c r="AE55" s="1610"/>
      <c r="AF55" s="161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65">
        <f>AB48-AB56</f>
        <v>59831816.428017184</v>
      </c>
      <c r="AC58" s="1165"/>
      <c r="AD58" s="1165"/>
      <c r="AE58" s="1165"/>
      <c r="AF58" s="116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7">
        <f>Y28</f>
        <v>0</v>
      </c>
      <c r="Z63" s="1605"/>
      <c r="AA63" s="1605"/>
      <c r="AB63" s="1605"/>
      <c r="AC63" s="1605"/>
      <c r="AD63" s="1317">
        <f>AI28</f>
        <v>0</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7">
        <f>ROUND(Y63*Y66,0)</f>
        <v>0</v>
      </c>
      <c r="Z67" s="1605"/>
      <c r="AA67" s="1605"/>
      <c r="AB67" s="1605"/>
      <c r="AC67" s="1605"/>
      <c r="AD67" s="1317" t="str">
        <f>IF(OR(Application!D211="At-Risk",Application!D211="At-Risk/Located in Rural Census Tract",Application!D214="At-Risk"),ROUND(AD63*AD66,0),"$0")</f>
        <v>$0</v>
      </c>
      <c r="AE67" s="1317"/>
      <c r="AF67" s="1317"/>
      <c r="AG67" s="1317"/>
      <c r="AH67" s="1317"/>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0</v>
      </c>
      <c r="AC75" s="1225"/>
      <c r="AD75" s="1225"/>
      <c r="AE75" s="1225"/>
      <c r="AF75" s="1225"/>
    </row>
    <row r="76" spans="1:34" ht="12.95" customHeight="1">
      <c r="C76" s="3"/>
      <c r="D76" s="3" t="s">
        <v>113</v>
      </c>
      <c r="AB76" s="1220">
        <f>IF((Y67+AD67&lt;AB75),Y67+AD67,AB75)</f>
        <v>0</v>
      </c>
      <c r="AC76" s="1221"/>
      <c r="AD76" s="1221"/>
      <c r="AE76" s="1221"/>
      <c r="AF76" s="1222"/>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5">
        <f>AB48-(AB56+AB77)</f>
        <v>59831816.428017184</v>
      </c>
      <c r="AC79" s="1165"/>
      <c r="AD79" s="1165"/>
      <c r="AE79" s="1165"/>
      <c r="AF79" s="116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view="pageBreakPreview" zoomScale="80" zoomScaleNormal="100" zoomScaleSheetLayoutView="80" workbookViewId="0">
      <selection activeCell="F20" sqref="F20"/>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6000000</v>
      </c>
      <c r="C5" s="330">
        <f>'Sources and Uses Budget'!C4</f>
        <v>6000000</v>
      </c>
      <c r="D5" s="330">
        <f>'Sources and Uses Budget'!C4</f>
        <v>6000000</v>
      </c>
      <c r="E5" s="332">
        <f>C5-B5</f>
        <v>0</v>
      </c>
      <c r="F5" s="331"/>
      <c r="G5" s="331"/>
    </row>
    <row r="6" spans="1:7" s="583" customFormat="1" ht="12.75">
      <c r="A6" s="904" t="s">
        <v>1001</v>
      </c>
      <c r="B6" s="330">
        <f>'Sources and Uses Budget'!C5</f>
        <v>131080.59671353205</v>
      </c>
      <c r="C6" s="330">
        <f>'Sources and Uses Budget'!C5</f>
        <v>131080.59671353205</v>
      </c>
      <c r="D6" s="330">
        <f>'Sources and Uses Budget'!C5</f>
        <v>131080.59671353205</v>
      </c>
      <c r="E6" s="332">
        <f t="shared" ref="E6:E73" si="0">C6-B6</f>
        <v>0</v>
      </c>
      <c r="F6" s="331"/>
      <c r="G6" s="331"/>
    </row>
    <row r="7" spans="1:7" s="583" customFormat="1" ht="12.75">
      <c r="A7" s="904" t="s">
        <v>365</v>
      </c>
      <c r="B7" s="330">
        <f>'Sources and Uses Budget'!C6</f>
        <v>93628.997652522899</v>
      </c>
      <c r="C7" s="330">
        <f>'Sources and Uses Budget'!C6</f>
        <v>93628.997652522899</v>
      </c>
      <c r="D7" s="330">
        <f>'Sources and Uses Budget'!C6</f>
        <v>93628.997652522899</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6224709.594366055</v>
      </c>
      <c r="C9" s="332">
        <f>SUM(C5:C8)</f>
        <v>6224709.594366055</v>
      </c>
      <c r="D9" s="332">
        <f>SUM(D5:D8)</f>
        <v>6224709.594366055</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294647.64674256003</v>
      </c>
      <c r="C11" s="330">
        <f>'Sources and Uses Budget'!C10</f>
        <v>294647.64674256003</v>
      </c>
      <c r="D11" s="330">
        <f>'Sources and Uses Budget'!C10</f>
        <v>294647.64674256003</v>
      </c>
      <c r="E11" s="332">
        <f t="shared" si="0"/>
        <v>0</v>
      </c>
      <c r="F11" s="331"/>
      <c r="G11" s="331"/>
    </row>
    <row r="12" spans="1:7" s="583" customFormat="1" ht="12.75">
      <c r="A12" s="905" t="s">
        <v>617</v>
      </c>
      <c r="B12" s="332">
        <f>SUM(B10:B11)</f>
        <v>294647.64674256003</v>
      </c>
      <c r="C12" s="332">
        <f>SUM(C10:C11)</f>
        <v>294647.64674256003</v>
      </c>
      <c r="D12" s="332">
        <f>SUM(D10:D11)</f>
        <v>294647.64674256003</v>
      </c>
      <c r="E12" s="332">
        <f t="shared" si="0"/>
        <v>0</v>
      </c>
      <c r="F12" s="331"/>
      <c r="G12" s="331"/>
    </row>
    <row r="13" spans="1:7" s="583" customFormat="1" ht="12.75">
      <c r="A13" s="905" t="s">
        <v>747</v>
      </c>
      <c r="B13" s="332">
        <f>SUM(B9+B12)</f>
        <v>6519357.241108615</v>
      </c>
      <c r="C13" s="332">
        <f>SUM(C9+C12)</f>
        <v>6519357.241108615</v>
      </c>
      <c r="D13" s="332">
        <f>SUM(D9+D12)</f>
        <v>6519357.241108615</v>
      </c>
      <c r="E13" s="332">
        <f t="shared" si="0"/>
        <v>0</v>
      </c>
      <c r="F13" s="331"/>
      <c r="G13" s="331"/>
    </row>
    <row r="14" spans="1:7" s="583" customFormat="1" ht="12.75">
      <c r="A14" s="906" t="s">
        <v>1157</v>
      </c>
      <c r="B14" s="330">
        <f>'Sources and Uses Budget'!C13</f>
        <v>43235.062246005502</v>
      </c>
      <c r="C14" s="330">
        <f>'Sources and Uses Budget'!C13</f>
        <v>43235.062246005502</v>
      </c>
      <c r="D14" s="330">
        <f>'Sources and Uses Budget'!C13</f>
        <v>43235.062246005502</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2469942.3209733195</v>
      </c>
      <c r="C30" s="330">
        <f>'Sources and Uses Budget'!C29</f>
        <v>2469942.3209733195</v>
      </c>
      <c r="D30" s="330">
        <f>'Sources and Uses Budget'!C29</f>
        <v>2469942.3209733195</v>
      </c>
      <c r="E30" s="332">
        <f t="shared" si="0"/>
        <v>0</v>
      </c>
      <c r="F30" s="331"/>
      <c r="G30" s="331"/>
    </row>
    <row r="31" spans="1:7" s="583" customFormat="1" ht="12.75">
      <c r="A31" s="239" t="s">
        <v>955</v>
      </c>
      <c r="B31" s="330">
        <f>'Sources and Uses Budget'!C30</f>
        <v>24538026.479869753</v>
      </c>
      <c r="C31" s="330">
        <f>'Sources and Uses Budget'!C30</f>
        <v>24538026.479869753</v>
      </c>
      <c r="D31" s="330">
        <f>'Sources and Uses Budget'!C30</f>
        <v>24538026.479869753</v>
      </c>
      <c r="E31" s="332">
        <f t="shared" si="0"/>
        <v>0</v>
      </c>
      <c r="F31" s="331"/>
      <c r="G31" s="331"/>
    </row>
    <row r="32" spans="1:7" s="583" customFormat="1" ht="12.75">
      <c r="A32" s="239" t="s">
        <v>956</v>
      </c>
      <c r="B32" s="330">
        <f>'Sources and Uses Budget'!C31</f>
        <v>1997434.2214200974</v>
      </c>
      <c r="C32" s="330">
        <f>'Sources and Uses Budget'!C31</f>
        <v>1997434.2214200974</v>
      </c>
      <c r="D32" s="330">
        <f>'Sources and Uses Budget'!C31</f>
        <v>1997434.2214200974</v>
      </c>
      <c r="E32" s="332">
        <f t="shared" si="0"/>
        <v>0</v>
      </c>
      <c r="F32" s="331"/>
      <c r="G32" s="331"/>
    </row>
    <row r="33" spans="1:7" s="583" customFormat="1" ht="12.75">
      <c r="A33" s="239" t="s">
        <v>957</v>
      </c>
      <c r="B33" s="330">
        <f>'Sources and Uses Budget'!C32</f>
        <v>651500.0588005149</v>
      </c>
      <c r="C33" s="330">
        <f>'Sources and Uses Budget'!C32</f>
        <v>651500.0588005149</v>
      </c>
      <c r="D33" s="330">
        <f>'Sources and Uses Budget'!C32</f>
        <v>651500.0588005149</v>
      </c>
      <c r="E33" s="332">
        <f t="shared" si="0"/>
        <v>0</v>
      </c>
      <c r="F33" s="331"/>
      <c r="G33" s="331"/>
    </row>
    <row r="34" spans="1:7" s="583" customFormat="1" ht="12.75">
      <c r="A34" s="239" t="s">
        <v>958</v>
      </c>
      <c r="B34" s="330">
        <f>'Sources and Uses Budget'!C33</f>
        <v>651500.0588005149</v>
      </c>
      <c r="C34" s="330">
        <f>'Sources and Uses Budget'!C33</f>
        <v>651500.0588005149</v>
      </c>
      <c r="D34" s="330">
        <f>'Sources and Uses Budget'!C33</f>
        <v>651500.0588005149</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229372.31844915063</v>
      </c>
      <c r="C36" s="330">
        <f>'Sources and Uses Budget'!C35</f>
        <v>229372.31844915063</v>
      </c>
      <c r="D36" s="330">
        <f>'Sources and Uses Budget'!C35</f>
        <v>229372.31844915063</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1638575.8344397605</v>
      </c>
      <c r="C38" s="330">
        <f>'Sources and Uses Budget'!C37</f>
        <v>1638575.8344397605</v>
      </c>
      <c r="D38" s="330">
        <f>'Sources and Uses Budget'!C37</f>
        <v>1638575.8344397605</v>
      </c>
      <c r="E38" s="332">
        <f>C38-B38</f>
        <v>0</v>
      </c>
      <c r="F38" s="331"/>
      <c r="G38" s="331"/>
    </row>
    <row r="39" spans="1:7" s="583" customFormat="1" ht="12.75">
      <c r="A39" s="907" t="s">
        <v>963</v>
      </c>
      <c r="B39" s="914">
        <f>'Sources and Uses Budget'!C38</f>
        <v>32176351.292753112</v>
      </c>
      <c r="C39" s="914">
        <f>'Sources and Uses Budget'!C38</f>
        <v>32176351.292753112</v>
      </c>
      <c r="D39" s="914">
        <f>'Sources and Uses Budget'!C38</f>
        <v>32176351.292753112</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1896904.7666405835</v>
      </c>
      <c r="C41" s="330">
        <f>'Sources and Uses Budget'!C40</f>
        <v>1896904.7666405835</v>
      </c>
      <c r="D41" s="330">
        <f>'Sources and Uses Budget'!C40</f>
        <v>1896904.7666405835</v>
      </c>
      <c r="E41" s="332">
        <f>C41-B41</f>
        <v>0</v>
      </c>
      <c r="F41" s="331"/>
      <c r="G41" s="331"/>
    </row>
    <row r="42" spans="1:7" s="583" customFormat="1" ht="12.75">
      <c r="A42" s="908" t="s">
        <v>966</v>
      </c>
      <c r="B42" s="330">
        <f>'Sources and Uses Budget'!C41</f>
        <v>0</v>
      </c>
      <c r="C42" s="330">
        <f>'Sources and Uses Budget'!C41</f>
        <v>0</v>
      </c>
      <c r="D42" s="330">
        <f>'Sources and Uses Budget'!C41</f>
        <v>0</v>
      </c>
      <c r="E42" s="332">
        <f>C42-B42</f>
        <v>0</v>
      </c>
      <c r="F42" s="331"/>
      <c r="G42" s="331"/>
    </row>
    <row r="43" spans="1:7" s="583" customFormat="1" ht="12" customHeight="1">
      <c r="A43" s="907" t="s">
        <v>967</v>
      </c>
      <c r="B43" s="914">
        <f>'Sources and Uses Budget'!C42</f>
        <v>1896904.7666405835</v>
      </c>
      <c r="C43" s="914">
        <f>'Sources and Uses Budget'!C42</f>
        <v>1896904.7666405835</v>
      </c>
      <c r="D43" s="914">
        <f>'Sources and Uses Budget'!C42</f>
        <v>1896904.7666405835</v>
      </c>
      <c r="E43" s="332">
        <f>C43-B43</f>
        <v>0</v>
      </c>
      <c r="F43" s="331"/>
      <c r="G43" s="331"/>
    </row>
    <row r="44" spans="1:7" s="583" customFormat="1" ht="12.75">
      <c r="A44" s="907" t="s">
        <v>968</v>
      </c>
      <c r="B44" s="330">
        <f>'Sources and Uses Budget'!C43</f>
        <v>372135.00519978796</v>
      </c>
      <c r="C44" s="330">
        <f>'Sources and Uses Budget'!C43</f>
        <v>372135.00519978796</v>
      </c>
      <c r="D44" s="330">
        <f>'Sources and Uses Budget'!C43</f>
        <v>372135.00519978796</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4461391.7768634679</v>
      </c>
      <c r="C46" s="330">
        <f>'Sources and Uses Budget'!C45</f>
        <v>4461391.7768634679</v>
      </c>
      <c r="D46" s="330">
        <f>'Sources and Uses Budget'!C45</f>
        <v>4461391.7768634679</v>
      </c>
      <c r="E46" s="332">
        <f t="shared" si="0"/>
        <v>0</v>
      </c>
      <c r="F46" s="331"/>
      <c r="G46" s="331"/>
    </row>
    <row r="47" spans="1:7" s="583" customFormat="1" ht="12.75">
      <c r="A47" s="239" t="s">
        <v>971</v>
      </c>
      <c r="B47" s="330">
        <f>'Sources and Uses Budget'!C46</f>
        <v>256762.31560084922</v>
      </c>
      <c r="C47" s="330">
        <f>'Sources and Uses Budget'!C46</f>
        <v>256762.31560084922</v>
      </c>
      <c r="D47" s="330">
        <f>'Sources and Uses Budget'!C46</f>
        <v>256762.31560084922</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60858.848474139886</v>
      </c>
      <c r="C50" s="330">
        <f>'Sources and Uses Budget'!C49</f>
        <v>60858.848474139886</v>
      </c>
      <c r="D50" s="330">
        <f>'Sources and Uses Budget'!C49</f>
        <v>60858.848474139886</v>
      </c>
      <c r="E50" s="332">
        <f t="shared" si="0"/>
        <v>0</v>
      </c>
      <c r="F50" s="331"/>
      <c r="G50" s="331"/>
    </row>
    <row r="51" spans="1:7" s="583" customFormat="1" ht="12.75">
      <c r="A51" s="239" t="s">
        <v>974</v>
      </c>
      <c r="B51" s="330">
        <f>'Sources and Uses Budget'!C50</f>
        <v>7490.3198122018321</v>
      </c>
      <c r="C51" s="330">
        <f>'Sources and Uses Budget'!C50</f>
        <v>7490.3198122018321</v>
      </c>
      <c r="D51" s="330">
        <f>'Sources and Uses Budget'!C50</f>
        <v>7490.3198122018321</v>
      </c>
      <c r="E51" s="332">
        <f t="shared" si="0"/>
        <v>0</v>
      </c>
      <c r="F51" s="331"/>
      <c r="G51" s="331"/>
    </row>
    <row r="52" spans="1:7" s="584" customFormat="1" ht="12.75">
      <c r="A52" s="239" t="s">
        <v>975</v>
      </c>
      <c r="B52" s="330">
        <f>'Sources and Uses Budget'!C51</f>
        <v>749237.02872504224</v>
      </c>
      <c r="C52" s="330">
        <f>'Sources and Uses Budget'!C51</f>
        <v>749237.02872504224</v>
      </c>
      <c r="D52" s="330">
        <f>'Sources and Uses Budget'!C51</f>
        <v>749237.02872504224</v>
      </c>
      <c r="E52" s="332">
        <f t="shared" si="0"/>
        <v>0</v>
      </c>
      <c r="F52" s="331"/>
      <c r="G52" s="331"/>
    </row>
    <row r="53" spans="1:7" s="583" customFormat="1" ht="12.75">
      <c r="A53" s="246" t="s">
        <v>564</v>
      </c>
      <c r="B53" s="330">
        <f>'Sources and Uses Budget'!C52</f>
        <v>481037.03724999999</v>
      </c>
      <c r="C53" s="330">
        <f>'Sources and Uses Budget'!C52</f>
        <v>481037.03724999999</v>
      </c>
      <c r="D53" s="330">
        <f>'Sources and Uses Budget'!C52</f>
        <v>481037.03724999999</v>
      </c>
      <c r="E53" s="332">
        <f t="shared" si="0"/>
        <v>0</v>
      </c>
      <c r="F53" s="331"/>
      <c r="G53" s="331"/>
    </row>
    <row r="54" spans="1:7" s="583" customFormat="1" ht="12.75">
      <c r="A54" s="243" t="s">
        <v>977</v>
      </c>
      <c r="B54" s="914">
        <f>'Sources and Uses Budget'!C53</f>
        <v>6016777.3267257009</v>
      </c>
      <c r="C54" s="914">
        <f>'Sources and Uses Budget'!C53</f>
        <v>6016777.3267257009</v>
      </c>
      <c r="D54" s="914">
        <f>'Sources and Uses Budget'!C53</f>
        <v>6016777.3267257009</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100140</v>
      </c>
      <c r="C56" s="330">
        <f>'Sources and Uses Budget'!C55</f>
        <v>100140</v>
      </c>
      <c r="D56" s="330">
        <f>'Sources and Uses Budget'!C55</f>
        <v>100140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15000</v>
      </c>
      <c r="C58" s="330">
        <f>'Sources and Uses Budget'!C57</f>
        <v>15000</v>
      </c>
      <c r="D58" s="330">
        <f>'Sources and Uses Budget'!C57</f>
        <v>15000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30000</v>
      </c>
      <c r="C61" s="330">
        <f>'Sources and Uses Budget'!C60</f>
        <v>30000</v>
      </c>
      <c r="D61" s="330">
        <f>'Sources and Uses Budget'!C60</f>
        <v>30000</v>
      </c>
      <c r="E61" s="332">
        <f t="shared" si="0"/>
        <v>0</v>
      </c>
      <c r="F61" s="331"/>
      <c r="G61" s="331"/>
    </row>
    <row r="62" spans="1:7" s="583" customFormat="1" ht="12.75">
      <c r="A62" s="907" t="s">
        <v>529</v>
      </c>
      <c r="B62" s="914">
        <f>'Sources and Uses Budget'!C61</f>
        <v>145140</v>
      </c>
      <c r="C62" s="914">
        <f>'Sources and Uses Budget'!C61</f>
        <v>145140</v>
      </c>
      <c r="D62" s="914">
        <f>'Sources and Uses Budget'!C61</f>
        <v>145140</v>
      </c>
      <c r="E62" s="332">
        <f t="shared" si="0"/>
        <v>0</v>
      </c>
      <c r="F62" s="331"/>
      <c r="G62" s="331"/>
    </row>
    <row r="63" spans="1:7" s="583" customFormat="1" ht="12.75">
      <c r="A63" s="910" t="s">
        <v>530</v>
      </c>
      <c r="B63" s="914">
        <f>'Sources and Uses Budget'!C62</f>
        <v>47169900.694673799</v>
      </c>
      <c r="C63" s="914">
        <f>'Sources and Uses Budget'!C62</f>
        <v>47169900.694673799</v>
      </c>
      <c r="D63" s="914">
        <f>'Sources and Uses Budget'!C62</f>
        <v>47169900.694673799</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60858.848474139886</v>
      </c>
      <c r="C65" s="330">
        <f>'Sources and Uses Budget'!C64</f>
        <v>60858.848474139886</v>
      </c>
      <c r="D65" s="330">
        <f>'Sources and Uses Budget'!C64</f>
        <v>60858.848474139886</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126814.49882626145</v>
      </c>
      <c r="C69" s="330">
        <f>'Sources and Uses Budget'!C68</f>
        <v>126814.49882626145</v>
      </c>
      <c r="D69" s="330">
        <f>'Sources and Uses Budget'!C68</f>
        <v>126814.49882626145</v>
      </c>
      <c r="E69" s="332">
        <f t="shared" si="0"/>
        <v>0</v>
      </c>
      <c r="F69" s="331"/>
      <c r="G69" s="331"/>
    </row>
    <row r="70" spans="1:7" s="583" customFormat="1" ht="12.75">
      <c r="A70" s="243" t="s">
        <v>2056</v>
      </c>
      <c r="B70" s="914">
        <f>'Sources and Uses Budget'!C69</f>
        <v>187673.34730040134</v>
      </c>
      <c r="C70" s="914">
        <f>'Sources and Uses Budget'!C69</f>
        <v>187673.34730040134</v>
      </c>
      <c r="D70" s="914">
        <f>'Sources and Uses Budget'!C69</f>
        <v>187673.34730040134</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261050</v>
      </c>
      <c r="C75" s="330">
        <f>'Sources and Uses Budget'!C74</f>
        <v>261050</v>
      </c>
      <c r="D75" s="330">
        <f>'Sources and Uses Budget'!C74</f>
        <v>261050</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261050</v>
      </c>
      <c r="C77" s="914">
        <f>'Sources and Uses Budget'!C76</f>
        <v>261050</v>
      </c>
      <c r="D77" s="914">
        <f>'Sources and Uses Budget'!C76</f>
        <v>261050</v>
      </c>
      <c r="E77" s="332">
        <f>C77-B77</f>
        <v>0</v>
      </c>
      <c r="F77" s="331"/>
      <c r="G77" s="331"/>
    </row>
    <row r="78" spans="1:7" s="583" customFormat="1" ht="12.75">
      <c r="A78" s="903" t="s">
        <v>1819</v>
      </c>
      <c r="B78" s="328"/>
      <c r="C78" s="328"/>
      <c r="D78" s="328"/>
      <c r="E78" s="328"/>
      <c r="F78" s="328"/>
      <c r="G78" s="328"/>
    </row>
    <row r="79" spans="1:7" s="583" customFormat="1" ht="13.9" customHeight="1">
      <c r="A79" s="908" t="s">
        <v>1817</v>
      </c>
      <c r="B79" s="330">
        <f>'Sources and Uses Budget'!C78</f>
        <v>1524396.6498851504</v>
      </c>
      <c r="C79" s="330">
        <f>'Sources and Uses Budget'!C78</f>
        <v>1524396.6498851504</v>
      </c>
      <c r="D79" s="330">
        <f>'Sources and Uses Budget'!C78</f>
        <v>1524396.6498851504</v>
      </c>
      <c r="E79" s="332">
        <f t="shared" ref="E79:E105" si="2">C79-B79</f>
        <v>0</v>
      </c>
      <c r="F79" s="331"/>
      <c r="G79" s="331"/>
    </row>
    <row r="80" spans="1:7" s="583" customFormat="1" ht="12.75">
      <c r="A80" s="908" t="s">
        <v>569</v>
      </c>
      <c r="B80" s="330">
        <f>'Sources and Uses Budget'!C79</f>
        <v>421010.80841705442</v>
      </c>
      <c r="C80" s="330">
        <f>'Sources and Uses Budget'!C79</f>
        <v>421010.80841705442</v>
      </c>
      <c r="D80" s="330">
        <f>'Sources and Uses Budget'!C79</f>
        <v>421010.80841705442</v>
      </c>
      <c r="E80" s="332">
        <f t="shared" si="2"/>
        <v>0</v>
      </c>
      <c r="F80" s="331"/>
      <c r="G80" s="331"/>
    </row>
    <row r="81" spans="1:7" s="583" customFormat="1" ht="12.75">
      <c r="A81" s="907" t="s">
        <v>1818</v>
      </c>
      <c r="B81" s="914">
        <f>'Sources and Uses Budget'!C80</f>
        <v>1945407.4583022047</v>
      </c>
      <c r="C81" s="914">
        <f>'Sources and Uses Budget'!C80</f>
        <v>1945407.4583022047</v>
      </c>
      <c r="D81" s="914">
        <f>'Sources and Uses Budget'!C80</f>
        <v>1945407.4583022047</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122090</v>
      </c>
      <c r="C83" s="330">
        <f>'Sources and Uses Budget'!C82</f>
        <v>122090</v>
      </c>
      <c r="D83" s="330">
        <f>'Sources and Uses Budget'!C82</f>
        <v>122090</v>
      </c>
      <c r="E83" s="332">
        <f t="shared" si="2"/>
        <v>0</v>
      </c>
      <c r="F83" s="331"/>
      <c r="G83" s="331"/>
    </row>
    <row r="84" spans="1:7" s="583" customFormat="1" ht="12.75">
      <c r="A84" s="239" t="s">
        <v>547</v>
      </c>
      <c r="B84" s="330">
        <f>'Sources and Uses Budget'!C83</f>
        <v>50995.969861423124</v>
      </c>
      <c r="C84" s="330">
        <f>'Sources and Uses Budget'!C83</f>
        <v>50995.969861423124</v>
      </c>
      <c r="D84" s="330">
        <f>'Sources and Uses Budget'!C83</f>
        <v>50995.969861423124</v>
      </c>
      <c r="E84" s="332">
        <f t="shared" si="2"/>
        <v>0</v>
      </c>
      <c r="F84" s="331"/>
      <c r="G84" s="331"/>
    </row>
    <row r="85" spans="1:7" s="583" customFormat="1" ht="12.75">
      <c r="A85" s="239" t="s">
        <v>548</v>
      </c>
      <c r="B85" s="330">
        <f>'Sources and Uses Budget'!C84</f>
        <v>4132346.57</v>
      </c>
      <c r="C85" s="330">
        <f>'Sources and Uses Budget'!C84</f>
        <v>4132346.57</v>
      </c>
      <c r="D85" s="330">
        <f>'Sources and Uses Budget'!C84</f>
        <v>4132346.57</v>
      </c>
      <c r="E85" s="332">
        <f t="shared" si="2"/>
        <v>0</v>
      </c>
      <c r="F85" s="331"/>
      <c r="G85" s="331"/>
    </row>
    <row r="86" spans="1:7" s="583" customFormat="1" ht="12.75">
      <c r="A86" s="239" t="s">
        <v>549</v>
      </c>
      <c r="B86" s="330">
        <f>'Sources and Uses Budget'!C85</f>
        <v>421330.48943635309</v>
      </c>
      <c r="C86" s="330">
        <f>'Sources and Uses Budget'!C85</f>
        <v>421330.48943635309</v>
      </c>
      <c r="D86" s="330">
        <f>'Sources and Uses Budget'!C85</f>
        <v>421330.48943635309</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115000</v>
      </c>
      <c r="C88" s="330">
        <f>'Sources and Uses Budget'!C87</f>
        <v>115000</v>
      </c>
      <c r="D88" s="330">
        <f>'Sources and Uses Budget'!C87</f>
        <v>115000</v>
      </c>
      <c r="E88" s="332">
        <f t="shared" si="2"/>
        <v>0</v>
      </c>
      <c r="F88" s="331"/>
      <c r="G88" s="331"/>
    </row>
    <row r="89" spans="1:7" s="583" customFormat="1" ht="12.75">
      <c r="A89" s="239" t="s">
        <v>552</v>
      </c>
      <c r="B89" s="330">
        <f>'Sources and Uses Budget'!C88</f>
        <v>100000</v>
      </c>
      <c r="C89" s="330">
        <f>'Sources and Uses Budget'!C88</f>
        <v>100000</v>
      </c>
      <c r="D89" s="330">
        <f>'Sources and Uses Budget'!C88</f>
        <v>100000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9362.8997652522903</v>
      </c>
      <c r="C92" s="330">
        <f>'Sources and Uses Budget'!C91</f>
        <v>9362.8997652522903</v>
      </c>
      <c r="D92" s="330">
        <f>'Sources and Uses Budget'!C91</f>
        <v>9362.8997652522903</v>
      </c>
      <c r="E92" s="332">
        <f t="shared" si="2"/>
        <v>0</v>
      </c>
      <c r="F92" s="331"/>
      <c r="G92" s="331"/>
    </row>
    <row r="93" spans="1:7" s="583" customFormat="1" ht="12.75">
      <c r="A93" s="246" t="s">
        <v>564</v>
      </c>
      <c r="B93" s="330">
        <f>'Sources and Uses Budget'!C92</f>
        <v>199037.45949970972</v>
      </c>
      <c r="C93" s="330">
        <f>'Sources and Uses Budget'!C92</f>
        <v>199037.45949970972</v>
      </c>
      <c r="D93" s="330">
        <f>'Sources and Uses Budget'!C92</f>
        <v>199037.45949970972</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5160163.388562738</v>
      </c>
      <c r="C96" s="914">
        <f>'Sources and Uses Budget'!C95</f>
        <v>5160163.388562738</v>
      </c>
      <c r="D96" s="914">
        <f>'Sources and Uses Budget'!C95</f>
        <v>5160163.388562738</v>
      </c>
      <c r="E96" s="332">
        <f t="shared" si="2"/>
        <v>0</v>
      </c>
      <c r="F96" s="331"/>
      <c r="G96" s="331"/>
    </row>
    <row r="97" spans="1:7" s="583" customFormat="1" ht="12.75">
      <c r="A97" s="243" t="s">
        <v>555</v>
      </c>
      <c r="B97" s="914">
        <f>'Sources and Uses Budget'!C96</f>
        <v>54724194.888839148</v>
      </c>
      <c r="C97" s="914">
        <f>'Sources and Uses Budget'!C96</f>
        <v>54724194.888839148</v>
      </c>
      <c r="D97" s="914">
        <f>'Sources and Uses Budget'!C96</f>
        <v>54724194.888839148</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56924194.888839148</v>
      </c>
      <c r="C105" s="914">
        <f>'Sources and Uses Budget'!C104</f>
        <v>56924194.888839148</v>
      </c>
      <c r="D105" s="914">
        <f>'Sources and Uses Budget'!C104</f>
        <v>56924194.888839148</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Kate Blessing-Kawamura</cp:lastModifiedBy>
  <cp:lastPrinted>2023-04-20T04:09:01Z</cp:lastPrinted>
  <dcterms:created xsi:type="dcterms:W3CDTF">2007-12-27T18:26:28Z</dcterms:created>
  <dcterms:modified xsi:type="dcterms:W3CDTF">2023-04-25T03:34:18Z</dcterms:modified>
</cp:coreProperties>
</file>