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showInkAnnotation="0" codeName="ThisWorkbook" defaultThemeVersion="124226"/>
  <mc:AlternateContent xmlns:mc="http://schemas.openxmlformats.org/markup-compatibility/2006">
    <mc:Choice Requires="x15">
      <x15ac:absPath xmlns:x15ac="http://schemas.microsoft.com/office/spreadsheetml/2010/11/ac" url="C:\Users\Evan.Laws.modernrealty\SyncedFolder\Team Shares\Project Files - Under Contract\CA Palmer Park\Tax Credit Agency (name)\Final Application\9% - 4th Round Submission\"/>
    </mc:Choice>
  </mc:AlternateContent>
  <xr:revisionPtr revIDLastSave="0" documentId="13_ncr:1_{42931AF3-81DF-450F-91F3-FAF82FC5E460}" xr6:coauthVersionLast="47" xr6:coauthVersionMax="47" xr10:uidLastSave="{00000000-0000-0000-0000-000000000000}"/>
  <bookViews>
    <workbookView xWindow="45972" yWindow="-6600" windowWidth="30936" windowHeight="16896"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25" l="1"/>
  <c r="E90" i="25"/>
  <c r="W825" i="3" l="1"/>
  <c r="W823" i="3"/>
  <c r="W821" i="3"/>
  <c r="W830" i="3"/>
  <c r="W808" i="3"/>
  <c r="AC852" i="3"/>
  <c r="J97" i="18" l="1"/>
  <c r="J67" i="18"/>
  <c r="J48" i="18"/>
  <c r="J42" i="18"/>
  <c r="J9" i="18"/>
  <c r="G97" i="18"/>
  <c r="G91" i="18"/>
  <c r="G90" i="18"/>
  <c r="G89" i="18"/>
  <c r="G88" i="18"/>
  <c r="G84" i="18"/>
  <c r="G82" i="18"/>
  <c r="G78" i="18"/>
  <c r="G77" i="18"/>
  <c r="G67" i="18"/>
  <c r="G64" i="18"/>
  <c r="G47" i="18"/>
  <c r="G44" i="18"/>
  <c r="G40" i="18"/>
  <c r="G42" i="18"/>
  <c r="G39" i="18"/>
  <c r="G28" i="18"/>
  <c r="G26" i="18"/>
  <c r="G23" i="18"/>
  <c r="G18" i="18"/>
  <c r="G19" i="18"/>
  <c r="G20" i="18"/>
  <c r="G21" i="18"/>
  <c r="G22" i="18"/>
  <c r="G24" i="18"/>
  <c r="G17" i="18"/>
  <c r="D98" i="18"/>
  <c r="D99" i="18"/>
  <c r="D100" i="18"/>
  <c r="D97" i="18"/>
  <c r="D82" i="18"/>
  <c r="D83" i="18"/>
  <c r="D84" i="18"/>
  <c r="D85" i="18"/>
  <c r="D86" i="18"/>
  <c r="D87" i="18"/>
  <c r="D88" i="18"/>
  <c r="D89" i="18"/>
  <c r="D90" i="18"/>
  <c r="D91" i="18"/>
  <c r="D92" i="18"/>
  <c r="D93" i="18"/>
  <c r="D81" i="18"/>
  <c r="D78" i="18"/>
  <c r="D77" i="18"/>
  <c r="D71" i="18"/>
  <c r="D72" i="18"/>
  <c r="D73" i="18"/>
  <c r="D74" i="18"/>
  <c r="D70" i="18"/>
  <c r="D64" i="18"/>
  <c r="D65" i="18"/>
  <c r="D66" i="18"/>
  <c r="D67" i="18"/>
  <c r="D63" i="18"/>
  <c r="D55" i="18"/>
  <c r="D56" i="18"/>
  <c r="D57" i="18"/>
  <c r="D58" i="18"/>
  <c r="D59" i="18"/>
  <c r="D54" i="18"/>
  <c r="D45" i="18"/>
  <c r="D46" i="18"/>
  <c r="D47" i="18"/>
  <c r="D48" i="18"/>
  <c r="D49" i="18"/>
  <c r="D50" i="18"/>
  <c r="D51" i="18"/>
  <c r="D44" i="18"/>
  <c r="D42" i="18"/>
  <c r="D39" i="18"/>
  <c r="D18" i="18"/>
  <c r="D19" i="18"/>
  <c r="D20" i="18"/>
  <c r="D21" i="18"/>
  <c r="D22" i="18"/>
  <c r="D23" i="18"/>
  <c r="D24" i="18"/>
  <c r="D17" i="18"/>
  <c r="E45" i="4"/>
  <c r="E17" i="4"/>
  <c r="C18" i="4"/>
  <c r="R17" i="4"/>
  <c r="R45" i="4" l="1"/>
  <c r="C60" i="4"/>
  <c r="AM546" i="3"/>
  <c r="S91" i="4"/>
  <c r="S92" i="4"/>
  <c r="S90" i="4"/>
  <c r="S89" i="4"/>
  <c r="S84" i="4"/>
  <c r="S85" i="4"/>
  <c r="S83" i="4"/>
  <c r="S79" i="4"/>
  <c r="S78" i="4"/>
  <c r="S65" i="4"/>
  <c r="E23" i="4"/>
  <c r="S48" i="4"/>
  <c r="S41" i="4"/>
  <c r="S40" i="4"/>
  <c r="S27" i="4"/>
  <c r="S19" i="4"/>
  <c r="S20" i="4"/>
  <c r="S21" i="4"/>
  <c r="S22" i="4"/>
  <c r="S24" i="4"/>
  <c r="S25" i="4"/>
  <c r="S17" i="4"/>
  <c r="T68" i="4"/>
  <c r="T43" i="4"/>
  <c r="T49" i="4"/>
  <c r="T9"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7" i="4"/>
  <c r="E48" i="4"/>
  <c r="E49" i="4"/>
  <c r="E50" i="4"/>
  <c r="E51" i="4"/>
  <c r="E46" i="4"/>
  <c r="E43" i="4"/>
  <c r="E41" i="4"/>
  <c r="E27" i="4"/>
  <c r="E25" i="4"/>
  <c r="E19" i="4"/>
  <c r="E20" i="4"/>
  <c r="E21" i="4"/>
  <c r="E18" i="4"/>
  <c r="E9" i="4"/>
  <c r="E98" i="4"/>
  <c r="C89" i="4"/>
  <c r="C83" i="4"/>
  <c r="C92" i="4"/>
  <c r="C40" i="4" l="1"/>
  <c r="E40" i="4" s="1"/>
  <c r="AM547"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8" i="4" s="1"/>
  <c r="R12" i="4" s="1"/>
  <c r="R10" i="4"/>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D99" i="15"/>
  <c r="C99" i="15"/>
  <c r="B99" i="15"/>
  <c r="B84" i="15"/>
  <c r="C84" i="15"/>
  <c r="D84" i="15"/>
  <c r="B85" i="15"/>
  <c r="C85" i="15"/>
  <c r="D85" i="15"/>
  <c r="B86" i="15"/>
  <c r="C86" i="15"/>
  <c r="E86" i="15" s="1"/>
  <c r="D86" i="15"/>
  <c r="B87" i="15"/>
  <c r="C87" i="15"/>
  <c r="E87" i="15" s="1"/>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E65" i="15" s="1"/>
  <c r="B65" i="15"/>
  <c r="B57" i="15"/>
  <c r="E57" i="15" s="1"/>
  <c r="C57" i="15"/>
  <c r="D57" i="15"/>
  <c r="B58" i="15"/>
  <c r="C58" i="15"/>
  <c r="D58" i="15"/>
  <c r="B59" i="15"/>
  <c r="C59" i="15"/>
  <c r="D59" i="15"/>
  <c r="B60" i="15"/>
  <c r="C60" i="15"/>
  <c r="D60" i="15"/>
  <c r="B61" i="15"/>
  <c r="C61" i="15"/>
  <c r="D61" i="15"/>
  <c r="D56" i="15"/>
  <c r="C56" i="15"/>
  <c r="B56" i="15"/>
  <c r="B47" i="15"/>
  <c r="E47" i="15" s="1"/>
  <c r="C47" i="15"/>
  <c r="D47" i="15"/>
  <c r="B48" i="15"/>
  <c r="C48" i="15"/>
  <c r="E48" i="15" s="1"/>
  <c r="D48" i="15"/>
  <c r="B49" i="15"/>
  <c r="C49" i="15"/>
  <c r="E49" i="15" s="1"/>
  <c r="D49" i="15"/>
  <c r="B50" i="15"/>
  <c r="C50" i="15"/>
  <c r="E50" i="15" s="1"/>
  <c r="D50" i="15"/>
  <c r="B51" i="15"/>
  <c r="E51" i="15" s="1"/>
  <c r="C51" i="15"/>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E31" i="15" s="1"/>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E19" i="15" s="1"/>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E7" i="15" s="1"/>
  <c r="C7" i="15"/>
  <c r="B8" i="15"/>
  <c r="C8" i="15"/>
  <c r="B10" i="15"/>
  <c r="C10" i="15"/>
  <c r="B11" i="15"/>
  <c r="C11" i="15"/>
  <c r="B14" i="15"/>
  <c r="E14" i="15" s="1"/>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67" i="15"/>
  <c r="E33" i="15"/>
  <c r="E58" i="15"/>
  <c r="E89" i="15"/>
  <c r="E16" i="15"/>
  <c r="E61" i="15"/>
  <c r="E92" i="15"/>
  <c r="E88" i="15"/>
  <c r="E84" i="15"/>
  <c r="E44" i="15"/>
  <c r="E21" i="15"/>
  <c r="E28" i="15"/>
  <c r="E72" i="15"/>
  <c r="C12" i="15"/>
  <c r="B12" i="15"/>
  <c r="E99" i="15"/>
  <c r="E6" i="15"/>
  <c r="E23" i="15"/>
  <c r="E41" i="15"/>
  <c r="C9" i="15"/>
  <c r="E11" i="15"/>
  <c r="E46" i="15"/>
  <c r="E5" i="15"/>
  <c r="E35" i="15"/>
  <c r="E83" i="15"/>
  <c r="E30"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2" i="4" s="1"/>
  <c r="D96" i="4" s="1"/>
  <c r="D104" i="4" s="1"/>
  <c r="D61" i="4"/>
  <c r="D69" i="4"/>
  <c r="D76" i="4"/>
  <c r="D80" i="4"/>
  <c r="D95" i="4"/>
  <c r="D103" i="4"/>
  <c r="C8" i="4"/>
  <c r="C11" i="4"/>
  <c r="B11" i="18" s="1"/>
  <c r="C26" i="4"/>
  <c r="B27" i="15" s="1"/>
  <c r="C38" i="4"/>
  <c r="C42" i="4"/>
  <c r="B41" i="18" s="1"/>
  <c r="C53" i="4"/>
  <c r="C54" i="15" s="1"/>
  <c r="C61" i="4"/>
  <c r="C69" i="4"/>
  <c r="C76" i="4"/>
  <c r="C80" i="4"/>
  <c r="C81" i="15" s="1"/>
  <c r="C95" i="4"/>
  <c r="C96" i="15" s="1"/>
  <c r="C103" i="4"/>
  <c r="C104" i="15" s="1"/>
  <c r="C65" i="25"/>
  <c r="C66" i="25"/>
  <c r="Y20" i="5"/>
  <c r="Y22" i="5" s="1"/>
  <c r="AI20" i="5"/>
  <c r="AI22" i="5" s="1"/>
  <c r="S38" i="4"/>
  <c r="S42" i="4"/>
  <c r="S53" i="4"/>
  <c r="S69" i="4"/>
  <c r="S80" i="4"/>
  <c r="E79" i="18" s="1"/>
  <c r="S95" i="4"/>
  <c r="E94" i="18" s="1"/>
  <c r="S103" i="4"/>
  <c r="E102" i="18" s="1"/>
  <c r="F25" i="18"/>
  <c r="F61" i="18" s="1"/>
  <c r="F95" i="18" s="1"/>
  <c r="F103" i="18" s="1"/>
  <c r="F105" i="18" s="1"/>
  <c r="F37" i="18"/>
  <c r="F41" i="18"/>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26" i="4"/>
  <c r="J38" i="4"/>
  <c r="J42" i="4"/>
  <c r="J53" i="4"/>
  <c r="J62" i="4" s="1"/>
  <c r="J96" i="4" s="1"/>
  <c r="J104" i="4" s="1"/>
  <c r="J61" i="4"/>
  <c r="J69" i="4"/>
  <c r="J76" i="4"/>
  <c r="J95" i="4"/>
  <c r="K8" i="4"/>
  <c r="K11" i="4"/>
  <c r="K26" i="4"/>
  <c r="K38" i="4"/>
  <c r="K62" i="4" s="1"/>
  <c r="K96" i="4" s="1"/>
  <c r="K104" i="4" s="1"/>
  <c r="K42" i="4"/>
  <c r="K53" i="4"/>
  <c r="K61" i="4"/>
  <c r="K69" i="4"/>
  <c r="K76" i="4"/>
  <c r="K80" i="4"/>
  <c r="K95" i="4"/>
  <c r="L8" i="4"/>
  <c r="L12" i="4" s="1"/>
  <c r="L11" i="4"/>
  <c r="L26" i="4"/>
  <c r="L38" i="4"/>
  <c r="L42" i="4"/>
  <c r="L53" i="4"/>
  <c r="L61" i="4"/>
  <c r="L69" i="4"/>
  <c r="L76" i="4"/>
  <c r="L80" i="4"/>
  <c r="L95" i="4"/>
  <c r="M8" i="4"/>
  <c r="M11" i="4"/>
  <c r="M26" i="4"/>
  <c r="M38" i="4"/>
  <c r="M42" i="4"/>
  <c r="M53" i="4"/>
  <c r="M62" i="4" s="1"/>
  <c r="M96" i="4" s="1"/>
  <c r="M104" i="4" s="1"/>
  <c r="M61" i="4"/>
  <c r="M69" i="4"/>
  <c r="M76" i="4"/>
  <c r="M80" i="4"/>
  <c r="M95" i="4"/>
  <c r="N8" i="4"/>
  <c r="N11" i="4"/>
  <c r="N26" i="4"/>
  <c r="N62" i="4" s="1"/>
  <c r="N96" i="4" s="1"/>
  <c r="N104" i="4" s="1"/>
  <c r="N38" i="4"/>
  <c r="N42" i="4"/>
  <c r="N53" i="4"/>
  <c r="N61" i="4"/>
  <c r="N69" i="4"/>
  <c r="N76" i="4"/>
  <c r="N80" i="4"/>
  <c r="N95" i="4"/>
  <c r="O8" i="4"/>
  <c r="O11" i="4"/>
  <c r="O26" i="4"/>
  <c r="O38" i="4"/>
  <c r="O42" i="4"/>
  <c r="O53" i="4"/>
  <c r="O61" i="4"/>
  <c r="O69" i="4"/>
  <c r="O76" i="4"/>
  <c r="O80" i="4"/>
  <c r="O95" i="4"/>
  <c r="P8" i="4"/>
  <c r="P11" i="4"/>
  <c r="P12" i="4"/>
  <c r="P26" i="4"/>
  <c r="P38" i="4"/>
  <c r="P62" i="4" s="1"/>
  <c r="P96" i="4" s="1"/>
  <c r="P104" i="4" s="1"/>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5" i="4"/>
  <c r="R34" i="4"/>
  <c r="R33" i="4"/>
  <c r="R32" i="4"/>
  <c r="R30" i="4"/>
  <c r="R31" i="4"/>
  <c r="R29" i="4"/>
  <c r="R27" i="4"/>
  <c r="R25" i="4"/>
  <c r="R23" i="4"/>
  <c r="R22" i="4"/>
  <c r="R21" i="4"/>
  <c r="R20" i="4"/>
  <c r="R19" i="4"/>
  <c r="R18" i="4"/>
  <c r="S18" i="4" s="1"/>
  <c r="E18" i="18" s="1"/>
  <c r="R15" i="4"/>
  <c r="R14" i="4"/>
  <c r="R13" i="4"/>
  <c r="R7" i="4"/>
  <c r="R6" i="4"/>
  <c r="D5" i="15"/>
  <c r="D6" i="15"/>
  <c r="D7" i="15"/>
  <c r="D8" i="15"/>
  <c r="D10" i="15"/>
  <c r="D12" i="15" s="1"/>
  <c r="D11" i="15"/>
  <c r="D14" i="15"/>
  <c r="D15" i="15"/>
  <c r="D16" i="15"/>
  <c r="D18" i="15"/>
  <c r="E41" i="18"/>
  <c r="E52" i="18"/>
  <c r="E68" i="18"/>
  <c r="H25" i="18"/>
  <c r="H37"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G12" i="4" s="1"/>
  <c r="O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H41" i="18"/>
  <c r="N12" i="4"/>
  <c r="B26" i="4"/>
  <c r="B80" i="4"/>
  <c r="B95" i="4"/>
  <c r="D12" i="4"/>
  <c r="C43" i="15"/>
  <c r="C39" i="15"/>
  <c r="D39" i="15"/>
  <c r="B39" i="15"/>
  <c r="F12" i="4"/>
  <c r="B76" i="4"/>
  <c r="B77" i="15"/>
  <c r="C77" i="15"/>
  <c r="D77" i="15"/>
  <c r="B8" i="4"/>
  <c r="T62" i="4"/>
  <c r="T96" i="4" s="1"/>
  <c r="T104" i="4" s="1"/>
  <c r="B68" i="18"/>
  <c r="B70" i="15"/>
  <c r="C70" i="15"/>
  <c r="D70" i="15"/>
  <c r="G52" i="25"/>
  <c r="AM695" i="3"/>
  <c r="AM704" i="3"/>
  <c r="AM703" i="3"/>
  <c r="AM702" i="3"/>
  <c r="AM701" i="3"/>
  <c r="AM696" i="3"/>
  <c r="AM700" i="3"/>
  <c r="AM699" i="3"/>
  <c r="AM694" i="3"/>
  <c r="AM698" i="3"/>
  <c r="AM697" i="3"/>
  <c r="AB47" i="26"/>
  <c r="I61" i="18"/>
  <c r="I95" i="18" s="1"/>
  <c r="I103" i="18" s="1"/>
  <c r="I105" i="18" s="1"/>
  <c r="J61" i="18"/>
  <c r="J95" i="18" s="1"/>
  <c r="J103" i="18" s="1"/>
  <c r="J105" i="18" s="1"/>
  <c r="K12" i="4"/>
  <c r="J12" i="4"/>
  <c r="R103" i="4"/>
  <c r="R11" i="4"/>
  <c r="R69" i="4"/>
  <c r="D9" i="15"/>
  <c r="C12" i="18"/>
  <c r="E12" i="4"/>
  <c r="O62" i="4"/>
  <c r="O96" i="4" s="1"/>
  <c r="O104" i="4" s="1"/>
  <c r="B75" i="18"/>
  <c r="B8" i="18"/>
  <c r="L62" i="4"/>
  <c r="H12" i="4"/>
  <c r="H11" i="18"/>
  <c r="R38" i="4"/>
  <c r="R42" i="4"/>
  <c r="M12" i="4"/>
  <c r="D12" i="18"/>
  <c r="B69" i="4"/>
  <c r="G61" i="18"/>
  <c r="B38" i="4"/>
  <c r="S28" i="9"/>
  <c r="AC28" i="9"/>
  <c r="E70" i="15"/>
  <c r="T24" i="27"/>
  <c r="T24" i="26"/>
  <c r="O29" i="9"/>
  <c r="Q580" i="6"/>
  <c r="W580" i="6" s="1"/>
  <c r="I6" i="10" l="1"/>
  <c r="G98" i="25"/>
  <c r="D100" i="25" s="1"/>
  <c r="D102" i="25" s="1"/>
  <c r="D104" i="25" s="1"/>
  <c r="D110" i="25" s="1"/>
  <c r="G38" i="25" s="1"/>
  <c r="G53" i="25" s="1"/>
  <c r="K54" i="9"/>
  <c r="I58" i="9"/>
  <c r="D95" i="18"/>
  <c r="D103" i="18" s="1"/>
  <c r="F62" i="4"/>
  <c r="F96" i="4" s="1"/>
  <c r="F104" i="4" s="1"/>
  <c r="E62" i="4"/>
  <c r="B54" i="15"/>
  <c r="R61" i="4"/>
  <c r="R26" i="4"/>
  <c r="R62" i="4" s="1"/>
  <c r="S23" i="4"/>
  <c r="D54" i="15"/>
  <c r="B52" i="18"/>
  <c r="H61" i="18"/>
  <c r="R76" i="4"/>
  <c r="I62" i="4"/>
  <c r="I96" i="4" s="1"/>
  <c r="I104" i="4" s="1"/>
  <c r="E77" i="15"/>
  <c r="C61" i="18"/>
  <c r="B79" i="18"/>
  <c r="Q96" i="4"/>
  <c r="Q104" i="4" s="1"/>
  <c r="L96" i="4"/>
  <c r="L104" i="4" s="1"/>
  <c r="E37" i="18"/>
  <c r="Q62" i="4"/>
  <c r="G62" i="4"/>
  <c r="G96" i="4" s="1"/>
  <c r="G104" i="4" s="1"/>
  <c r="R53" i="4"/>
  <c r="B61" i="4"/>
  <c r="H95" i="18"/>
  <c r="C12" i="4"/>
  <c r="B12" i="18" s="1"/>
  <c r="B11" i="4"/>
  <c r="B12" i="4" s="1"/>
  <c r="R95" i="4"/>
  <c r="B53" i="4"/>
  <c r="D81" i="15"/>
  <c r="B81" i="15"/>
  <c r="E81" i="15" s="1"/>
  <c r="B9" i="15"/>
  <c r="R80" i="4"/>
  <c r="E59" i="15"/>
  <c r="G95" i="18"/>
  <c r="G103" i="18" s="1"/>
  <c r="G105" i="18" s="1"/>
  <c r="D13" i="15"/>
  <c r="E8" i="15"/>
  <c r="E9" i="15"/>
  <c r="E96" i="4"/>
  <c r="E104" i="4" s="1"/>
  <c r="E94" i="15"/>
  <c r="E103" i="15"/>
  <c r="B60" i="18"/>
  <c r="B62" i="15"/>
  <c r="D62" i="15"/>
  <c r="C62" i="15"/>
  <c r="E18" i="15"/>
  <c r="H103" i="18"/>
  <c r="T106" i="4"/>
  <c r="H105" i="18" s="1"/>
  <c r="AI11" i="26" s="1"/>
  <c r="AI23" i="26" s="1"/>
  <c r="AI26" i="26" s="1"/>
  <c r="E100" i="15"/>
  <c r="AB47" i="5"/>
  <c r="E85" i="15"/>
  <c r="E90" i="15"/>
  <c r="E75" i="15"/>
  <c r="E39" i="15"/>
  <c r="E79" i="15"/>
  <c r="E95" i="15"/>
  <c r="E52" i="15"/>
  <c r="E60" i="15"/>
  <c r="E66" i="15"/>
  <c r="B43" i="15"/>
  <c r="E43" i="15" s="1"/>
  <c r="C62" i="4"/>
  <c r="C96" i="4" s="1"/>
  <c r="B97" i="15" s="1"/>
  <c r="B42" i="4"/>
  <c r="D43" i="15"/>
  <c r="T7" i="5"/>
  <c r="C95" i="18"/>
  <c r="C103" i="18" s="1"/>
  <c r="T11" i="26"/>
  <c r="T11" i="5"/>
  <c r="T11" i="27"/>
  <c r="AD11" i="27"/>
  <c r="AD11" i="26"/>
  <c r="AD11" i="5"/>
  <c r="AD23" i="5" s="1"/>
  <c r="AD26" i="5" s="1"/>
  <c r="AI11" i="5"/>
  <c r="AI23" i="5" s="1"/>
  <c r="AI26" i="5" s="1"/>
  <c r="B96" i="15"/>
  <c r="E96" i="15" s="1"/>
  <c r="B94" i="18"/>
  <c r="D96" i="15"/>
  <c r="E54" i="15"/>
  <c r="AO651" i="6"/>
  <c r="B25" i="18"/>
  <c r="C27" i="15"/>
  <c r="E27" i="15" s="1"/>
  <c r="D27" i="15"/>
  <c r="B13" i="15"/>
  <c r="C13" i="1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BH697" i="3" l="1"/>
  <c r="BI697" i="3" s="1"/>
  <c r="BH690" i="3"/>
  <c r="BI690" i="3" s="1"/>
  <c r="BH678" i="3"/>
  <c r="BI678" i="3" s="1"/>
  <c r="BH700" i="3"/>
  <c r="BI700" i="3" s="1"/>
  <c r="BH682" i="3"/>
  <c r="BI682" i="3" s="1"/>
  <c r="BH715" i="3"/>
  <c r="BI715" i="3" s="1"/>
  <c r="BH681" i="3"/>
  <c r="BI681" i="3" s="1"/>
  <c r="BH707" i="3"/>
  <c r="BI707" i="3" s="1"/>
  <c r="BH684" i="3"/>
  <c r="BI684" i="3" s="1"/>
  <c r="BH691" i="3"/>
  <c r="BI691" i="3" s="1"/>
  <c r="BH688" i="3"/>
  <c r="BI688" i="3" s="1"/>
  <c r="BH680" i="3"/>
  <c r="BI680" i="3" s="1"/>
  <c r="BH687" i="3"/>
  <c r="BI687" i="3" s="1"/>
  <c r="BH683" i="3"/>
  <c r="BI683" i="3" s="1"/>
  <c r="BH685" i="3"/>
  <c r="BI685" i="3" s="1"/>
  <c r="BH695" i="3"/>
  <c r="BI695" i="3" s="1"/>
  <c r="BH692" i="3"/>
  <c r="BI692" i="3" s="1"/>
  <c r="BH693" i="3"/>
  <c r="BI693" i="3" s="1"/>
  <c r="BH699" i="3"/>
  <c r="BI699" i="3" s="1"/>
  <c r="CG614" i="3"/>
  <c r="BH696" i="3"/>
  <c r="BI696" i="3" s="1"/>
  <c r="BH730" i="3"/>
  <c r="BI730" i="3" s="1"/>
  <c r="CM638" i="3"/>
  <c r="L29" i="28"/>
  <c r="V29" i="28" s="1"/>
  <c r="L30" i="28"/>
  <c r="V30" i="28" s="1"/>
  <c r="M54" i="9"/>
  <c r="K58" i="9"/>
  <c r="AS354" i="6"/>
  <c r="AK471" i="6" s="1"/>
  <c r="T700" i="6" s="1"/>
  <c r="E62" i="15"/>
  <c r="E23" i="18"/>
  <c r="S26" i="4"/>
  <c r="T23" i="27"/>
  <c r="T26" i="27" s="1"/>
  <c r="AI11" i="27"/>
  <c r="AI23" i="27" s="1"/>
  <c r="AI26" i="27" s="1"/>
  <c r="AI28" i="27" s="1"/>
  <c r="AD63" i="27" s="1"/>
  <c r="AD67" i="27" s="1"/>
  <c r="R96" i="4"/>
  <c r="R104" i="4" s="1"/>
  <c r="E13" i="15"/>
  <c r="AD23" i="26"/>
  <c r="AD26" i="26" s="1"/>
  <c r="C63" i="15"/>
  <c r="AD23" i="27"/>
  <c r="AD26" i="27" s="1"/>
  <c r="AD28" i="27" s="1"/>
  <c r="BE16" i="28"/>
  <c r="B96" i="4"/>
  <c r="B63" i="15"/>
  <c r="C104" i="4"/>
  <c r="B103" i="18" s="1"/>
  <c r="D63" i="15"/>
  <c r="D97" i="15"/>
  <c r="B62" i="4"/>
  <c r="B95" i="18"/>
  <c r="C97" i="15"/>
  <c r="E97" i="15" s="1"/>
  <c r="B61" i="18"/>
  <c r="T23" i="26"/>
  <c r="T26" i="26" s="1"/>
  <c r="T23" i="5"/>
  <c r="T26" i="5" s="1"/>
  <c r="BH676" i="3"/>
  <c r="BI676" i="3" s="1"/>
  <c r="Y765" i="3"/>
  <c r="E4" i="9" s="1"/>
  <c r="G4" i="9" s="1"/>
  <c r="I4" i="9" s="1"/>
  <c r="I5" i="9" s="1"/>
  <c r="BH726" i="3"/>
  <c r="BI726" i="3" s="1"/>
  <c r="BH710" i="3"/>
  <c r="BI710" i="3" s="1"/>
  <c r="BH709" i="3"/>
  <c r="BI709" i="3" s="1"/>
  <c r="Y764" i="3"/>
  <c r="BH712" i="3"/>
  <c r="BI712" i="3" s="1"/>
  <c r="L28" i="28"/>
  <c r="V28" i="28" s="1"/>
  <c r="CB614" i="3"/>
  <c r="CH638"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AD28" i="5" s="1"/>
  <c r="T27" i="27"/>
  <c r="T28" i="27" s="1"/>
  <c r="AI27" i="26"/>
  <c r="AI28" i="26" s="1"/>
  <c r="AD63" i="26" s="1"/>
  <c r="AD67" i="26" s="1"/>
  <c r="T27" i="26"/>
  <c r="Y27" i="26"/>
  <c r="AI27" i="5"/>
  <c r="AI28" i="5" s="1"/>
  <c r="AD63" i="5" s="1"/>
  <c r="AD67"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AB937" i="3" l="1"/>
  <c r="AJ937" i="3" s="1"/>
  <c r="M58" i="9"/>
  <c r="O54" i="9"/>
  <c r="E25" i="18"/>
  <c r="S62" i="4"/>
  <c r="AD28" i="26"/>
  <c r="E63" i="15"/>
  <c r="AC448" i="3"/>
  <c r="B104" i="4"/>
  <c r="AB46" i="5" s="1"/>
  <c r="AB48" i="5" s="1"/>
  <c r="AB53" i="5" s="1"/>
  <c r="AB54" i="5" s="1"/>
  <c r="B105" i="15"/>
  <c r="D105" i="15"/>
  <c r="T28" i="26"/>
  <c r="C105" i="15"/>
  <c r="T28" i="5"/>
  <c r="BI732" i="3"/>
  <c r="AM717" i="3" s="1"/>
  <c r="BI701" i="3"/>
  <c r="AH717" i="3" s="1"/>
  <c r="BH732" i="3"/>
  <c r="Z782" i="3"/>
  <c r="BH701" i="3"/>
  <c r="E5" i="9"/>
  <c r="Y26" i="5"/>
  <c r="Y28" i="5" s="1"/>
  <c r="AO691" i="6"/>
  <c r="G5" i="9"/>
  <c r="K4" i="9"/>
  <c r="M4" i="9" s="1"/>
  <c r="O4" i="9" s="1"/>
  <c r="AC589" i="6"/>
  <c r="Q71" i="25"/>
  <c r="O75" i="25" s="1"/>
  <c r="CE527" i="6"/>
  <c r="CE528" i="6" s="1"/>
  <c r="CC529" i="6" s="1"/>
  <c r="CQ615" i="3"/>
  <c r="P414"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BF582" i="6"/>
  <c r="BF585" i="6" s="1"/>
  <c r="BL580" i="6"/>
  <c r="BL581" i="6"/>
  <c r="BP581" i="6"/>
  <c r="BL582" i="6"/>
  <c r="AF694" i="6"/>
  <c r="E7" i="9"/>
  <c r="G6" i="9"/>
  <c r="M16" i="9"/>
  <c r="K22" i="9"/>
  <c r="K35" i="9" s="1"/>
  <c r="U15" i="9"/>
  <c r="O32" i="9"/>
  <c r="I9" i="9"/>
  <c r="K8" i="9"/>
  <c r="E11" i="9" l="1"/>
  <c r="E37" i="9" s="1"/>
  <c r="E45" i="9" s="1"/>
  <c r="E48" i="9" s="1"/>
  <c r="O58" i="9"/>
  <c r="Q54" i="9"/>
  <c r="AO689" i="6"/>
  <c r="T698" i="6" s="1"/>
  <c r="AF698" i="6" s="1"/>
  <c r="S96" i="4"/>
  <c r="E61" i="18"/>
  <c r="E105" i="15"/>
  <c r="J58" i="25"/>
  <c r="G71" i="25" s="1"/>
  <c r="G72" i="25" s="1"/>
  <c r="B75" i="25" s="1"/>
  <c r="AC447" i="3"/>
  <c r="AB46" i="26"/>
  <c r="AB48" i="26" s="1"/>
  <c r="AB53" i="26" s="1"/>
  <c r="AB54" i="26" s="1"/>
  <c r="AB46" i="27"/>
  <c r="AB48" i="27" s="1"/>
  <c r="AB53" i="27" s="1"/>
  <c r="AB54" i="27" s="1"/>
  <c r="T29" i="5"/>
  <c r="Y63" i="5"/>
  <c r="Y67" i="5" s="1"/>
  <c r="AD38" i="5"/>
  <c r="AD40" i="5"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Y38" i="5"/>
  <c r="Y40" i="5" s="1"/>
  <c r="BF586" i="6"/>
  <c r="O16" i="9"/>
  <c r="M22" i="9"/>
  <c r="M35" i="9" s="1"/>
  <c r="O5" i="9"/>
  <c r="Q4" i="9"/>
  <c r="I6" i="9"/>
  <c r="G7" i="9"/>
  <c r="G11" i="9" s="1"/>
  <c r="G37" i="9" s="1"/>
  <c r="BI547" i="6"/>
  <c r="BM544" i="6"/>
  <c r="W15" i="9"/>
  <c r="Q32" i="9"/>
  <c r="M8" i="9"/>
  <c r="K9" i="9"/>
  <c r="E60" i="9" l="1"/>
  <c r="E66" i="9" s="1"/>
  <c r="E49" i="9"/>
  <c r="E47" i="9"/>
  <c r="Q58" i="9"/>
  <c r="S54" i="9"/>
  <c r="B76" i="25"/>
  <c r="E95" i="18"/>
  <c r="S104" i="4"/>
  <c r="AR43" i="5"/>
  <c r="O76" i="25"/>
  <c r="T702" i="6"/>
  <c r="AO694" i="6"/>
  <c r="AF702" i="6" s="1"/>
  <c r="AF708" i="6" s="1"/>
  <c r="CC531" i="6"/>
  <c r="CC534" i="6" s="1"/>
  <c r="BY534" i="6"/>
  <c r="BU534" i="6"/>
  <c r="BJ587" i="6"/>
  <c r="AV551" i="6" s="1"/>
  <c r="BY571" i="6"/>
  <c r="AR42" i="5"/>
  <c r="Y41" i="5" s="1"/>
  <c r="AB55" i="5" s="1"/>
  <c r="K6" i="9"/>
  <c r="I7" i="9"/>
  <c r="I11" i="9" s="1"/>
  <c r="I37" i="9" s="1"/>
  <c r="Q16" i="9"/>
  <c r="O22" i="9"/>
  <c r="O35" i="9" s="1"/>
  <c r="Q5" i="9"/>
  <c r="S4" i="9"/>
  <c r="G49" i="9"/>
  <c r="G45" i="9"/>
  <c r="Y15" i="9"/>
  <c r="BM547" i="6"/>
  <c r="BQ545" i="6"/>
  <c r="S32" i="9"/>
  <c r="M9" i="9"/>
  <c r="O8" i="9"/>
  <c r="E67" i="9" l="1"/>
  <c r="E70" i="9" s="1"/>
  <c r="E72" i="9" s="1"/>
  <c r="S58" i="9"/>
  <c r="U54" i="9"/>
  <c r="S106" i="4"/>
  <c r="E103" i="18"/>
  <c r="R75" i="25"/>
  <c r="BE15" i="28"/>
  <c r="CG534" i="6"/>
  <c r="CD572" i="6"/>
  <c r="BY574" i="6"/>
  <c r="Q22" i="28"/>
  <c r="V33" i="28" s="1"/>
  <c r="V35" i="28" s="1"/>
  <c r="M25" i="3"/>
  <c r="AB56" i="5"/>
  <c r="BQ547" i="6"/>
  <c r="BU546" i="6"/>
  <c r="BU547" i="6" s="1"/>
  <c r="S16" i="9"/>
  <c r="Q22" i="9"/>
  <c r="Q35" i="9" s="1"/>
  <c r="AA15" i="9"/>
  <c r="G47" i="9"/>
  <c r="G60" i="9"/>
  <c r="G48" i="9"/>
  <c r="I49" i="9"/>
  <c r="I45" i="9"/>
  <c r="U4" i="9"/>
  <c r="S5" i="9"/>
  <c r="K7" i="9"/>
  <c r="K11" i="9" s="1"/>
  <c r="M6" i="9"/>
  <c r="U32" i="9"/>
  <c r="Q8" i="9"/>
  <c r="O9" i="9"/>
  <c r="U58" i="9" l="1"/>
  <c r="W54" i="9"/>
  <c r="E105" i="18"/>
  <c r="AC449" i="3"/>
  <c r="X992" i="3"/>
  <c r="X993" i="3" s="1"/>
  <c r="D994" i="3" s="1"/>
  <c r="AB58" i="5"/>
  <c r="F59" i="5" s="1"/>
  <c r="P203" i="3"/>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W58" i="9" l="1"/>
  <c r="Y54" i="9"/>
  <c r="Y11" i="27"/>
  <c r="Y23" i="27" s="1"/>
  <c r="Y11" i="26"/>
  <c r="Y23" i="26" s="1"/>
  <c r="AB75" i="5"/>
  <c r="AB76"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4" i="9" l="1"/>
  <c r="Y58" i="9"/>
  <c r="Y38" i="26"/>
  <c r="Y40" i="26" s="1"/>
  <c r="Y26" i="26"/>
  <c r="Y28" i="26" s="1"/>
  <c r="AD38" i="26"/>
  <c r="AD40" i="26" s="1"/>
  <c r="Y26" i="27"/>
  <c r="Y28" i="27" s="1"/>
  <c r="Y38" i="27"/>
  <c r="Y40" i="27" s="1"/>
  <c r="AD38" i="27"/>
  <c r="AD40" i="27" s="1"/>
  <c r="K48" i="9"/>
  <c r="AB77" i="5"/>
  <c r="K66" i="9"/>
  <c r="K68" i="9"/>
  <c r="K67" i="9"/>
  <c r="K47" i="9"/>
  <c r="M27" i="3"/>
  <c r="K62" i="9"/>
  <c r="AW559" i="6"/>
  <c r="M48" i="9"/>
  <c r="M47" i="9"/>
  <c r="M60" i="9"/>
  <c r="O49" i="9"/>
  <c r="O45" i="9"/>
  <c r="AA4" i="9"/>
  <c r="Y5" i="9"/>
  <c r="I70" i="9"/>
  <c r="I72" i="9" s="1"/>
  <c r="AG15" i="9"/>
  <c r="Y16" i="9"/>
  <c r="W22" i="9"/>
  <c r="W35" i="9" s="1"/>
  <c r="S6" i="9"/>
  <c r="Q7" i="9"/>
  <c r="Q11" i="9" s="1"/>
  <c r="Q37" i="9" s="1"/>
  <c r="AA32" i="9"/>
  <c r="W8" i="9"/>
  <c r="U9" i="9"/>
  <c r="AC54" i="9" l="1"/>
  <c r="AA58" i="9"/>
  <c r="Y63" i="27"/>
  <c r="Y67" i="27" s="1"/>
  <c r="T29" i="27"/>
  <c r="Y63" i="26"/>
  <c r="Y67" i="26" s="1"/>
  <c r="T29" i="26"/>
  <c r="Y41" i="27"/>
  <c r="AB55" i="27" s="1"/>
  <c r="AB56" i="27" s="1"/>
  <c r="AB58" i="27" s="1"/>
  <c r="Y41" i="26"/>
  <c r="AB55" i="26" s="1"/>
  <c r="AB56" i="26" s="1"/>
  <c r="AB58" i="26" s="1"/>
  <c r="K70" i="9"/>
  <c r="K72" i="9" s="1"/>
  <c r="AB79" i="5"/>
  <c r="J80" i="5" s="1"/>
  <c r="W203" i="3"/>
  <c r="D203" i="3"/>
  <c r="Q45" i="9"/>
  <c r="Q49" i="9"/>
  <c r="AC4" i="9"/>
  <c r="AA5" i="9"/>
  <c r="O48" i="9"/>
  <c r="O60" i="9"/>
  <c r="O47" i="9"/>
  <c r="U6" i="9"/>
  <c r="S7" i="9"/>
  <c r="S11" i="9" s="1"/>
  <c r="S37" i="9" s="1"/>
  <c r="AA16" i="9"/>
  <c r="Y22" i="9"/>
  <c r="Y35" i="9" s="1"/>
  <c r="M62" i="9"/>
  <c r="M66" i="9"/>
  <c r="M68" i="9"/>
  <c r="M69" i="9"/>
  <c r="M67" i="9"/>
  <c r="AC32" i="9"/>
  <c r="W9" i="9"/>
  <c r="Y8" i="9"/>
  <c r="AC58" i="9" l="1"/>
  <c r="AE54" i="9"/>
  <c r="AB75" i="26"/>
  <c r="AB76" i="26" s="1"/>
  <c r="AB77" i="26" s="1"/>
  <c r="AB79" i="26" s="1"/>
  <c r="J80" i="26" s="1"/>
  <c r="F59" i="26"/>
  <c r="AB75" i="27"/>
  <c r="AB76" i="27" s="1"/>
  <c r="AB77" i="27" s="1"/>
  <c r="AB79" i="27" s="1"/>
  <c r="J80" i="27" s="1"/>
  <c r="F59" i="27"/>
  <c r="M70" i="9"/>
  <c r="M72" i="9" s="1"/>
  <c r="W6" i="9"/>
  <c r="U7" i="9"/>
  <c r="U11" i="9" s="1"/>
  <c r="U37" i="9" s="1"/>
  <c r="O68" i="9"/>
  <c r="O62" i="9"/>
  <c r="O66" i="9"/>
  <c r="O69" i="9"/>
  <c r="O67" i="9"/>
  <c r="AC16" i="9"/>
  <c r="AA22" i="9"/>
  <c r="AA35" i="9" s="1"/>
  <c r="S45" i="9"/>
  <c r="S49" i="9"/>
  <c r="AC5" i="9"/>
  <c r="AE4" i="9"/>
  <c r="Q48" i="9"/>
  <c r="Q60" i="9"/>
  <c r="Q47" i="9"/>
  <c r="AE32" i="9"/>
  <c r="Y9" i="9"/>
  <c r="AA8" i="9"/>
  <c r="AE58" i="9" l="1"/>
  <c r="AG54"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<sst xmlns="http://schemas.openxmlformats.org/spreadsheetml/2006/main" count="4740" uniqueCount="2553">
  <si>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</si>
  <si>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</si>
  <si>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</si>
  <si>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</si>
  <si>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</si>
  <si>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</si>
  <si>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</si>
  <si>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</si>
  <si>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</si>
  <si>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</si>
  <si>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</si>
  <si>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</si>
  <si>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</si>
  <si>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</si>
  <si>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</si>
  <si>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</si>
  <si>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</si>
  <si>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</si>
  <si>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</si>
  <si>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</si>
  <si>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</si>
  <si>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</si>
  <si>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</si>
  <si>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</si>
  <si>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</si>
  <si>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</si>
  <si>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</si>
  <si>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</si>
  <si>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</si>
  <si>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</si>
  <si>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</si>
  <si>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</si>
  <si>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</si>
  <si>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</si>
  <si>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</si>
  <si>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</si>
  <si>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</si>
  <si>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</si>
  <si>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</si>
  <si>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</si>
  <si>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</si>
  <si>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</si>
  <si>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</si>
  <si>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</si>
  <si>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</si>
  <si>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</si>
  <si>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</si>
  <si>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</si>
  <si>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</si>
  <si>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</si>
  <si>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</si>
  <si>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</si>
  <si>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</si>
  <si>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</si>
  <si>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</si>
  <si>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</si>
  <si>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</si>
  <si>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</si>
  <si>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</si>
  <si>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</si>
  <si>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</si>
  <si>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</si>
  <si>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</si>
  <si>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</si>
  <si>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</si>
  <si>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</si>
  <si>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</si>
  <si>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</si>
  <si>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</si>
  <si>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</si>
  <si>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</si>
  <si>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</si>
  <si>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</si>
  <si>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</si>
  <si>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</si>
  <si>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</si>
  <si>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</si>
  <si>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</si>
  <si>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</si>
  <si>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</si>
  <si>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</si>
  <si>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</si>
  <si>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</si>
  <si>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</si>
  <si>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</si>
  <si>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</si>
  <si>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</si>
  <si>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</si>
  <si>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</si>
  <si>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</si>
  <si>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</si>
  <si>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</si>
  <si>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</si>
  <si>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</si>
  <si>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</si>
  <si>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</si>
  <si>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</si>
  <si>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</si>
  <si>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</si>
  <si>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</si>
  <si>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</si>
  <si>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</si>
  <si>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</si>
  <si>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</si>
  <si>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</si>
  <si>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</si>
  <si>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</si>
  <si>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</si>
  <si>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</si>
  <si>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</si>
  <si>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</si>
  <si>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</si>
  <si>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</si>
  <si>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</si>
  <si>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</si>
  <si>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</si>
  <si>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</si>
  <si>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</si>
  <si>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</si>
  <si>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</si>
  <si>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</si>
  <si>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</si>
  <si>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</si>
  <si>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</si>
  <si>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</si>
  <si>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</si>
  <si>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</si>
  <si>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</si>
  <si>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</si>
  <si>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</si>
  <si>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</si>
  <si>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</si>
  <si>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</si>
  <si>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</si>
  <si>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</si>
  <si>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</si>
  <si>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</si>
  <si>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</si>
  <si>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</si>
  <si>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</si>
  <si>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</si>
  <si>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</si>
  <si>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</si>
  <si>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</si>
  <si>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</si>
  <si>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</si>
  <si>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</si>
  <si>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</si>
  <si>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</si>
  <si>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</si>
  <si>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</si>
  <si>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</si>
  <si>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</si>
  <si>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</si>
  <si>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</si>
  <si>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</si>
  <si>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</si>
  <si>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</si>
  <si>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</si>
  <si>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</si>
  <si>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</si>
  <si>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</si>
  <si>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</si>
  <si>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</si>
  <si>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</si>
  <si>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</si>
  <si>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</si>
  <si>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</si>
  <si>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</si>
  <si>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</si>
  <si>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</si>
  <si>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</si>
  <si>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</si>
  <si>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</si>
  <si>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</si>
  <si>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</si>
  <si>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</si>
  <si>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</si>
  <si>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</si>
  <si>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</si>
  <si>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</si>
  <si>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</si>
  <si>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</si>
  <si>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</si>
  <si>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</si>
  <si>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</si>
  <si>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</si>
  <si>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</si>
  <si>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</si>
  <si>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</si>
  <si>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</si>
  <si>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</si>
  <si>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</si>
  <si>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</si>
  <si>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</si>
  <si>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</si>
  <si>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</si>
  <si>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</si>
  <si>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</si>
  <si>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</si>
  <si>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</si>
  <si>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</si>
  <si>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</si>
  <si>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</si>
  <si>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</si>
  <si>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</si>
  <si>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</si>
  <si>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</si>
  <si>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</si>
  <si>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</si>
  <si>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</si>
  <si>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</si>
  <si>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</si>
  <si>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</si>
  <si>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</si>
  <si>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</si>
  <si>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</si>
  <si>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</si>
  <si>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</si>
  <si>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</si>
  <si>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</si>
  <si>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</si>
  <si>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</si>
  <si>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</si>
  <si>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</si>
  <si>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</si>
  <si>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</si>
  <si>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</si>
  <si>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</si>
  <si>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</si>
  <si>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</si>
  <si>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</si>
  <si>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</si>
  <si>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</si>
  <si>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</si>
  <si>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</si>
  <si>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</si>
  <si>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</si>
  <si>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</si>
  <si>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</si>
  <si>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</si>
  <si>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</si>
  <si>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</si>
  <si>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</si>
  <si>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</si>
  <si>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</si>
  <si>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</si>
  <si>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</si>
  <si>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</si>
  <si>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</si>
  <si>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</si>
  <si>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</si>
  <si>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</si>
  <si>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</si>
  <si>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</si>
  <si>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</si>
  <si>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</si>
  <si>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</si>
  <si>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</si>
  <si>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</si>
  <si>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</si>
  <si>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</si>
  <si>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</si>
  <si>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</si>
  <si>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</si>
  <si>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</si>
  <si>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</si>
  <si>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</si>
  <si>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</si>
  <si>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</si>
  <si>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</si>
  <si>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</si>
  <si>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</si>
  <si>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</si>
  <si>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</si>
  <si>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</si>
  <si>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</si>
  <si>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</si>
  <si>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</si>
  <si>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</si>
  <si>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</si>
  <si>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</si>
  <si>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</si>
  <si>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</si>
  <si>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</si>
  <si>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</si>
  <si>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</si>
  <si>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</si>
  <si>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</si>
  <si>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</si>
  <si>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</si>
  <si>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</si>
  <si>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</si>
  <si>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</si>
  <si>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</si>
  <si>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</si>
  <si>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</si>
  <si>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</si>
  <si>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</si>
  <si>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</si>
  <si>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</si>
  <si>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</si>
  <si>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</si>
  <si>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</si>
  <si>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</si>
  <si>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</si>
  <si>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</si>
  <si>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</si>
  <si>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</si>
  <si>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</si>
  <si>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</si>
  <si>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</si>
  <si>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</si>
  <si>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</si>
  <si>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</si>
  <si>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</si>
  <si>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</si>
  <si>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</si>
  <si>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</si>
  <si>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</si>
  <si>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</si>
  <si>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</si>
  <si>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</si>
  <si>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</si>
  <si>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</si>
  <si>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</si>
  <si>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</si>
  <si>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</si>
  <si>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</si>
  <si>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</si>
  <si>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</si>
  <si>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</si>
  <si>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</si>
  <si>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</si>
  <si>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</si>
  <si>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</si>
  <si>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</si>
  <si>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</si>
  <si>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</si>
  <si>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</si>
  <si>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</si>
  <si>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</si>
  <si>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</si>
  <si>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</si>
  <si>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</si>
  <si>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</si>
  <si>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</si>
  <si>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</si>
  <si>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</si>
  <si>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</si>
  <si>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</si>
  <si>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</si>
  <si>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</si>
  <si>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</si>
  <si>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</si>
  <si>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</si>
  <si>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</si>
  <si>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</si>
  <si>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</si>
  <si>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</si>
  <si>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</si>
  <si>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</si>
  <si>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</si>
  <si>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</si>
  <si>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</si>
  <si>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</si>
  <si>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</si>
  <si>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</si>
  <si>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</si>
  <si>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</si>
  <si>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</si>
  <si>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</si>
  <si>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</si>
  <si>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</si>
  <si>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</si>
  <si>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</si>
  <si>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</si>
  <si>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</si>
  <si>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</si>
  <si>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</si>
  <si>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</si>
  <si>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</si>
  <si>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</si>
  <si>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</si>
  <si>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</si>
  <si>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</si>
  <si>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</si>
  <si>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</si>
  <si>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</si>
  <si>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</si>
  <si>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</si>
  <si>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</si>
  <si>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</si>
  <si>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</si>
  <si>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</si>
  <si>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</si>
  <si>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</si>
  <si>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</si>
  <si>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</si>
  <si>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</si>
  <si>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</si>
  <si>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</si>
  <si>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</si>
  <si>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</si>
  <si>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</si>
  <si>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</si>
  <si>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</si>
  <si>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</si>
  <si>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</si>
  <si>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</si>
  <si>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</si>
  <si>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</si>
  <si>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</si>
  <si>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</si>
  <si>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</si>
  <si>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</si>
  <si>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</si>
  <si>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</si>
  <si>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</si>
  <si>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</si>
  <si>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</si>
  <si>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</si>
  <si>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</si>
  <si>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</si>
  <si>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</si>
  <si>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</si>
  <si>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</si>
  <si>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</si>
  <si>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</si>
  <si>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</si>
  <si>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</si>
  <si>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</si>
  <si>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</si>
  <si>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</si>
  <si>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</si>
  <si>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</si>
  <si>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</si>
  <si>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</si>
  <si>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</si>
  <si>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</si>
  <si>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</si>
  <si>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</si>
  <si>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</si>
  <si>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</si>
  <si>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</si>
  <si>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</si>
  <si>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</si>
  <si>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</si>
  <si>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</si>
  <si>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</si>
  <si>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</si>
  <si>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</si>
  <si>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</si>
  <si>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</si>
  <si>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</si>
  <si>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</si>
  <si>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</si>
  <si>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</si>
  <si>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</si>
  <si>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</si>
  <si>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</si>
  <si>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</si>
  <si>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</si>
  <si>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</si>
  <si>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</si>
  <si>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</si>
  <si>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</si>
  <si>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</si>
  <si>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</si>
  <si>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</si>
  <si>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</si>
  <si>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</si>
  <si>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</si>
  <si>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</si>
  <si>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</si>
  <si>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</si>
  <si>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</si>
  <si>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</si>
  <si>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</si>
  <si>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</si>
  <si>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</si>
  <si>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</si>
  <si>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</si>
  <si>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</si>
  <si>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</si>
  <si>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</si>
  <si>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</si>
  <si>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</si>
  <si>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</si>
  <si>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</si>
  <si>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</si>
  <si>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</si>
  <si>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</si>
  <si>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</si>
  <si>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</si>
  <si>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</si>
  <si>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</si>
  <si>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</si>
  <si>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</si>
  <si>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</si>
  <si>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</si>
  <si>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</si>
  <si>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</si>
  <si>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</si>
  <si>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</si>
  <si>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</si>
  <si>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</si>
  <si>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</si>
  <si>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</si>
  <si>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</si>
  <si>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</si>
  <si>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</si>
  <si>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</si>
  <si>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</si>
  <si>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</si>
  <si>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</si>
  <si>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</si>
  <si>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</si>
  <si>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</si>
  <si>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</si>
  <si>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</si>
  <si>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</si>
  <si>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</si>
  <si>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</si>
  <si>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</si>
  <si>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</si>
  <si>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</si>
  <si>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</si>
  <si>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</si>
  <si>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</si>
  <si>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</si>
  <si>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</si>
  <si>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</si>
  <si>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</si>
  <si>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</si>
  <si>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</si>
  <si>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</si>
  <si>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</si>
  <si>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</si>
  <si>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</si>
  <si>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</si>
  <si>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</si>
  <si>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</si>
  <si>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</si>
  <si>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</si>
  <si>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</si>
  <si>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</si>
  <si>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</si>
  <si>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</si>
  <si>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</si>
  <si>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</si>
  <si>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</si>
  <si>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</si>
  <si>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</si>
  <si>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</si>
  <si>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</si>
  <si>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</si>
  <si>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</si>
  <si>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</si>
  <si>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</si>
  <si>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</si>
  <si>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</si>
  <si>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</si>
  <si>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</si>
  <si>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</si>
  <si>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</si>
  <si>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</si>
  <si>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</si>
  <si>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</si>
  <si>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</si>
  <si>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</si>
  <si>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</si>
  <si>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</si>
  <si>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</si>
  <si>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</si>
  <si>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</si>
  <si>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</si>
  <si>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</si>
  <si>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</si>
  <si>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</si>
  <si>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</si>
  <si>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</si>
  <si>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</si>
  <si>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</si>
  <si>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</si>
  <si>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</si>
  <si>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</si>
  <si>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</si>
  <si>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</si>
  <si>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</si>
  <si>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</si>
  <si>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</si>
  <si>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</si>
  <si>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</si>
  <si>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</si>
  <si>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</si>
  <si>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</si>
  <si>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</si>
  <si>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</si>
  <si>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</si>
  <si>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</si>
  <si>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</si>
  <si>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</si>
  <si>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</si>
  <si>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</si>
  <si>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</si>
  <si>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</si>
  <si>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</si>
  <si>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</si>
  <si>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</si>
  <si>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</si>
  <si>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</si>
  <si>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</si>
  <si>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</si>
  <si>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</si>
  <si>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</si>
  <si>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</si>
  <si>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</si>
  <si>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</si>
  <si>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</si>
  <si>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</si>
  <si>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</si>
  <si>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</si>
  <si>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</si>
  <si>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</si>
  <si>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</si>
  <si>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</si>
  <si>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</si>
  <si>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</si>
  <si>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</si>
  <si>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</si>
  <si>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</si>
  <si>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</si>
  <si>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</si>
  <si>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</si>
  <si>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</si>
  <si>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</si>
  <si>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</si>
  <si>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</si>
  <si>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</si>
  <si>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</si>
  <si>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</si>
  <si>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</si>
  <si>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</si>
  <si>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</si>
  <si>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</si>
  <si>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</si>
  <si>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</si>
  <si>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</si>
  <si>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</si>
  <si>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</si>
  <si>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</si>
  <si>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</si>
  <si>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</si>
  <si>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</si>
  <si>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</si>
  <si>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</si>
  <si>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</si>
  <si>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</si>
  <si>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</si>
  <si>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</si>
  <si>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</si>
  <si>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</si>
  <si>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</si>
  <si>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</si>
  <si>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</si>
  <si>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</si>
  <si>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</si>
  <si>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</si>
  <si>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</si>
  <si>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</si>
  <si>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</si>
  <si>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</si>
  <si>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</si>
  <si>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</si>
  <si>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</si>
  <si>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</si>
  <si>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</si>
  <si>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</si>
  <si>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</si>
  <si>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</si>
  <si>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</si>
  <si>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</si>
  <si>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</si>
  <si>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</si>
  <si>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</si>
  <si>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</si>
  <si>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</si>
  <si>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</si>
  <si>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</si>
  <si>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</si>
  <si>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</si>
  <si>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</si>
  <si>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</si>
  <si>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</si>
  <si>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</si>
  <si>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</si>
  <si>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</si>
  <si>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</si>
  <si>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</si>
  <si>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</si>
  <si>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</si>
  <si>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</si>
  <si>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</si>
  <si>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</si>
  <si>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</si>
  <si>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</si>
  <si>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</si>
  <si>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</si>
  <si>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</si>
  <si>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</si>
  <si>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</si>
  <si>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</si>
  <si>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</si>
  <si>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</si>
  <si>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</si>
  <si>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</si>
  <si>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</si>
  <si>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</si>
  <si>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</si>
  <si>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</si>
  <si>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</si>
  <si>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</si>
  <si>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</si>
  <si>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</si>
  <si>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</si>
  <si>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</si>
  <si>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</si>
  <si>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</si>
  <si>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</si>
  <si>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</si>
  <si>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</si>
  <si>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</si>
  <si>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</si>
  <si>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</si>
  <si>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</si>
  <si>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</si>
  <si>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</si>
  <si>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</si>
  <si>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</si>
  <si>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</si>
  <si>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</si>
  <si>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</si>
  <si>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</si>
  <si>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</si>
  <si>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</si>
  <si>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</si>
  <si>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</si>
  <si>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</si>
  <si>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</si>
  <si>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</si>
  <si>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</si>
  <si>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</si>
  <si>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</si>
  <si>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</si>
  <si>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</si>
  <si>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</si>
  <si>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</si>
  <si>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</si>
  <si>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</si>
  <si>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</si>
  <si>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</si>
  <si>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</si>
  <si>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</si>
  <si>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</si>
  <si>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</si>
  <si>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</si>
  <si>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</si>
  <si>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</si>
  <si>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</si>
  <si>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</si>
  <si>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</si>
  <si>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</si>
  <si>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</si>
  <si>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</si>
  <si>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</si>
  <si>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</si>
  <si>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</si>
  <si>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</si>
  <si>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</si>
  <si>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</si>
  <si>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</si>
  <si>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</si>
  <si>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</si>
  <si>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</si>
  <si>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</si>
  <si>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</si>
  <si>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</si>
  <si>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</si>
  <si>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</si>
  <si>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</si>
  <si>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</si>
  <si>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</si>
  <si>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</si>
  <si>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</si>
  <si>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</si>
  <si>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</si>
  <si>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</si>
  <si>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</si>
  <si>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</si>
  <si>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</si>
  <si>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</si>
  <si>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</si>
  <si>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</si>
  <si>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</si>
  <si>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</si>
  <si>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</si>
  <si>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</si>
  <si>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</si>
  <si>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</si>
  <si>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</si>
  <si>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</si>
  <si>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</si>
  <si>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</si>
  <si>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</si>
  <si>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</si>
  <si>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</si>
  <si>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</si>
  <si>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</si>
  <si>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</si>
  <si>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</si>
  <si>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</si>
  <si>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</si>
  <si>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</si>
  <si>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</si>
  <si>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</si>
  <si>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</si>
  <si>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</si>
  <si>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</si>
  <si>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</si>
  <si>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</si>
  <si>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</si>
  <si>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</si>
  <si>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</si>
  <si>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</si>
  <si>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</si>
  <si>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</si>
  <si>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</si>
  <si>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</si>
  <si>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</si>
  <si>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</si>
  <si>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</si>
  <si>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</si>
  <si>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</si>
  <si>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</si>
  <si>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</si>
  <si>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</si>
  <si>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</si>
  <si>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</si>
  <si>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</si>
  <si>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</si>
  <si>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</si>
  <si>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</si>
  <si>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</si>
  <si>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</si>
  <si>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</si>
  <si>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</si>
  <si>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</si>
  <si>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</si>
  <si>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</si>
  <si>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</si>
  <si>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</si>
  <si>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</si>
  <si>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</si>
  <si>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</si>
  <si>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</si>
  <si>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</si>
  <si>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</si>
  <si>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</si>
  <si>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</si>
  <si>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</si>
  <si>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</si>
  <si>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</si>
  <si>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</si>
  <si>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</si>
  <si>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</si>
  <si>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</si>
  <si>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</si>
  <si>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</si>
  <si>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</si>
  <si>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</si>
  <si>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</si>
  <si>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</si>
  <si>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</si>
  <si>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</si>
  <si>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</si>
  <si>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</si>
  <si>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</si>
  <si>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</si>
  <si>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</si>
  <si>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</si>
  <si>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</si>
  <si>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</si>
  <si>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</si>
  <si>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</si>
  <si>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</si>
  <si>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</si>
  <si>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</si>
  <si>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</si>
  <si>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</si>
  <si>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</si>
  <si>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</si>
  <si>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</si>
  <si>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</si>
  <si>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</si>
  <si>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</si>
  <si>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</si>
  <si>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</si>
  <si>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</si>
  <si>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</si>
  <si>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</si>
  <si>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</si>
  <si>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</si>
  <si>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</si>
  <si>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</si>
  <si>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</si>
  <si>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</si>
  <si>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</si>
  <si>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</si>
  <si>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</si>
  <si>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</si>
  <si>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</si>
  <si>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</si>
  <si>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</si>
  <si>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</si>
  <si>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</si>
  <si>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</si>
  <si>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</si>
  <si>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</si>
  <si>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</si>
  <si>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</si>
  <si>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</si>
  <si>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</si>
  <si>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</si>
  <si>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</si>
  <si>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</si>
  <si>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</si>
  <si>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</si>
  <si>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</si>
  <si>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</si>
  <si>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</si>
  <si>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</si>
  <si>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</si>
  <si>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</si>
  <si>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</si>
  <si>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</si>
  <si>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</si>
  <si>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</si>
  <si>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</si>
  <si>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</si>
  <si>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</si>
  <si>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</si>
  <si>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</si>
  <si>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</si>
  <si>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</si>
  <si>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</si>
  <si>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</si>
  <si>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</si>
  <si>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</si>
  <si>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</si>
  <si>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</si>
  <si>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</si>
  <si>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</si>
  <si>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</si>
  <si>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</si>
  <si>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</si>
  <si>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</si>
  <si>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</si>
  <si>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</si>
  <si>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</si>
  <si>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</si>
  <si>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</si>
  <si>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</si>
  <si>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</si>
  <si>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</si>
  <si>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</si>
  <si>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</si>
  <si>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</si>
  <si>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</si>
  <si>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</si>
  <si>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</si>
  <si>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</si>
  <si>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</si>
  <si>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</si>
  <si>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</si>
  <si>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</si>
  <si>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</si>
  <si>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</si>
  <si>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</si>
  <si>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</si>
  <si>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</si>
  <si>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</si>
  <si>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</si>
  <si>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</si>
  <si>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</si>
  <si>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</si>
  <si>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</si>
  <si>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</si>
  <si>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</si>
  <si>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</si>
  <si>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</si>
  <si>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</si>
  <si>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</si>
  <si>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</si>
  <si>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</si>
  <si>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</si>
  <si>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</si>
  <si>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</si>
  <si>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</si>
  <si>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</si>
  <si>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</si>
  <si>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</si>
  <si>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</si>
  <si>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</si>
  <si>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</si>
  <si>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</si>
  <si>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</si>
  <si>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</si>
  <si>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</si>
  <si>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</si>
  <si>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</si>
  <si>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</si>
  <si>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</si>
  <si>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</si>
  <si>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</si>
  <si>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</si>
  <si>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</si>
  <si>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</si>
  <si>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</si>
  <si>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</si>
  <si>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</si>
  <si>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</si>
  <si>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</si>
  <si>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</si>
  <si>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</si>
  <si>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</si>
  <si>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</si>
  <si>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</si>
  <si>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</si>
  <si>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</si>
  <si>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</si>
  <si>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</si>
  <si>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</si>
  <si>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</si>
  <si>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</si>
  <si>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</si>
  <si>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</si>
  <si>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</si>
  <si>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</si>
  <si>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</si>
  <si>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</si>
  <si>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</si>
  <si>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</si>
  <si>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</si>
  <si>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</si>
  <si>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</si>
  <si>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</si>
  <si>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</si>
  <si>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</si>
  <si>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</si>
  <si>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</si>
  <si>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</si>
  <si>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</si>
  <si>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</si>
  <si>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</si>
  <si>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</si>
  <si>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</si>
  <si>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</si>
  <si>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</si>
  <si>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</si>
  <si>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</si>
  <si>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</si>
  <si>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</si>
  <si>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</si>
  <si>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</si>
  <si>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</si>
  <si>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</si>
  <si>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</si>
  <si>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</si>
  <si>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</si>
  <si>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</si>
  <si>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</si>
  <si>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</si>
  <si>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</si>
  <si>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</si>
  <si>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</si>
  <si>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</si>
  <si>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</si>
  <si>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</si>
  <si>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</si>
  <si>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</si>
  <si>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</si>
  <si>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</si>
  <si>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</si>
  <si>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</si>
  <si>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</si>
  <si>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</si>
  <si>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</si>
  <si>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</si>
  <si>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</si>
  <si>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</si>
  <si>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</si>
  <si>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</si>
  <si>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</si>
  <si>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</si>
  <si>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</si>
  <si>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</si>
  <si>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</si>
  <si>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</si>
  <si>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</si>
  <si>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</si>
  <si>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</si>
  <si>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</si>
  <si>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</si>
  <si>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</si>
  <si>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</si>
  <si>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</si>
  <si>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</si>
  <si>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</si>
  <si>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</si>
  <si>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</si>
  <si>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</si>
  <si>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</si>
  <si>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</si>
  <si>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</si>
  <si>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</si>
  <si>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</si>
  <si>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</si>
  <si>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</si>
  <si>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</si>
  <si>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</si>
  <si>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</si>
  <si>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</si>
  <si>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</si>
  <si>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</si>
  <si>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</si>
  <si>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</si>
  <si>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</si>
  <si>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</si>
  <si>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</si>
  <si>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</si>
  <si>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</si>
  <si>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</si>
  <si>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</si>
  <si>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</si>
  <si>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</si>
  <si>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</si>
  <si>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</si>
  <si>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</si>
  <si>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</si>
  <si>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</si>
  <si>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</si>
  <si>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</si>
  <si>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</si>
  <si>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</si>
  <si>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</si>
  <si>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</si>
  <si>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</si>
  <si>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</si>
  <si>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</si>
  <si>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</si>
  <si>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</si>
  <si>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</si>
  <si>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</si>
  <si>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</si>
  <si>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</si>
  <si>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</si>
  <si>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</si>
  <si>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</si>
  <si>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</si>
  <si>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</si>
  <si>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</si>
  <si>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</si>
  <si>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</si>
  <si>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</si>
  <si>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</si>
  <si>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</si>
  <si>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</si>
  <si>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</si>
  <si>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</si>
  <si>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</si>
  <si>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</si>
  <si>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</si>
  <si>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</si>
  <si>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</si>
  <si>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</si>
  <si>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</si>
  <si>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</si>
  <si>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</si>
  <si>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</si>
  <si>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</si>
  <si>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</si>
  <si>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</si>
  <si>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</si>
  <si>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</si>
  <si>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</si>
  <si>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</si>
  <si>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</si>
  <si>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</si>
  <si>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</si>
  <si>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</si>
  <si>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</si>
  <si>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</si>
  <si>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</si>
  <si>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</si>
  <si>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</si>
  <si>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</si>
  <si>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</si>
  <si>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</si>
  <si>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</si>
  <si>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</si>
  <si>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</si>
  <si>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</si>
  <si>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</si>
  <si>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</si>
  <si>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</si>
  <si>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</si>
  <si>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</si>
  <si>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</si>
  <si>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</si>
  <si>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</si>
  <si>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</si>
  <si>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</si>
  <si>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</si>
  <si>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</si>
  <si>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</si>
  <si>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</si>
  <si>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</si>
  <si>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</si>
  <si>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</si>
  <si>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</si>
  <si>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</si>
  <si>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</si>
  <si>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</si>
  <si>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</si>
  <si>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</si>
  <si>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</si>
  <si>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</si>
  <si>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</si>
  <si>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</si>
  <si>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</si>
  <si>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</si>
  <si>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</si>
  <si>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</si>
  <si>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</si>
  <si>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</si>
  <si>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</si>
  <si>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</si>
  <si>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</si>
  <si>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</si>
  <si>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</si>
  <si>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</si>
  <si>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</si>
  <si>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</si>
  <si>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</si>
  <si>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</si>
  <si>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</si>
  <si>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</si>
  <si>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</si>
  <si>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</si>
  <si>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</si>
  <si>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</si>
  <si>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</si>
  <si>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</si>
  <si>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</si>
  <si>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</si>
  <si>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</si>
  <si>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</si>
  <si>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</si>
  <si>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</si>
  <si>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</si>
  <si>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</si>
  <si>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</si>
  <si>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</si>
  <si>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</si>
  <si>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</si>
  <si>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</si>
  <si>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</si>
  <si>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</si>
  <si>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</si>
  <si>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</si>
  <si>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</si>
  <si>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</si>
  <si>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</si>
  <si>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</si>
  <si>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</si>
  <si>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</si>
  <si>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</si>
  <si>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</si>
  <si>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</si>
  <si>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</si>
  <si>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</si>
  <si>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</si>
  <si>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</si>
  <si>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</si>
  <si>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</si>
  <si>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</si>
  <si>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</si>
  <si>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</si>
  <si>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</si>
  <si>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</si>
  <si>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</si>
  <si>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</si>
  <si>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</si>
  <si>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</si>
  <si>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</si>
  <si>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</si>
  <si>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</si>
  <si>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</si>
  <si>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</si>
  <si>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</si>
  <si>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</si>
  <si>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</si>
  <si>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</si>
  <si>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</si>
  <si>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</si>
  <si>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</si>
  <si>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</si>
  <si>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</si>
  <si>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</si>
  <si>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</si>
  <si>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</si>
  <si>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</si>
  <si>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</si>
  <si>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</si>
  <si>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</si>
  <si>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</si>
  <si>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</si>
  <si>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</si>
  <si>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</si>
  <si>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</si>
  <si>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</si>
  <si>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</si>
  <si>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</si>
  <si>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</si>
  <si>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</si>
  <si>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</si>
  <si>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</si>
  <si>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</si>
  <si>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</si>
  <si>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</si>
  <si>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</si>
  <si>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</si>
  <si>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</si>
  <si>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</si>
  <si>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</si>
  <si>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</si>
  <si>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</si>
  <si>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</si>
  <si>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</si>
  <si>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</si>
  <si>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</si>
  <si>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</si>
  <si>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</si>
  <si>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</si>
  <si>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</si>
  <si>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</si>
  <si>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</si>
  <si>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</si>
  <si>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</si>
  <si>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</si>
  <si>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</si>
  <si>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</si>
  <si>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</si>
  <si>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</si>
  <si>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</si>
  <si>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</si>
  <si>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</si>
  <si>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</si>
  <si>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</si>
  <si>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</si>
  <si>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</si>
  <si>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</si>
  <si>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</si>
  <si>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</si>
  <si>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</si>
  <si>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</si>
  <si>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</si>
  <si>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</si>
  <si>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</si>
  <si>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</si>
  <si>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</si>
  <si>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</si>
  <si>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</si>
  <si>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</si>
  <si>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</si>
  <si>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</si>
  <si>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</si>
  <si>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</si>
  <si>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</si>
  <si>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</si>
  <si>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</si>
  <si>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</si>
  <si>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</si>
  <si>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</si>
  <si>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</si>
  <si>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</si>
  <si>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</si>
  <si>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</si>
  <si>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</si>
  <si>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</si>
  <si>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</si>
  <si>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</si>
  <si>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</si>
  <si>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</si>
  <si>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</si>
  <si>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</si>
  <si>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</si>
  <si>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</si>
  <si>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</si>
  <si>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</si>
  <si>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</si>
  <si>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</si>
  <si>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</si>
  <si>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</si>
  <si>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</si>
  <si>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</si>
  <si>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</si>
  <si>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</si>
  <si>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</si>
  <si>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</si>
  <si>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</si>
  <si>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</si>
  <si>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</si>
  <si>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</si>
  <si>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</si>
  <si>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</si>
  <si>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</si>
  <si>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</si>
  <si>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</si>
  <si>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</si>
  <si>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</si>
  <si>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</si>
  <si>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</si>
  <si>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</si>
  <si>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</si>
  <si>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</si>
  <si>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</si>
  <si>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</si>
  <si>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</si>
  <si>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</si>
  <si>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</si>
  <si>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</si>
  <si>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</si>
  <si>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</si>
  <si>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</si>
  <si>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</si>
  <si>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</si>
  <si>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</si>
  <si>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</si>
  <si>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</si>
  <si>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</si>
  <si>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</si>
  <si>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</si>
  <si>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</si>
  <si>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</si>
  <si>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</si>
  <si>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</si>
  <si>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</si>
  <si>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</si>
  <si>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</si>
  <si>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</si>
  <si>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</si>
  <si>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</si>
  <si>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</si>
  <si>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</si>
  <si>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</si>
  <si>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</si>
  <si>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</si>
  <si>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</si>
  <si>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</si>
  <si>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</si>
  <si>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</si>
  <si>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</si>
  <si>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</si>
  <si>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</si>
  <si>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</si>
  <si>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</si>
  <si>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</si>
  <si>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</si>
  <si>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</si>
  <si>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</si>
  <si>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</si>
  <si>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</si>
  <si>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</si>
  <si>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</si>
  <si>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</si>
  <si>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</si>
  <si>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</si>
  <si>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</si>
  <si>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</si>
  <si>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</si>
  <si>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</si>
  <si>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</si>
  <si>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</si>
  <si>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</si>
  <si>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</si>
  <si>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</si>
  <si>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</si>
  <si>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</si>
  <si>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</si>
  <si>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</si>
  <si>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</si>
  <si>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</si>
  <si>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</si>
  <si>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</si>
  <si>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</si>
  <si>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</si>
  <si>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</si>
  <si>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</si>
  <si>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</si>
  <si>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</si>
  <si>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</si>
  <si>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</si>
  <si>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</si>
  <si>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</si>
  <si>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</si>
  <si>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</si>
  <si>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</si>
  <si>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</si>
  <si>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</si>
  <si>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</si>
  <si>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</si>
  <si>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</si>
  <si>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</si>
  <si>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</si>
  <si>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</si>
  <si>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</si>
  <si>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</si>
  <si>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</si>
  <si>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</si>
  <si>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</si>
  <si>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</si>
  <si>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</si>
  <si>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</si>
  <si>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</si>
  <si>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</si>
  <si>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</si>
  <si>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</si>
  <si>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</si>
  <si>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</si>
  <si>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</si>
  <si>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</si>
  <si>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</si>
  <si>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</si>
  <si>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</si>
  <si>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</si>
  <si>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</si>
  <si>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</si>
  <si>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</si>
  <si>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</si>
  <si>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</si>
  <si>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</si>
  <si>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</si>
  <si>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</si>
  <si>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</si>
  <si>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</si>
  <si>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</si>
  <si>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</si>
  <si>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</si>
  <si>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</si>
  <si>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</si>
  <si>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</si>
  <si>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</si>
  <si>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</si>
  <si>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</si>
  <si>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</si>
  <si>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</si>
  <si>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</si>
  <si>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</si>
  <si>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</si>
  <si>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</si>
  <si>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</si>
  <si>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</si>
  <si>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</si>
  <si>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</si>
  <si>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</si>
  <si>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</si>
  <si>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</si>
  <si>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</si>
  <si>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</si>
  <si>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</si>
  <si>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</si>
  <si>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</si>
  <si>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</si>
  <si>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</si>
  <si>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</si>
  <si>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</si>
  <si>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</si>
  <si>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</si>
  <si>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</si>
  <si>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</si>
  <si>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</si>
  <si>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</si>
  <si>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</si>
  <si>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</si>
  <si>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</si>
  <si>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</si>
  <si>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</si>
  <si>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</si>
  <si>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</si>
  <si>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</si>
  <si>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</si>
  <si>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</si>
  <si>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</si>
  <si>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</si>
  <si>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</si>
  <si>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</si>
  <si>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</si>
  <si>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</si>
  <si>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</si>
  <si>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</si>
  <si>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</si>
  <si>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</si>
  <si>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</si>
  <si>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</si>
  <si>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</si>
  <si>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</si>
  <si>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</si>
  <si>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</si>
  <si>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</si>
  <si>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</si>
  <si>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</si>
  <si>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</si>
  <si>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</si>
  <si>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</si>
  <si>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</si>
  <si>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</si>
  <si>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</si>
  <si>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</si>
  <si>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</si>
  <si>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</si>
  <si>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</si>
  <si>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</si>
  <si>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</si>
  <si>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</si>
  <si>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</si>
  <si>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</si>
  <si>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</si>
  <si>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</si>
  <si>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</si>
  <si>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</si>
  <si>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</si>
  <si>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</si>
  <si>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</si>
  <si>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</si>
  <si>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</si>
  <si>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</si>
  <si>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</si>
  <si>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</si>
  <si>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</si>
  <si>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</si>
  <si>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</si>
  <si>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</si>
  <si>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</si>
  <si>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</si>
  <si>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</si>
  <si>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</si>
  <si>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</si>
  <si>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</si>
  <si>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</si>
  <si>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</si>
  <si>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</si>
  <si>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</si>
  <si>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</si>
  <si>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</si>
  <si>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</si>
  <si>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</si>
  <si>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</si>
  <si>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</si>
  <si>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</si>
  <si>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</si>
  <si>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</si>
  <si>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</si>
  <si>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</si>
  <si>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</si>
  <si>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</si>
  <si>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</si>
  <si>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</si>
  <si>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</si>
  <si>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</si>
  <si>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</si>
  <si>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</si>
  <si>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</si>
  <si>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</si>
  <si>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</si>
  <si>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</si>
  <si>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</si>
  <si>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</si>
  <si>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</si>
  <si>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</si>
  <si>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</si>
  <si>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</si>
  <si>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</si>
  <si>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</si>
  <si>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</si>
  <si>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</si>
  <si>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</si>
  <si>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</si>
  <si>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</si>
  <si>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</si>
  <si>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</si>
  <si>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</si>
  <si>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</si>
  <si>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</si>
  <si>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</si>
  <si>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</si>
  <si>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</si>
  <si>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</si>
  <si>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</si>
  <si>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</si>
  <si>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</si>
  <si>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</si>
  <si>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</si>
  <si>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</si>
  <si>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</si>
  <si>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</si>
  <si>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</si>
  <si>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</si>
  <si>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</si>
  <si>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</si>
  <si>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</si>
  <si>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</si>
  <si>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</si>
  <si>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</si>
  <si>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</si>
  <si>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</si>
  <si>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</si>
  <si>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</si>
  <si>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</si>
  <si>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</si>
  <si>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</si>
  <si>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</si>
  <si>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</si>
  <si>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</si>
  <si>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</si>
  <si>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</si>
  <si>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</si>
  <si>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</si>
  <si>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</si>
  <si>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</si>
  <si>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</si>
  <si>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</si>
  <si>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</si>
  <si>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</si>
  <si>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</si>
  <si>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</si>
  <si>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</si>
  <si>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</si>
  <si>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</si>
  <si>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</si>
  <si>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</si>
  <si>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</si>
  <si>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</si>
  <si>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</si>
  <si>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</si>
  <si>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</si>
  <si>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</si>
  <si>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</si>
  <si>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</si>
  <si>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</si>
  <si>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</si>
  <si>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</si>
  <si>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</si>
  <si>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</si>
  <si>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</si>
  <si>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</si>
  <si>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</si>
  <si>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</si>
  <si>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</si>
  <si>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</si>
  <si>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</si>
  <si>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</si>
  <si>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</si>
  <si>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</si>
  <si>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</si>
  <si>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</si>
  <si>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</si>
  <si>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</si>
  <si>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</si>
  <si>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</si>
  <si>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</si>
  <si>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</si>
  <si>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</si>
  <si>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</si>
  <si>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</si>
  <si>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</si>
  <si>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</si>
  <si>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</si>
  <si>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</si>
  <si>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</si>
  <si>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</si>
  <si>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</si>
  <si>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</si>
  <si>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</si>
  <si>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</si>
  <si>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</si>
  <si>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</si>
  <si>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</si>
  <si>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</si>
  <si>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</si>
  <si>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</si>
  <si>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</si>
  <si>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</si>
  <si>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</si>
  <si>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</si>
  <si>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</si>
  <si>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</si>
  <si>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</si>
  <si>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</si>
  <si>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</si>
  <si>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</si>
  <si>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</si>
  <si>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</si>
  <si>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</si>
  <si>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</si>
  <si>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</si>
  <si>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</si>
  <si>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</si>
  <si>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</si>
  <si>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</si>
  <si>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</si>
  <si>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</si>
  <si>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</si>
  <si>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</si>
  <si>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</si>
  <si>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</si>
  <si>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</si>
  <si>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</si>
  <si>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</si>
  <si>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</si>
  <si>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</si>
  <si>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</si>
  <si>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</si>
  <si>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</si>
  <si>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</si>
  <si>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</si>
  <si>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</si>
  <si>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</si>
  <si>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</si>
  <si>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</si>
  <si>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</si>
  <si>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</si>
  <si>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</si>
  <si>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</si>
  <si>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</si>
  <si>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</si>
  <si>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</si>
  <si>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</si>
  <si>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</si>
  <si>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</si>
  <si>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</si>
  <si>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</si>
  <si>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</si>
  <si>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</si>
  <si>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</si>
  <si>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</si>
  <si>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</si>
  <si>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</si>
  <si>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</si>
  <si>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</si>
  <si>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</si>
  <si>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</si>
  <si>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</si>
  <si>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</si>
  <si>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</si>
  <si>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</si>
  <si>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</si>
  <si>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</si>
  <si>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</si>
  <si>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</si>
  <si>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</si>
  <si>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</si>
  <si>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</si>
  <si>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</si>
  <si>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</si>
  <si>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</si>
  <si>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</si>
  <si>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</si>
  <si>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</si>
  <si>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</si>
  <si>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</si>
  <si>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</si>
  <si>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</si>
  <si>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</si>
  <si>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</si>
  <si>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</si>
  <si>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</si>
  <si>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</si>
  <si>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</si>
  <si>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</si>
  <si>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</si>
  <si>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</si>
  <si>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</si>
  <si>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</si>
  <si>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</si>
  <si>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</si>
  <si>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</si>
  <si>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</si>
  <si>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</si>
  <si>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</si>
  <si>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</si>
  <si>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</si>
  <si>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</si>
  <si>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</si>
  <si>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</si>
  <si>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</si>
  <si>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</si>
  <si>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</si>
  <si>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</si>
  <si>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</si>
  <si>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</si>
  <si>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</si>
  <si>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</si>
  <si>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</si>
  <si>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</si>
  <si>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</si>
  <si>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</si>
  <si>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</si>
  <si>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</si>
  <si>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</si>
  <si>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</si>
  <si>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</si>
  <si>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</si>
  <si>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</si>
  <si>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</si>
  <si>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</si>
  <si>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</si>
  <si>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</si>
  <si>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</si>
  <si>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</si>
  <si>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</si>
  <si>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</si>
  <si>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</si>
  <si>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</si>
  <si>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</si>
  <si>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</si>
  <si>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</si>
  <si>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</si>
  <si>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</si>
  <si>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</si>
  <si>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</si>
  <si>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</si>
  <si>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</si>
  <si>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</si>
  <si>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</si>
  <si>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</si>
  <si>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</si>
  <si>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</si>
  <si>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</si>
  <si>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</si>
  <si>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</si>
  <si>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</si>
  <si>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</si>
  <si>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</si>
  <si>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</si>
  <si>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</si>
  <si>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</si>
  <si>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</si>
  <si>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</si>
  <si>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</si>
  <si>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</si>
  <si>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</si>
  <si>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</si>
  <si>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</si>
  <si>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</si>
  <si>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</si>
  <si>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</si>
  <si>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</si>
  <si>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</si>
  <si>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</si>
  <si>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</si>
  <si>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</si>
  <si>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</si>
  <si>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</si>
  <si>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</si>
  <si>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</si>
  <si>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</si>
  <si>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</si>
  <si>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</si>
  <si>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</si>
  <si>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</si>
  <si>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</si>
  <si>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</si>
  <si>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</si>
  <si>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</si>
  <si>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</si>
  <si>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</si>
  <si>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</si>
  <si>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</si>
  <si>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</si>
  <si>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</si>
  <si>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</si>
  <si>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</si>
  <si>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</si>
  <si>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</si>
  <si>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</si>
  <si>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</si>
  <si>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</si>
  <si>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</si>
  <si>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</si>
  <si>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</si>
  <si>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</si>
  <si>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</si>
  <si>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</si>
  <si>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</si>
  <si>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</si>
  <si>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</si>
  <si>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</si>
  <si>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</si>
  <si>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</si>
  <si>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</si>
  <si>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</si>
  <si>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</si>
  <si>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</si>
  <si>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</si>
  <si>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</si>
  <si>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</si>
  <si>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</si>
  <si>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</si>
  <si>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</si>
  <si>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</si>
  <si>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</si>
  <si>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</si>
  <si>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</si>
  <si>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</si>
  <si>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</si>
  <si>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</si>
  <si>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</si>
  <si>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</si>
  <si>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</si>
  <si>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</si>
  <si>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</si>
  <si>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</si>
  <si>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</si>
  <si>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</si>
  <si>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</si>
  <si>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</si>
  <si>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</si>
  <si>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</si>
  <si>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</si>
  <si>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</si>
  <si>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</si>
  <si>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</si>
  <si>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</si>
  <si>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</si>
  <si>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</si>
  <si>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</si>
  <si>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</si>
  <si>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</si>
  <si>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</si>
  <si>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</si>
  <si>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</si>
  <si>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</si>
  <si>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</si>
  <si>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</si>
  <si>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</si>
  <si>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</si>
  <si>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</si>
  <si>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</si>
  <si>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</si>
  <si>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</si>
  <si>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</si>
  <si>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</si>
  <si>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</si>
  <si>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</si>
  <si>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</si>
  <si>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</si>
  <si>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</si>
  <si>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</si>
  <si>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</si>
  <si>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</si>
  <si>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</si>
  <si>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</si>
  <si>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</si>
  <si>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</si>
  <si>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</si>
  <si>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</si>
  <si>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</si>
  <si>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</si>
  <si>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</si>
  <si>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</si>
  <si>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</si>
  <si>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</si>
  <si>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</si>
  <si>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</si>
  <si>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</si>
  <si>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</si>
  <si>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</si>
  <si>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</si>
  <si>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</si>
  <si>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</si>
  <si>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</si>
  <si>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</si>
  <si>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</si>
  <si>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</si>
  <si>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</si>
  <si>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</si>
  <si>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</si>
  <si>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</si>
  <si>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</si>
  <si>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</si>
  <si>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</si>
  <si>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</si>
  <si>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</si>
  <si>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</si>
  <si>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</si>
  <si>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</si>
  <si>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</si>
  <si>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</si>
  <si>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</si>
  <si>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</si>
  <si>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</si>
  <si>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</si>
  <si>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</si>
  <si>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</si>
  <si>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</si>
  <si>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</si>
  <si>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</si>
  <si>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</si>
  <si>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</si>
  <si>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</si>
  <si>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</si>
  <si>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</si>
  <si>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</si>
  <si>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</si>
  <si>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</si>
  <si>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</si>
  <si>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</si>
  <si>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</si>
  <si>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</si>
  <si>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</si>
  <si>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</si>
  <si>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</si>
  <si>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</si>
  <si>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</si>
  <si>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</si>
  <si>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</si>
  <si>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</si>
  <si>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</si>
  <si>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</si>
  <si>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</si>
  <si>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</si>
  <si>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</si>
  <si>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</si>
  <si>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</si>
  <si>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</si>
  <si>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</si>
  <si>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</si>
  <si>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</si>
  <si>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</si>
  <si>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</si>
  <si>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</si>
  <si>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</si>
  <si>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</si>
  <si>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</si>
  <si>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</si>
  <si>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</si>
  <si>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</si>
  <si>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</si>
  <si>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</si>
  <si>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</si>
  <si>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</si>
  <si>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</si>
  <si>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</si>
  <si>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</si>
  <si>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</si>
  <si>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</si>
  <si>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</si>
  <si>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</si>
  <si>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</si>
  <si>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</si>
  <si>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</si>
  <si>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</si>
  <si>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</si>
  <si>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</si>
  <si>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</si>
  <si>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</si>
  <si>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</si>
  <si>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</si>
  <si>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</si>
  <si>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</si>
  <si>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</si>
  <si>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</si>
  <si>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</si>
  <si>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</si>
  <si>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</si>
  <si>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</si>
  <si>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</si>
  <si>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</si>
  <si>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</si>
  <si>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</si>
  <si>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</si>
  <si>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</si>
  <si>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</si>
  <si>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</si>
  <si>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</si>
  <si>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</si>
  <si>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</si>
  <si>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</si>
  <si>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</si>
  <si>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</si>
  <si>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</si>
  <si>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</si>
  <si>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</si>
  <si>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</si>
  <si>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</si>
  <si>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</si>
  <si>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</si>
  <si>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</si>
  <si>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</si>
  <si>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</si>
  <si>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</si>
  <si>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</si>
  <si>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</si>
  <si>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</si>
  <si>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</si>
  <si>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</si>
  <si>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</si>
  <si>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</si>
  <si>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</si>
  <si>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</si>
  <si>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</si>
  <si>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</si>
  <si>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</si>
  <si>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</si>
  <si>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</si>
  <si>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</si>
  <si>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</si>
  <si>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</si>
  <si>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</si>
  <si>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</si>
  <si>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</si>
  <si>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</si>
  <si>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</si>
  <si>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</si>
  <si>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</si>
  <si>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</si>
  <si>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</si>
  <si>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</si>
  <si>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</si>
  <si>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</si>
  <si>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</si>
  <si>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</si>
  <si>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</si>
  <si>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</si>
  <si>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</si>
  <si>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</si>
  <si>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</si>
  <si>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</si>
  <si>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</si>
  <si>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</si>
  <si>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</si>
  <si>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</si>
  <si>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</si>
  <si>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</si>
  <si>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</si>
  <si>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</si>
  <si>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</si>
  <si>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</si>
  <si>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</si>
  <si>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</si>
  <si>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</si>
  <si>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</si>
  <si>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</si>
  <si>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</si>
  <si>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</si>
  <si>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</si>
  <si>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</si>
  <si>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</si>
  <si>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</si>
  <si>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</si>
  <si>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</si>
  <si>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</si>
  <si>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</si>
  <si>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</si>
  <si>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</si>
  <si>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</si>
  <si>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</si>
  <si>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</si>
  <si>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</si>
  <si>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</si>
  <si>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</si>
  <si>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</si>
  <si>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</si>
  <si>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</si>
  <si>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</si>
  <si>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</si>
  <si>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</si>
  <si>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</si>
  <si>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</si>
  <si>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</si>
  <si>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</si>
  <si>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</si>
  <si>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</si>
  <si>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</si>
  <si>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</si>
  <si>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</si>
  <si>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</si>
  <si>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</si>
  <si>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</si>
  <si>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</si>
  <si>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</si>
  <si>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</si>
  <si>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</si>
  <si>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</si>
  <si>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</si>
  <si>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</si>
  <si>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</si>
  <si>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</si>
  <si>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</si>
  <si>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</si>
  <si>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</si>
  <si>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</si>
  <si>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</si>
  <si>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</si>
  <si>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</si>
  <si>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</si>
  <si>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</si>
  <si>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</si>
  <si>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</si>
  <si>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</si>
  <si>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</si>
  <si>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</si>
  <si>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</si>
  <si>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</si>
  <si>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</si>
  <si>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</si>
  <si>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</si>
  <si>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</si>
  <si>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</si>
  <si>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</si>
  <si>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</si>
  <si>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</si>
  <si>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</si>
  <si>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</si>
  <si>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</si>
  <si>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</si>
  <si>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</si>
  <si>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</si>
  <si>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</si>
  <si>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</si>
  <si>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</si>
  <si>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</si>
  <si>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</si>
  <si>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</si>
  <si>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</si>
  <si>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</si>
  <si>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</si>
  <si>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</si>
  <si>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</si>
  <si>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</si>
  <si>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</si>
  <si>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</si>
  <si>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</si>
  <si>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</si>
  <si>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</si>
  <si>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</si>
  <si>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</si>
  <si>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Palmer Park Housing Partners, LP</t>
  </si>
  <si>
    <t>Palmer Park Manor</t>
  </si>
  <si>
    <t>City of Glendale</t>
  </si>
  <si>
    <t>Peter Zovak</t>
  </si>
  <si>
    <t>141 N Glendale Ave, Rm 202</t>
  </si>
  <si>
    <t xml:space="preserve">Gendale </t>
  </si>
  <si>
    <t>pzovak@ci.glendale.ca.us</t>
  </si>
  <si>
    <t>617 E Palmer Avenue</t>
  </si>
  <si>
    <t>Glendale</t>
  </si>
  <si>
    <t>5676-013-023</t>
  </si>
  <si>
    <t>40%/60%</t>
  </si>
  <si>
    <t>415 First Ave N #19240</t>
  </si>
  <si>
    <t>Seattle</t>
  </si>
  <si>
    <t>WA</t>
  </si>
  <si>
    <t>Evan Laws</t>
  </si>
  <si>
    <t>360-921-3160</t>
  </si>
  <si>
    <t>evan.laws@vitus.com</t>
  </si>
  <si>
    <t>Vitus Group, LLC</t>
  </si>
  <si>
    <t>FFAH V Palmer Park, LLC</t>
  </si>
  <si>
    <t>Managing GP</t>
  </si>
  <si>
    <t>384 Forest Ave, Suite 14</t>
  </si>
  <si>
    <t>Laguna Beach</t>
  </si>
  <si>
    <t>CA</t>
  </si>
  <si>
    <t>Mei Luu</t>
  </si>
  <si>
    <t>949-433-9101</t>
  </si>
  <si>
    <t>mei@ffah.org</t>
  </si>
  <si>
    <t xml:space="preserve">Foundation for Affordable Housing V, Inc. </t>
  </si>
  <si>
    <t>Palmer Park Housing Management, LLC</t>
  </si>
  <si>
    <t>Administrative GP</t>
  </si>
  <si>
    <t>Palmer Park Developer, LLC</t>
  </si>
  <si>
    <t>415 1st Ave N #19240</t>
  </si>
  <si>
    <t>Seattle, WA 98109</t>
  </si>
  <si>
    <t xml:space="preserve">Winthrop &amp; Weinstine, P.A. </t>
  </si>
  <si>
    <t>225 South 6th St</t>
  </si>
  <si>
    <t>Minneapolis, MN 55402</t>
  </si>
  <si>
    <t>Joshua N. Noah</t>
  </si>
  <si>
    <t>(612) 604-6599</t>
  </si>
  <si>
    <t>jnoah@winthrop.com</t>
  </si>
  <si>
    <t>True Craft Architecture, LLC</t>
  </si>
  <si>
    <t>14241 Coursey Blvd., STE A12-31</t>
  </si>
  <si>
    <t>Baton Rouge, LA 70817</t>
  </si>
  <si>
    <t>Akheil Shah</t>
  </si>
  <si>
    <t>225-938-9029</t>
  </si>
  <si>
    <t>akheil@truecraftarchitecture.com</t>
  </si>
  <si>
    <t>Precision General Commercial Contractors</t>
  </si>
  <si>
    <t>7250 Redwood Blvd. #214</t>
  </si>
  <si>
    <t>Navato, CA 94945</t>
  </si>
  <si>
    <t>Thomas Dawson</t>
  </si>
  <si>
    <t>415-332-8390</t>
  </si>
  <si>
    <t>Partner Energy</t>
  </si>
  <si>
    <t>680 Knox Street Suite 150</t>
  </si>
  <si>
    <t>Los Angeles, CA 90502</t>
  </si>
  <si>
    <t>Matthew Smith</t>
  </si>
  <si>
    <t>916-910-0770</t>
  </si>
  <si>
    <t>310-862-2399</t>
  </si>
  <si>
    <t>msmith@ptrenergy.com</t>
  </si>
  <si>
    <t>Propp Christensen Caniglia, LLP</t>
  </si>
  <si>
    <t xml:space="preserve">9261 Sierra College Boulevard  </t>
  </si>
  <si>
    <t xml:space="preserve">Roseville, CA 95661   </t>
  </si>
  <si>
    <t>Justin Gierth</t>
  </si>
  <si>
    <t>916-847-2738</t>
  </si>
  <si>
    <t xml:space="preserve">jgierth@pccllp.com </t>
  </si>
  <si>
    <t>R4 Capital LLC</t>
  </si>
  <si>
    <t>155 Federal Street, 16th Floor</t>
  </si>
  <si>
    <t>Boston, MA 02210</t>
  </si>
  <si>
    <t>Jay Segel</t>
  </si>
  <si>
    <t>617-502-5946</t>
  </si>
  <si>
    <t>Jsegel@r4cap.com</t>
  </si>
  <si>
    <t>Miller Housing</t>
  </si>
  <si>
    <t>962 Ulster Way</t>
  </si>
  <si>
    <t>Denver, CO 80230</t>
  </si>
  <si>
    <t>Marnie Klein</t>
  </si>
  <si>
    <t>303-570-7070</t>
  </si>
  <si>
    <t>303-733-3753</t>
  </si>
  <si>
    <t>marnie@millerhousing.com</t>
  </si>
  <si>
    <t>Novogradac Consulting LLP</t>
  </si>
  <si>
    <t>6700 Antioch Road, Suite 450</t>
  </si>
  <si>
    <t>Merriam, KS 66204</t>
  </si>
  <si>
    <t>Sara Nachbar</t>
  </si>
  <si>
    <t>913-312-4616</t>
  </si>
  <si>
    <t>sara.nachbar@novoco.com</t>
  </si>
  <si>
    <t>CBRE</t>
  </si>
  <si>
    <t>400 South Hope Street, 25th Floor</t>
  </si>
  <si>
    <t>Los Angeles, CA 90071</t>
  </si>
  <si>
    <t>Michael Thiel</t>
  </si>
  <si>
    <t>213-613-3355</t>
  </si>
  <si>
    <t>michael.thiel2@cbre.com</t>
  </si>
  <si>
    <t>Dominion</t>
  </si>
  <si>
    <t>201 Wylderose Drive</t>
  </si>
  <si>
    <t>Midlothian, VA 23113</t>
  </si>
  <si>
    <t>Chad Matthews</t>
  </si>
  <si>
    <t>804-358-2020</t>
  </si>
  <si>
    <t>804-358-3003</t>
  </si>
  <si>
    <t>c.matthews@d3g.com</t>
  </si>
  <si>
    <t xml:space="preserve">Aperto Property Management, Inc. </t>
  </si>
  <si>
    <t>2 Venture #525</t>
  </si>
  <si>
    <t>Irvine, CA 92618</t>
  </si>
  <si>
    <t>Ed Quigley</t>
  </si>
  <si>
    <t>949-705-7998</t>
  </si>
  <si>
    <t>equigley@apertopm.com</t>
  </si>
  <si>
    <t>Residential Housing</t>
  </si>
  <si>
    <t>Palmer Park Manor, L.P.</t>
  </si>
  <si>
    <t>William Raymond</t>
  </si>
  <si>
    <t>CFO</t>
  </si>
  <si>
    <t>2001 E Financial Way Ave 200</t>
  </si>
  <si>
    <t>Glendora, CA 91741</t>
  </si>
  <si>
    <t>One or Two Story Garden</t>
  </si>
  <si>
    <t>R-1650 Medium-High Density Residential</t>
  </si>
  <si>
    <t xml:space="preserve">Multifamily Residential; 1 unit per 1320 square feet </t>
  </si>
  <si>
    <t xml:space="preserve">2 stories and 26 feet </t>
  </si>
  <si>
    <t>29 Spaces</t>
  </si>
  <si>
    <t>Rockport/HUD 221D4</t>
  </si>
  <si>
    <t>R4/LIHTC Equity</t>
  </si>
  <si>
    <t>Colliers/Equity Bridge Loan</t>
  </si>
  <si>
    <t>17 Rogers St. Gloucester</t>
  </si>
  <si>
    <t>Gloucester, MA 01930</t>
  </si>
  <si>
    <t>Rozanne Santuccio</t>
  </si>
  <si>
    <t>(978) 675-2007</t>
  </si>
  <si>
    <t>Mortgage Loan</t>
  </si>
  <si>
    <t>155 Federal Street 16th Floor</t>
  </si>
  <si>
    <t>LIHTC Equity</t>
  </si>
  <si>
    <t>90 South Seventh Street, Suite 4300</t>
  </si>
  <si>
    <t>Frank J. Hogan</t>
  </si>
  <si>
    <t>612-376-4042</t>
  </si>
  <si>
    <t>Equity Bridge Loan</t>
  </si>
  <si>
    <t>Deferred Developer Fee</t>
  </si>
  <si>
    <t>415 1st Ave North #19240</t>
  </si>
  <si>
    <t>Utility Total</t>
  </si>
  <si>
    <t>HUD</t>
  </si>
  <si>
    <t>Project-based contract (PBC)</t>
  </si>
  <si>
    <t>Other:Inspections</t>
  </si>
  <si>
    <t>Other: Borrower Legal</t>
  </si>
  <si>
    <t>FFAH Palmer Park V, LLC</t>
  </si>
  <si>
    <t>Aperto Property Management, Inc.</t>
  </si>
  <si>
    <t>Ralphs</t>
  </si>
  <si>
    <t>211 Glendale Ave</t>
  </si>
  <si>
    <t>Glendale, CA 91206</t>
  </si>
  <si>
    <t>Oliver</t>
  </si>
  <si>
    <t>818-549-0035</t>
  </si>
  <si>
    <t>ralphs.com</t>
  </si>
  <si>
    <t>Palmer Park</t>
  </si>
  <si>
    <t>620 E Palmer Ave</t>
  </si>
  <si>
    <t>Gelndale, CA 91205</t>
  </si>
  <si>
    <t>Tereza Aleksanian</t>
  </si>
  <si>
    <t>818-548-2000</t>
  </si>
  <si>
    <t>glendaleparksfoundation.org</t>
  </si>
  <si>
    <t>Library Connection</t>
  </si>
  <si>
    <t>1100 E Chevy Chase Dr</t>
  </si>
  <si>
    <t>Glendale, CA 91205</t>
  </si>
  <si>
    <t>Egor</t>
  </si>
  <si>
    <t>818-548-3833</t>
  </si>
  <si>
    <t>glendaleca.gov</t>
  </si>
  <si>
    <t>HAIG Pharmacy</t>
  </si>
  <si>
    <t>1112 S Glendale Ave</t>
  </si>
  <si>
    <t>Arman</t>
  </si>
  <si>
    <t>818-500-0800</t>
  </si>
  <si>
    <t>mygnp.com</t>
  </si>
  <si>
    <t>Diginity Health Glendale Memorial Hospital</t>
  </si>
  <si>
    <t>1420 S Ceentral Ave</t>
  </si>
  <si>
    <t>Glendale, CA 91204</t>
  </si>
  <si>
    <t>Marvin O'Quinn</t>
  </si>
  <si>
    <t>818-502-1900</t>
  </si>
  <si>
    <t>locations.dignityhealth.org</t>
  </si>
  <si>
    <t>Chevy Chase at Boynston Stop</t>
  </si>
  <si>
    <t>Glendale, CA</t>
  </si>
  <si>
    <t>Tatez</t>
  </si>
  <si>
    <t>818-548-3960</t>
  </si>
  <si>
    <t>glendalebeeline.com</t>
  </si>
  <si>
    <t>Cerritos Elementary</t>
  </si>
  <si>
    <t>120 E Cerritos Ave</t>
  </si>
  <si>
    <t>Caitlin Clarkson</t>
  </si>
  <si>
    <t>818-244-2707</t>
  </si>
  <si>
    <t>www.gusd.net/cerritos</t>
  </si>
  <si>
    <t>Theodore Roosevelt Middle School</t>
  </si>
  <si>
    <t>S Glendale Ave</t>
  </si>
  <si>
    <t>Janet Ovanessian</t>
  </si>
  <si>
    <t>818-242-6845</t>
  </si>
  <si>
    <t>www.gusd.net/roosevelt</t>
  </si>
  <si>
    <t>Glendale High School</t>
  </si>
  <si>
    <t>1440 E Broadway</t>
  </si>
  <si>
    <t>Karin Bashian</t>
  </si>
  <si>
    <t>818-242-3161</t>
  </si>
  <si>
    <t>Other: CNA</t>
  </si>
  <si>
    <t>Fixed</t>
  </si>
  <si>
    <t>Developer</t>
  </si>
  <si>
    <t>Other: FHA Fees</t>
  </si>
  <si>
    <t xml:space="preserve">HUD </t>
  </si>
  <si>
    <t xml:space="preserve">Other (Specify) </t>
  </si>
  <si>
    <t>Tarun Chandran</t>
  </si>
  <si>
    <t>General Counsel &amp; Assistant Secretary</t>
  </si>
  <si>
    <t>(specificy here)</t>
  </si>
  <si>
    <t>2 bedroom</t>
  </si>
  <si>
    <t>3 bedroom</t>
  </si>
  <si>
    <t>August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</si>
</sst>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2352</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2288</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2289</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4" workbookViewId="0">
      <selection activeCell="D92" sqref="D9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2" t="s">
        <v>1954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2248</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1771</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2338</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2249</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1881</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1882</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1770</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1682</v>
      </c>
      <c r="C29" s="1947"/>
      <c r="D29" s="1947"/>
      <c r="E29" s="1947"/>
      <c r="F29" s="1947"/>
      <c r="G29" s="1947"/>
      <c r="H29" s="380"/>
      <c r="I29" s="380"/>
      <c r="J29" s="380"/>
      <c r="K29" s="380"/>
      <c r="L29" s="380"/>
      <c r="M29" s="380"/>
      <c r="N29" s="380"/>
      <c r="O29" s="1945" t="s">
        <v>1691</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2039</v>
      </c>
    </row>
    <row r="33" spans="1:18" ht="15" customHeight="1">
      <c r="B33" s="1912" t="s">
        <v>1686</v>
      </c>
      <c r="C33" s="1912"/>
      <c r="D33" s="1912"/>
      <c r="E33" s="1912"/>
      <c r="F33" s="1912"/>
      <c r="G33" s="1912"/>
      <c r="I33" s="1913"/>
      <c r="J33" s="1914"/>
      <c r="K33" s="1949"/>
      <c r="M33" s="525"/>
      <c r="O33" s="1912" t="s">
        <v>1686</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1674</v>
      </c>
      <c r="C37" s="1934"/>
      <c r="D37" s="1934"/>
      <c r="E37" s="1934"/>
      <c r="F37" s="531"/>
      <c r="G37" s="531"/>
      <c r="H37" s="532"/>
      <c r="I37" s="380"/>
      <c r="J37" s="380"/>
      <c r="Q37" s="380"/>
      <c r="R37" s="380"/>
    </row>
    <row r="38" spans="1:18" ht="15" customHeight="1">
      <c r="B38" s="1928" t="s">
        <v>1692</v>
      </c>
      <c r="C38" s="1928"/>
      <c r="D38" s="1928"/>
      <c r="E38" s="1928"/>
      <c r="F38" s="665"/>
      <c r="G38" s="533">
        <f>D110</f>
        <v>2197424.940137262</v>
      </c>
      <c r="H38" s="388"/>
      <c r="I38" s="534"/>
      <c r="J38" s="388"/>
      <c r="L38" s="804"/>
      <c r="M38" s="804"/>
      <c r="N38" s="804"/>
      <c r="O38" s="804"/>
      <c r="Q38" s="1911"/>
      <c r="R38" s="1911"/>
    </row>
    <row r="39" spans="1:18" ht="15" customHeight="1">
      <c r="B39" s="1939" t="s">
        <v>1336</v>
      </c>
      <c r="C39" s="1939"/>
      <c r="D39" s="1939"/>
      <c r="E39" s="1939"/>
      <c r="F39" s="665"/>
      <c r="G39" s="647"/>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41"/>
      <c r="L40" s="1941"/>
      <c r="M40" s="1941"/>
      <c r="N40" s="1941"/>
      <c r="O40" s="1941"/>
      <c r="Q40" s="1911"/>
      <c r="R40" s="1911"/>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11"/>
      <c r="R44" s="1911"/>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5"/>
      <c r="R46" s="1915"/>
    </row>
    <row r="47" spans="1:18" ht="15" customHeight="1">
      <c r="B47" s="649"/>
      <c r="C47" s="649"/>
      <c r="D47" s="519"/>
      <c r="E47" s="667"/>
      <c r="F47" s="665"/>
      <c r="G47" s="388"/>
      <c r="H47" s="388"/>
      <c r="I47" s="534"/>
      <c r="J47" s="388"/>
      <c r="K47" s="1916" t="s">
        <v>1936</v>
      </c>
      <c r="L47" s="1916"/>
      <c r="M47" s="1916"/>
      <c r="N47" s="1916"/>
      <c r="O47" s="1916"/>
      <c r="Q47" s="1944"/>
      <c r="R47" s="1944"/>
    </row>
    <row r="48" spans="1:18" ht="15" customHeight="1">
      <c r="B48" s="649"/>
      <c r="C48" s="649"/>
      <c r="D48" s="519"/>
      <c r="E48" s="667"/>
      <c r="F48" s="665"/>
      <c r="G48" s="388"/>
      <c r="H48" s="388"/>
      <c r="I48" s="534"/>
      <c r="J48" s="388"/>
      <c r="K48" s="1943" t="s">
        <v>1937</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28" t="s">
        <v>1683</v>
      </c>
      <c r="C52" s="1928"/>
      <c r="D52" s="1928"/>
      <c r="E52" s="1928"/>
      <c r="F52" s="665"/>
      <c r="G52" s="533">
        <f>SUM(E42:E49)-ABS(E50)-ABS(E51)</f>
        <v>0</v>
      </c>
      <c r="H52" s="388"/>
      <c r="I52" s="534"/>
      <c r="J52" s="388"/>
    </row>
    <row r="53" spans="1:29" ht="15" customHeight="1">
      <c r="C53" s="538"/>
      <c r="D53" s="538" t="s">
        <v>916</v>
      </c>
      <c r="E53" s="538"/>
      <c r="F53" s="538"/>
      <c r="G53" s="539">
        <f>SUM(G38:G40)+G52</f>
        <v>2197424.940137262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1317</v>
      </c>
      <c r="C56" s="1927"/>
      <c r="D56" s="665"/>
      <c r="E56" s="665"/>
      <c r="F56" s="665"/>
      <c r="G56" s="665"/>
      <c r="H56" s="665"/>
      <c r="I56" s="665"/>
      <c r="J56" s="665"/>
      <c r="K56" s="665"/>
      <c r="L56" s="665"/>
      <c r="M56" s="665"/>
      <c r="N56" s="665"/>
      <c r="O56" s="665"/>
      <c r="P56" s="665"/>
      <c r="U56" s="769" t="s">
        <v>1876</v>
      </c>
      <c r="AC56" s="798">
        <v>0.2</v>
      </c>
    </row>
    <row r="57" spans="1:29" ht="15" customHeight="1">
      <c r="A57" s="536"/>
      <c r="B57" s="1926" t="s">
        <v>1677</v>
      </c>
      <c r="C57" s="1926"/>
      <c r="D57" s="1926"/>
      <c r="E57" s="1926"/>
      <c r="F57" s="1926"/>
      <c r="G57" s="1926"/>
      <c r="H57" s="1926"/>
      <c r="I57" s="1926"/>
      <c r="J57" s="1926"/>
      <c r="K57" s="1926"/>
      <c r="L57" s="1926"/>
      <c r="M57" s="1926"/>
      <c r="N57" s="1926"/>
      <c r="O57" s="1926"/>
      <c r="P57" s="665"/>
      <c r="U57" s="769" t="s">
        <v>1877</v>
      </c>
      <c r="AC57" s="798">
        <v>0.1</v>
      </c>
    </row>
    <row r="58" spans="1:29" ht="15" customHeight="1">
      <c r="B58" s="1934" t="s">
        <v>1676</v>
      </c>
      <c r="C58" s="1935"/>
      <c r="D58" s="1935"/>
      <c r="E58" s="1935"/>
      <c r="F58" s="541"/>
      <c r="G58" s="541"/>
      <c r="H58" s="531"/>
      <c r="I58" s="531"/>
      <c r="J58" s="1936">
        <f>('Sources and Uses Budget'!D104+Q47)/('Sources and Uses Budget'!B104+Q48)</f>
        <v>0</v>
      </c>
      <c r="K58" s="1937"/>
      <c r="L58" s="1937"/>
      <c r="M58" s="1937"/>
      <c r="N58" s="1938"/>
      <c r="O58" s="531"/>
      <c r="P58" s="531"/>
      <c r="U58" s="769" t="s">
        <v>1878</v>
      </c>
      <c r="AC58" s="798">
        <v>0.1</v>
      </c>
    </row>
    <row r="59" spans="1:29" ht="15" customHeight="1">
      <c r="B59" s="1925" t="s">
        <v>2250</v>
      </c>
      <c r="C59" s="1925"/>
      <c r="D59" s="1925"/>
      <c r="E59" s="1925"/>
      <c r="F59" s="1925"/>
      <c r="G59" s="1925"/>
      <c r="H59" s="1925"/>
      <c r="I59" s="1925"/>
      <c r="J59" s="1925"/>
      <c r="K59" s="1925"/>
      <c r="L59" s="1925"/>
      <c r="M59" s="1925"/>
      <c r="N59" s="1925"/>
      <c r="O59" s="1925"/>
      <c r="P59" s="531"/>
      <c r="U59" s="769" t="s">
        <v>1879</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1678</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2252</v>
      </c>
      <c r="K63" s="1931"/>
      <c r="L63" s="1931"/>
      <c r="M63" s="1931"/>
      <c r="N63" s="1931"/>
      <c r="O63" s="1931"/>
      <c r="P63" s="1931"/>
      <c r="Q63" s="1931"/>
      <c r="R63" s="1931"/>
      <c r="U63" s="1950">
        <f>IF(J67="Non-rural project, Census Tract is High Resource (10 percentage points)",AC57,0)</f>
        <v>0</v>
      </c>
    </row>
    <row r="64" spans="1:29" ht="15" customHeight="1" thickBot="1">
      <c r="B64" s="1927" t="s">
        <v>1688</v>
      </c>
      <c r="C64" s="1927"/>
      <c r="D64" s="380"/>
      <c r="F64" s="380"/>
      <c r="G64" s="538" t="s">
        <v>1938</v>
      </c>
      <c r="H64" s="380"/>
      <c r="I64" s="775"/>
      <c r="J64" s="1932"/>
      <c r="K64" s="1933"/>
      <c r="L64" s="1933"/>
      <c r="M64" s="1933"/>
      <c r="N64" s="1933"/>
      <c r="O64" s="1933"/>
      <c r="P64" s="1933"/>
      <c r="Q64" s="1933"/>
      <c r="R64" s="1933"/>
      <c r="U64" s="1951"/>
    </row>
    <row r="65" spans="1:22" ht="15" customHeight="1">
      <c r="B65" s="542" t="s">
        <v>1681</v>
      </c>
      <c r="C65" s="527" t="str">
        <f>IF(Application!M349="Yes","Yes","No")</f>
        <v>No</v>
      </c>
      <c r="E65" s="807"/>
      <c r="F65" s="807"/>
      <c r="G65" s="538" t="s">
        <v>1940</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1758</v>
      </c>
      <c r="C66" s="653">
        <f>Application!AG430-Application!AG431</f>
        <v>12</v>
      </c>
      <c r="D66" s="807"/>
      <c r="E66" s="543" t="s">
        <v>1941</v>
      </c>
      <c r="F66" s="807"/>
      <c r="G66" s="670"/>
      <c r="H66" s="544"/>
      <c r="I66" s="776"/>
      <c r="J66" s="1932"/>
      <c r="K66" s="1933"/>
      <c r="L66" s="1933"/>
      <c r="M66" s="1933"/>
      <c r="N66" s="1933"/>
      <c r="O66" s="1933"/>
      <c r="P66" s="1933"/>
      <c r="Q66" s="1933"/>
      <c r="R66" s="1933"/>
      <c r="U66" s="1951"/>
    </row>
    <row r="67" spans="1:22" ht="15" customHeight="1">
      <c r="B67" s="543" t="s">
        <v>1675</v>
      </c>
      <c r="C67" s="654">
        <f>MIN(IF(AND(C65="Yes",G67&gt;=50),(0.75+(G67/200)),1),1.5)</f>
        <v>1</v>
      </c>
      <c r="D67" s="544"/>
      <c r="E67" s="543" t="s">
        <v>1759</v>
      </c>
      <c r="G67" s="653">
        <f>C66+G66</f>
        <v>12</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1685</v>
      </c>
      <c r="C70" s="523"/>
      <c r="D70" s="523"/>
      <c r="E70" s="523"/>
      <c r="F70" s="523"/>
      <c r="G70" s="523"/>
      <c r="U70" s="1955"/>
      <c r="V70" s="377" t="s">
        <v>1880</v>
      </c>
    </row>
    <row r="71" spans="1:22" ht="15" customHeight="1">
      <c r="B71" s="1928" t="s">
        <v>1689</v>
      </c>
      <c r="C71" s="1928"/>
      <c r="D71" s="1928"/>
      <c r="E71" s="523"/>
      <c r="F71" s="523"/>
      <c r="G71" s="533">
        <f>G53*(1-J58)</f>
        <v>2197424.940137262</v>
      </c>
      <c r="J71" s="545"/>
      <c r="K71" s="702" t="s">
        <v>1691</v>
      </c>
      <c r="L71" s="702"/>
      <c r="M71" s="702"/>
      <c r="N71" s="702"/>
      <c r="O71" s="702"/>
      <c r="Q71" s="1917">
        <f>'Basis &amp; Credits'!T23+'Basis &amp; Credits'!Y23+'Basis &amp; Credits'!AD23+'Basis &amp; Credits'!AI23</f>
        <v>6890449</v>
      </c>
      <c r="R71" s="1917"/>
    </row>
    <row r="72" spans="1:22" ht="15" customHeight="1">
      <c r="B72" s="1919" t="s">
        <v>1690</v>
      </c>
      <c r="C72" s="1919"/>
      <c r="D72" s="1919"/>
      <c r="E72" s="523"/>
      <c r="F72" s="523"/>
      <c r="G72" s="533">
        <f>G71*C67</f>
        <v>2197424.940137262</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2197424.940137262</v>
      </c>
      <c r="C75" s="1921"/>
      <c r="D75" s="1921"/>
      <c r="E75" s="1921"/>
      <c r="F75" s="1921"/>
      <c r="G75" s="1921"/>
      <c r="H75" s="546"/>
      <c r="I75" s="1913" t="s">
        <v>149</v>
      </c>
      <c r="J75" s="1914" t="s">
        <v>1036</v>
      </c>
      <c r="K75" s="1913">
        <v>1</v>
      </c>
      <c r="M75" s="399"/>
      <c r="N75" s="525"/>
      <c r="O75" s="672">
        <f>$Q$71</f>
        <v>6890449</v>
      </c>
      <c r="P75" s="1914" t="s">
        <v>2039</v>
      </c>
      <c r="Q75" s="1922" t="s">
        <v>148</v>
      </c>
      <c r="R75" s="1952">
        <f>((B75/B76)+((1-(O75/O76))/2))+U69</f>
        <v>0.35327964325908168</v>
      </c>
    </row>
    <row r="76" spans="1:22" ht="15" customHeight="1" thickBot="1">
      <c r="B76" s="1923">
        <f>'Sources and Uses Budget'!$C$104+$Q$46-($E$50+$E$51)*(1-$J$58)</f>
        <v>8504611</v>
      </c>
      <c r="C76" s="1924"/>
      <c r="D76" s="1924"/>
      <c r="E76" s="1924"/>
      <c r="F76" s="1924"/>
      <c r="G76" s="1923"/>
      <c r="I76" s="1913"/>
      <c r="J76" s="1914"/>
      <c r="K76" s="1913"/>
      <c r="M76" s="663"/>
      <c r="O76" s="671">
        <f>B76</f>
        <v>8504611</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5"/>
      <c r="R84" s="1915"/>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5"/>
      <c r="R89" s="1915"/>
    </row>
    <row r="90" spans="2:18" ht="15" customHeight="1">
      <c r="B90" s="511" t="s">
        <v>2550</v>
      </c>
      <c r="C90" s="512">
        <v>8</v>
      </c>
      <c r="D90" s="513">
        <v>1135</v>
      </c>
      <c r="E90" s="513">
        <f>'Subsidy Contract Calculation'!E4</f>
        <v>2600</v>
      </c>
      <c r="F90" s="555"/>
      <c r="G90" s="388">
        <f>MAX(($E90-$D90)*$C90*12,0)</f>
        <v>140640</v>
      </c>
      <c r="I90" s="534"/>
      <c r="K90" s="773" t="s">
        <v>1700</v>
      </c>
      <c r="L90" s="699"/>
      <c r="M90" s="699"/>
      <c r="N90" s="699"/>
      <c r="O90" s="699"/>
      <c r="P90" s="699"/>
      <c r="Q90" s="1918"/>
      <c r="R90" s="1918"/>
    </row>
    <row r="91" spans="2:18" ht="15" customHeight="1">
      <c r="B91" s="511" t="s">
        <v>2551</v>
      </c>
      <c r="C91" s="512">
        <v>4</v>
      </c>
      <c r="D91" s="513">
        <v>1311</v>
      </c>
      <c r="E91" s="513">
        <f>'Subsidy Contract Calculation'!E7</f>
        <v>3300</v>
      </c>
      <c r="F91" s="555"/>
      <c r="G91" s="388">
        <f t="shared" ref="G91:G97" si="0">MAX(($E91-$D91)*$C91*12,0)</f>
        <v>95472</v>
      </c>
      <c r="I91" s="534"/>
      <c r="K91" s="773" t="s">
        <v>1703</v>
      </c>
      <c r="L91" s="699"/>
      <c r="M91" s="699"/>
      <c r="N91" s="699"/>
      <c r="O91" s="699"/>
      <c r="P91" s="699"/>
      <c r="Q91" s="1916">
        <f>IFERROR(Q89/Q90,0)</f>
        <v>0</v>
      </c>
      <c r="R91" s="1916"/>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236112</v>
      </c>
      <c r="I98" s="534"/>
    </row>
    <row r="99" spans="2:9" ht="15" customHeight="1">
      <c r="I99" s="534"/>
    </row>
    <row r="100" spans="2:9" ht="15" customHeight="1">
      <c r="B100" s="380" t="s">
        <v>1701</v>
      </c>
      <c r="D100" s="535">
        <f>G98+Q93</f>
        <v>236112</v>
      </c>
      <c r="I100" s="534"/>
    </row>
    <row r="101" spans="2:9" ht="15" customHeight="1">
      <c r="B101" s="380" t="s">
        <v>1032</v>
      </c>
      <c r="D101" s="551">
        <v>0.05</v>
      </c>
      <c r="I101" s="534"/>
    </row>
    <row r="102" spans="2:9" ht="15" customHeight="1">
      <c r="B102" s="380" t="s">
        <v>1062</v>
      </c>
      <c r="D102" s="535">
        <f>D100-(D100*D101)</f>
        <v>224306.4</v>
      </c>
    </row>
    <row r="103" spans="2:9" ht="15" customHeight="1">
      <c r="B103" s="380" t="s">
        <v>1693</v>
      </c>
      <c r="D103" s="552"/>
    </row>
    <row r="104" spans="2:9" ht="15" customHeight="1">
      <c r="B104" s="380" t="s">
        <v>1702</v>
      </c>
      <c r="D104" s="535">
        <f>D102/D108</f>
        <v>195049.04347826089</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2197424.940137262</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2" workbookViewId="0">
      <selection activeCell="E49" sqref="E4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180000</v>
      </c>
      <c r="F4" s="388"/>
      <c r="G4" s="388">
        <f>E4*$C$4</f>
        <v>184499.99999999997</v>
      </c>
      <c r="H4" s="388"/>
      <c r="I4" s="388">
        <f>G4*$C$4</f>
        <v>189112.49999999994</v>
      </c>
      <c r="J4" s="388"/>
      <c r="K4" s="388">
        <f>I4*$C$4</f>
        <v>193840.31249999991</v>
      </c>
      <c r="L4" s="388"/>
      <c r="M4" s="388">
        <f>K4*$C$4</f>
        <v>198686.32031249988</v>
      </c>
      <c r="N4" s="388"/>
      <c r="O4" s="388">
        <f>M4*$C$4</f>
        <v>203653.47832031237</v>
      </c>
      <c r="P4" s="388"/>
      <c r="Q4" s="388">
        <f>O4*$C$4</f>
        <v>208744.81527832017</v>
      </c>
      <c r="R4" s="388"/>
      <c r="S4" s="388">
        <f>Q4*$C$4</f>
        <v>213963.43566027816</v>
      </c>
      <c r="T4" s="388"/>
      <c r="U4" s="388">
        <f>S4*$C$4</f>
        <v>219312.52155178509</v>
      </c>
      <c r="V4" s="388"/>
      <c r="W4" s="388">
        <f>U4*$C$4</f>
        <v>224795.3345905797</v>
      </c>
      <c r="X4" s="388"/>
      <c r="Y4" s="388">
        <f>W4*$C$4</f>
        <v>230415.21795534418</v>
      </c>
      <c r="Z4" s="388"/>
      <c r="AA4" s="388">
        <f>Y4*$C$4</f>
        <v>236175.59840422776</v>
      </c>
      <c r="AB4" s="388"/>
      <c r="AC4" s="388">
        <f>AA4*$C$4</f>
        <v>242079.98836433343</v>
      </c>
      <c r="AD4" s="388"/>
      <c r="AE4" s="388">
        <f>AC4*$C$4</f>
        <v>248131.98807344175</v>
      </c>
      <c r="AF4" s="388"/>
      <c r="AG4" s="388">
        <f>AE4*$C$4</f>
        <v>254335.28777527777</v>
      </c>
      <c r="AH4" s="388"/>
    </row>
    <row r="5" spans="1:34" ht="14.25">
      <c r="A5" s="380"/>
      <c r="B5" s="380" t="s">
        <v>1032</v>
      </c>
      <c r="C5" s="412">
        <f>IF(Application!$D$214="Special Needs",0.1,0.05)</f>
        <v>0.05</v>
      </c>
      <c r="D5" s="380"/>
      <c r="E5" s="390">
        <f>-E4*$C$5</f>
        <v>-9000</v>
      </c>
      <c r="F5" s="390"/>
      <c r="G5" s="390">
        <f>-G4*$C$5</f>
        <v>-9224.9999999999982</v>
      </c>
      <c r="H5" s="390"/>
      <c r="I5" s="390">
        <f>-I4*$C$5</f>
        <v>-9455.6249999999982</v>
      </c>
      <c r="J5" s="390"/>
      <c r="K5" s="390">
        <f>-K4*$C$5</f>
        <v>-9692.0156249999964</v>
      </c>
      <c r="L5" s="390"/>
      <c r="M5" s="390">
        <f>-M4*$C$5</f>
        <v>-9934.3160156249942</v>
      </c>
      <c r="N5" s="390"/>
      <c r="O5" s="390">
        <f>-O4*$C$5</f>
        <v>-10182.673916015619</v>
      </c>
      <c r="P5" s="390"/>
      <c r="Q5" s="390">
        <f>-Q4*$C$5</f>
        <v>-10437.240763916008</v>
      </c>
      <c r="R5" s="390"/>
      <c r="S5" s="390">
        <f>-S4*$C$5</f>
        <v>-10698.17178301391</v>
      </c>
      <c r="T5" s="390"/>
      <c r="U5" s="390">
        <f>-U4*$C$5</f>
        <v>-10965.626077589255</v>
      </c>
      <c r="V5" s="390"/>
      <c r="W5" s="390">
        <f>-W4*$C$5</f>
        <v>-11239.766729528987</v>
      </c>
      <c r="X5" s="390"/>
      <c r="Y5" s="390">
        <f>-Y4*$C$5</f>
        <v>-11520.76089776721</v>
      </c>
      <c r="Z5" s="390"/>
      <c r="AA5" s="390">
        <f>-AA4*$C$5</f>
        <v>-11808.779920211389</v>
      </c>
      <c r="AB5" s="390"/>
      <c r="AC5" s="390">
        <f>-AC4*$C$5</f>
        <v>-12103.999418216672</v>
      </c>
      <c r="AD5" s="390"/>
      <c r="AE5" s="390">
        <f>-AE4*$C$5</f>
        <v>-12406.599403672088</v>
      </c>
      <c r="AF5" s="390"/>
      <c r="AG5" s="390">
        <f>-AG4*$C$5</f>
        <v>-12716.76438876389</v>
      </c>
      <c r="AH5" s="380"/>
    </row>
    <row r="6" spans="1:34" ht="14.25">
      <c r="A6" s="380" t="s">
        <v>1121</v>
      </c>
      <c r="B6" s="380"/>
      <c r="C6" s="411">
        <v>1.0249999999999999</v>
      </c>
      <c r="D6" s="380"/>
      <c r="E6" s="391">
        <f>Application!Z773</f>
        <v>228000</v>
      </c>
      <c r="F6" s="391"/>
      <c r="G6" s="391">
        <f>E6*$C$6</f>
        <v>233699.99999999997</v>
      </c>
      <c r="H6" s="391"/>
      <c r="I6" s="391">
        <f>G6*$C$6</f>
        <v>239542.49999999994</v>
      </c>
      <c r="J6" s="391"/>
      <c r="K6" s="391">
        <f>I6*$C$6</f>
        <v>245531.06249999991</v>
      </c>
      <c r="L6" s="391"/>
      <c r="M6" s="391">
        <f>K6*$C$6</f>
        <v>251669.3390624999</v>
      </c>
      <c r="N6" s="391"/>
      <c r="O6" s="391">
        <f>M6*$C$6</f>
        <v>257961.07253906238</v>
      </c>
      <c r="P6" s="391"/>
      <c r="Q6" s="391">
        <f>O6*$C$6</f>
        <v>264410.09935253893</v>
      </c>
      <c r="R6" s="391"/>
      <c r="S6" s="391">
        <f>Q6*$C$6</f>
        <v>271020.35183635238</v>
      </c>
      <c r="T6" s="391"/>
      <c r="U6" s="391">
        <f>S6*$C$6</f>
        <v>277795.86063226114</v>
      </c>
      <c r="V6" s="391"/>
      <c r="W6" s="391">
        <f>U6*$C$6</f>
        <v>284740.75714806764</v>
      </c>
      <c r="X6" s="391"/>
      <c r="Y6" s="391">
        <f>W6*$C$6</f>
        <v>291859.27607676928</v>
      </c>
      <c r="Z6" s="391"/>
      <c r="AA6" s="391">
        <f>Y6*$C$6</f>
        <v>299155.75797868846</v>
      </c>
      <c r="AB6" s="391"/>
      <c r="AC6" s="391">
        <f>AA6*$C$6</f>
        <v>306634.65192815562</v>
      </c>
      <c r="AD6" s="391"/>
      <c r="AE6" s="391">
        <f>AC6*$C$6</f>
        <v>314300.51822635951</v>
      </c>
      <c r="AF6" s="391"/>
      <c r="AG6" s="391">
        <f>AE6*$C$6</f>
        <v>322158.03118201846</v>
      </c>
      <c r="AH6" s="380"/>
    </row>
    <row r="7" spans="1:34" ht="14.25">
      <c r="A7" s="380"/>
      <c r="B7" s="380" t="s">
        <v>1032</v>
      </c>
      <c r="C7" s="412">
        <f>IF(Application!$D$214="Special Needs",0.1,0.05)</f>
        <v>0.05</v>
      </c>
      <c r="D7" s="380"/>
      <c r="E7" s="390">
        <f>-E6*$C$7</f>
        <v>-11400</v>
      </c>
      <c r="F7" s="390"/>
      <c r="G7" s="390">
        <f>-G6*$C$7</f>
        <v>-11685</v>
      </c>
      <c r="H7" s="390"/>
      <c r="I7" s="390">
        <f>-I6*$C$7</f>
        <v>-11977.124999999998</v>
      </c>
      <c r="J7" s="390"/>
      <c r="K7" s="390">
        <f>-K6*$C$7</f>
        <v>-12276.553124999997</v>
      </c>
      <c r="L7" s="390"/>
      <c r="M7" s="390">
        <f>-M6*$C$7</f>
        <v>-12583.466953124997</v>
      </c>
      <c r="N7" s="390"/>
      <c r="O7" s="390">
        <f>-O6*$C$7</f>
        <v>-12898.05362695312</v>
      </c>
      <c r="P7" s="390"/>
      <c r="Q7" s="390">
        <f>-Q6*$C$7</f>
        <v>-13220.504967626948</v>
      </c>
      <c r="R7" s="390"/>
      <c r="S7" s="390">
        <f>-S6*$C$7</f>
        <v>-13551.017591817619</v>
      </c>
      <c r="T7" s="390"/>
      <c r="U7" s="390">
        <f>-U6*$C$7</f>
        <v>-13889.793031613059</v>
      </c>
      <c r="V7" s="390"/>
      <c r="W7" s="390">
        <f>-W6*$C$7</f>
        <v>-14237.037857403382</v>
      </c>
      <c r="X7" s="390"/>
      <c r="Y7" s="390">
        <f>-Y6*$C$7</f>
        <v>-14592.963803838466</v>
      </c>
      <c r="Z7" s="390"/>
      <c r="AA7" s="390">
        <f>-AA6*$C$7</f>
        <v>-14957.787898934424</v>
      </c>
      <c r="AB7" s="390"/>
      <c r="AC7" s="390">
        <f>-AC6*$C$7</f>
        <v>-15331.732596407783</v>
      </c>
      <c r="AD7" s="390"/>
      <c r="AE7" s="390">
        <f>-AE6*$C$7</f>
        <v>-15715.025911317976</v>
      </c>
      <c r="AF7" s="390"/>
      <c r="AG7" s="390">
        <f>-AG6*$C$7</f>
        <v>-16107.901559100923</v>
      </c>
      <c r="AH7" s="380"/>
    </row>
    <row r="8" spans="1:34" ht="14.25">
      <c r="A8" s="380" t="s">
        <v>276</v>
      </c>
      <c r="B8" s="380"/>
      <c r="C8" s="411">
        <v>1.0249999999999999</v>
      </c>
      <c r="D8" s="380"/>
      <c r="E8" s="391">
        <f>Application!Z781</f>
        <v>720</v>
      </c>
      <c r="F8" s="391"/>
      <c r="G8" s="391">
        <f>E8*$C$8</f>
        <v>737.99999999999989</v>
      </c>
      <c r="H8" s="391"/>
      <c r="I8" s="391">
        <f>G8*$C$8</f>
        <v>756.44999999999982</v>
      </c>
      <c r="J8" s="391"/>
      <c r="K8" s="391">
        <f>I8*$C$8</f>
        <v>775.3612499999997</v>
      </c>
      <c r="L8" s="391"/>
      <c r="M8" s="391">
        <f>K8*$C$8</f>
        <v>794.74528124999961</v>
      </c>
      <c r="N8" s="391"/>
      <c r="O8" s="391">
        <f>M8*$C$8</f>
        <v>814.61391328124955</v>
      </c>
      <c r="P8" s="391"/>
      <c r="Q8" s="391">
        <f>O8*$C$8</f>
        <v>834.9792611132807</v>
      </c>
      <c r="R8" s="391"/>
      <c r="S8" s="391">
        <f>Q8*$C$8</f>
        <v>855.8537426411126</v>
      </c>
      <c r="T8" s="391"/>
      <c r="U8" s="391">
        <f>S8*$C$8</f>
        <v>877.25008620714038</v>
      </c>
      <c r="V8" s="391"/>
      <c r="W8" s="391">
        <f>U8*$C$8</f>
        <v>899.1813383623188</v>
      </c>
      <c r="X8" s="391"/>
      <c r="Y8" s="391">
        <f>W8*$C$8</f>
        <v>921.66087182137665</v>
      </c>
      <c r="Z8" s="391"/>
      <c r="AA8" s="391">
        <f>Y8*$C$8</f>
        <v>944.70239361691097</v>
      </c>
      <c r="AB8" s="391"/>
      <c r="AC8" s="391">
        <f>AA8*$C$8</f>
        <v>968.31995345733367</v>
      </c>
      <c r="AD8" s="391"/>
      <c r="AE8" s="391">
        <f>AC8*$C$8</f>
        <v>992.52795229376693</v>
      </c>
      <c r="AF8" s="391"/>
      <c r="AG8" s="391">
        <f>AE8*$C$8</f>
        <v>1017.341151101111</v>
      </c>
      <c r="AH8" s="380"/>
    </row>
    <row r="9" spans="1:34" ht="14.25">
      <c r="A9" s="380"/>
      <c r="B9" s="380" t="s">
        <v>1032</v>
      </c>
      <c r="C9" s="412">
        <f>IF(Application!$D$214="Special Needs",0.1,0.05)</f>
        <v>0.05</v>
      </c>
      <c r="D9" s="380"/>
      <c r="E9" s="390">
        <f>-E8*$C$9</f>
        <v>-36</v>
      </c>
      <c r="F9" s="390"/>
      <c r="G9" s="390">
        <f>-G8*$C$9</f>
        <v>-36.9</v>
      </c>
      <c r="H9" s="390"/>
      <c r="I9" s="390">
        <f>-I8*$C$9</f>
        <v>-37.822499999999991</v>
      </c>
      <c r="J9" s="390"/>
      <c r="K9" s="390">
        <f>-K8*$C$9</f>
        <v>-38.768062499999985</v>
      </c>
      <c r="L9" s="390"/>
      <c r="M9" s="390">
        <f>-M8*$C$9</f>
        <v>-39.737264062499982</v>
      </c>
      <c r="N9" s="390"/>
      <c r="O9" s="390">
        <f>-O8*$C$9</f>
        <v>-40.73069566406248</v>
      </c>
      <c r="P9" s="390"/>
      <c r="Q9" s="390">
        <f>-Q8*$C$9</f>
        <v>-41.748963055664035</v>
      </c>
      <c r="R9" s="390"/>
      <c r="S9" s="390">
        <f>-S8*$C$9</f>
        <v>-42.792687132055633</v>
      </c>
      <c r="T9" s="390"/>
      <c r="U9" s="390">
        <f>-U8*$C$9</f>
        <v>-43.862504310357025</v>
      </c>
      <c r="V9" s="390"/>
      <c r="W9" s="390">
        <f>-W8*$C$9</f>
        <v>-44.959066918115944</v>
      </c>
      <c r="X9" s="390"/>
      <c r="Y9" s="390">
        <f>-Y8*$C$9</f>
        <v>-46.083043591068837</v>
      </c>
      <c r="Z9" s="390"/>
      <c r="AA9" s="390">
        <f>-AA8*$C$9</f>
        <v>-47.23511968084555</v>
      </c>
      <c r="AB9" s="390"/>
      <c r="AC9" s="390">
        <f>-AC8*$C$9</f>
        <v>-48.415997672866688</v>
      </c>
      <c r="AD9" s="390"/>
      <c r="AE9" s="390">
        <f>-AE8*$C$9</f>
        <v>-49.626397614688351</v>
      </c>
      <c r="AF9" s="390"/>
      <c r="AG9" s="390">
        <f>-AG8*$C$9</f>
        <v>-50.867057555055553</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388284</v>
      </c>
      <c r="F11" s="392"/>
      <c r="G11" s="392">
        <f>SUM(G4:G10)</f>
        <v>397991.09999999992</v>
      </c>
      <c r="H11" s="392"/>
      <c r="I11" s="392">
        <f>SUM(I4:I10)</f>
        <v>407940.87749999989</v>
      </c>
      <c r="J11" s="392"/>
      <c r="K11" s="392">
        <f>SUM(K4:K10)</f>
        <v>418139.39943749987</v>
      </c>
      <c r="L11" s="392"/>
      <c r="M11" s="392">
        <f>SUM(M4:M10)</f>
        <v>428592.8844234373</v>
      </c>
      <c r="N11" s="392"/>
      <c r="O11" s="392">
        <f>SUM(O4:O10)</f>
        <v>439307.70653402322</v>
      </c>
      <c r="P11" s="392"/>
      <c r="Q11" s="392">
        <f>SUM(Q4:Q10)</f>
        <v>450290.39919737377</v>
      </c>
      <c r="R11" s="392"/>
      <c r="S11" s="392">
        <f>SUM(S4:S10)</f>
        <v>461547.65917730803</v>
      </c>
      <c r="T11" s="392"/>
      <c r="U11" s="392">
        <f>SUM(U4:U10)</f>
        <v>473086.35065674066</v>
      </c>
      <c r="V11" s="392"/>
      <c r="W11" s="392">
        <f>SUM(W4:W10)</f>
        <v>484913.50942315918</v>
      </c>
      <c r="X11" s="392"/>
      <c r="Y11" s="392">
        <f>SUM(Y4:Y10)</f>
        <v>497036.34715873812</v>
      </c>
      <c r="Z11" s="392"/>
      <c r="AA11" s="392">
        <f>SUM(AA4:AA10)</f>
        <v>509462.25583770638</v>
      </c>
      <c r="AB11" s="392"/>
      <c r="AC11" s="392">
        <f>SUM(AC4:AC10)</f>
        <v>522198.81223364914</v>
      </c>
      <c r="AD11" s="392"/>
      <c r="AE11" s="392">
        <f>SUM(AE4:AE10)</f>
        <v>535253.78253949014</v>
      </c>
      <c r="AF11" s="392"/>
      <c r="AG11" s="392">
        <f>SUM(AG4:AG10)</f>
        <v>548635.1271029776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6886</v>
      </c>
      <c r="F15" s="388"/>
      <c r="G15" s="388">
        <f t="shared" ref="G15:G21" si="0">E15*$C$14</f>
        <v>7127.0099999999993</v>
      </c>
      <c r="H15" s="388"/>
      <c r="I15" s="388">
        <f t="shared" ref="I15:I21" si="1">G15*$C$14</f>
        <v>7376.4553499999984</v>
      </c>
      <c r="J15" s="388"/>
      <c r="K15" s="388">
        <f t="shared" ref="K15:K21" si="2">I15*$C$14</f>
        <v>7634.6312872499975</v>
      </c>
      <c r="L15" s="388"/>
      <c r="M15" s="388">
        <f t="shared" ref="M15:M21" si="3">K15*$C$14</f>
        <v>7901.8433823037467</v>
      </c>
      <c r="N15" s="388"/>
      <c r="O15" s="388">
        <f t="shared" ref="O15:O21" si="4">M15*$C$14</f>
        <v>8178.4079006843776</v>
      </c>
      <c r="P15" s="388"/>
      <c r="Q15" s="388">
        <f t="shared" ref="Q15:Q21" si="5">O15*$C$14</f>
        <v>8464.6521772083306</v>
      </c>
      <c r="R15" s="388"/>
      <c r="S15" s="388">
        <f t="shared" ref="S15:S21" si="6">Q15*$C$14</f>
        <v>8760.9150034106224</v>
      </c>
      <c r="T15" s="388"/>
      <c r="U15" s="388">
        <f t="shared" ref="U15:U21" si="7">S15*$C$14</f>
        <v>9067.5470285299943</v>
      </c>
      <c r="V15" s="388"/>
      <c r="W15" s="388">
        <f t="shared" ref="W15:W21" si="8">U15*$C$14</f>
        <v>9384.9111745285427</v>
      </c>
      <c r="X15" s="388"/>
      <c r="Y15" s="388">
        <f t="shared" ref="Y15:Y21" si="9">W15*$C$14</f>
        <v>9713.383065637041</v>
      </c>
      <c r="Z15" s="388"/>
      <c r="AA15" s="388">
        <f t="shared" ref="AA15:AA21" si="10">Y15*$C$14</f>
        <v>10053.351472934337</v>
      </c>
      <c r="AB15" s="388"/>
      <c r="AC15" s="388">
        <f t="shared" ref="AC15:AC21" si="11">AA15*$C$14</f>
        <v>10405.218774487037</v>
      </c>
      <c r="AD15" s="388"/>
      <c r="AE15" s="388">
        <f t="shared" ref="AE15:AE21" si="12">AC15*$C$14</f>
        <v>10769.401431594082</v>
      </c>
      <c r="AF15" s="388"/>
      <c r="AG15" s="388">
        <f t="shared" ref="AG15:AG21" si="13">AE15*$C$14</f>
        <v>11146.330481699873</v>
      </c>
      <c r="AH15" s="388"/>
    </row>
    <row r="16" spans="1:34" ht="14.25">
      <c r="A16" s="380" t="s">
        <v>497</v>
      </c>
      <c r="B16" s="380"/>
      <c r="C16" s="402"/>
      <c r="D16" s="380"/>
      <c r="E16" s="391">
        <f>Application!W813</f>
        <v>9785</v>
      </c>
      <c r="F16" s="391"/>
      <c r="G16" s="391">
        <f t="shared" si="0"/>
        <v>10127.474999999999</v>
      </c>
      <c r="H16" s="391"/>
      <c r="I16" s="391">
        <f t="shared" si="1"/>
        <v>10481.936624999998</v>
      </c>
      <c r="J16" s="391"/>
      <c r="K16" s="391">
        <f t="shared" si="2"/>
        <v>10848.804406874997</v>
      </c>
      <c r="L16" s="391"/>
      <c r="M16" s="391">
        <f t="shared" si="3"/>
        <v>11228.51256111562</v>
      </c>
      <c r="N16" s="391"/>
      <c r="O16" s="391">
        <f t="shared" si="4"/>
        <v>11621.510500754666</v>
      </c>
      <c r="P16" s="391"/>
      <c r="Q16" s="391">
        <f t="shared" si="5"/>
        <v>12028.263368281079</v>
      </c>
      <c r="R16" s="391"/>
      <c r="S16" s="391">
        <f t="shared" si="6"/>
        <v>12449.252586170916</v>
      </c>
      <c r="T16" s="391"/>
      <c r="U16" s="391">
        <f t="shared" si="7"/>
        <v>12884.976426686897</v>
      </c>
      <c r="V16" s="391"/>
      <c r="W16" s="391">
        <f t="shared" si="8"/>
        <v>13335.950601620938</v>
      </c>
      <c r="X16" s="391"/>
      <c r="Y16" s="391">
        <f t="shared" si="9"/>
        <v>13802.708872677669</v>
      </c>
      <c r="Z16" s="391"/>
      <c r="AA16" s="391">
        <f t="shared" si="10"/>
        <v>14285.803683221386</v>
      </c>
      <c r="AB16" s="391"/>
      <c r="AC16" s="391">
        <f t="shared" si="11"/>
        <v>14785.806812134133</v>
      </c>
      <c r="AD16" s="391"/>
      <c r="AE16" s="391">
        <f t="shared" si="12"/>
        <v>15303.310050558826</v>
      </c>
      <c r="AF16" s="391"/>
      <c r="AG16" s="391">
        <f t="shared" si="13"/>
        <v>15838.925902328385</v>
      </c>
      <c r="AH16" s="380"/>
    </row>
    <row r="17" spans="1:34" ht="14.25">
      <c r="A17" s="380" t="s">
        <v>770</v>
      </c>
      <c r="B17" s="380"/>
      <c r="C17" s="402"/>
      <c r="D17" s="380"/>
      <c r="E17" s="391">
        <f>Application!W819</f>
        <v>11884</v>
      </c>
      <c r="F17" s="391"/>
      <c r="G17" s="391">
        <f t="shared" si="0"/>
        <v>12299.939999999999</v>
      </c>
      <c r="H17" s="391"/>
      <c r="I17" s="391">
        <f t="shared" si="1"/>
        <v>12730.437899999997</v>
      </c>
      <c r="J17" s="391"/>
      <c r="K17" s="391">
        <f t="shared" si="2"/>
        <v>13176.003226499995</v>
      </c>
      <c r="L17" s="391"/>
      <c r="M17" s="391">
        <f t="shared" si="3"/>
        <v>13637.163339427494</v>
      </c>
      <c r="N17" s="391"/>
      <c r="O17" s="391">
        <f t="shared" si="4"/>
        <v>14114.464056307455</v>
      </c>
      <c r="P17" s="391"/>
      <c r="Q17" s="391">
        <f t="shared" si="5"/>
        <v>14608.470298278215</v>
      </c>
      <c r="R17" s="391"/>
      <c r="S17" s="391">
        <f t="shared" si="6"/>
        <v>15119.766758717951</v>
      </c>
      <c r="T17" s="391"/>
      <c r="U17" s="391">
        <f t="shared" si="7"/>
        <v>15648.958595273078</v>
      </c>
      <c r="V17" s="391"/>
      <c r="W17" s="391">
        <f t="shared" si="8"/>
        <v>16196.672146107634</v>
      </c>
      <c r="X17" s="391"/>
      <c r="Y17" s="391">
        <f t="shared" si="9"/>
        <v>16763.555671221398</v>
      </c>
      <c r="Z17" s="391"/>
      <c r="AA17" s="391">
        <f t="shared" si="10"/>
        <v>17350.280119714145</v>
      </c>
      <c r="AB17" s="391"/>
      <c r="AC17" s="391">
        <f t="shared" si="11"/>
        <v>17957.53992390414</v>
      </c>
      <c r="AD17" s="391"/>
      <c r="AE17" s="391">
        <f t="shared" si="12"/>
        <v>18586.053821240785</v>
      </c>
      <c r="AF17" s="391"/>
      <c r="AG17" s="391">
        <f t="shared" si="13"/>
        <v>19236.565704984212</v>
      </c>
      <c r="AH17" s="380"/>
    </row>
    <row r="18" spans="1:34" ht="14.25">
      <c r="A18" s="380" t="s">
        <v>1126</v>
      </c>
      <c r="B18" s="380"/>
      <c r="C18" s="402"/>
      <c r="D18" s="380"/>
      <c r="E18" s="391">
        <f>Application!W826</f>
        <v>23611</v>
      </c>
      <c r="F18" s="391"/>
      <c r="G18" s="391">
        <f t="shared" si="0"/>
        <v>24437.384999999998</v>
      </c>
      <c r="H18" s="391"/>
      <c r="I18" s="391">
        <f t="shared" si="1"/>
        <v>25292.693474999996</v>
      </c>
      <c r="J18" s="391"/>
      <c r="K18" s="391">
        <f t="shared" si="2"/>
        <v>26177.937746624993</v>
      </c>
      <c r="L18" s="391"/>
      <c r="M18" s="391">
        <f t="shared" si="3"/>
        <v>27094.165567756867</v>
      </c>
      <c r="N18" s="391"/>
      <c r="O18" s="391">
        <f t="shared" si="4"/>
        <v>28042.461362628354</v>
      </c>
      <c r="P18" s="391"/>
      <c r="Q18" s="391">
        <f t="shared" si="5"/>
        <v>29023.947510320344</v>
      </c>
      <c r="R18" s="391"/>
      <c r="S18" s="391">
        <f t="shared" si="6"/>
        <v>30039.785673181555</v>
      </c>
      <c r="T18" s="391"/>
      <c r="U18" s="391">
        <f t="shared" si="7"/>
        <v>31091.178171742908</v>
      </c>
      <c r="V18" s="391"/>
      <c r="W18" s="391">
        <f t="shared" si="8"/>
        <v>32179.369407753908</v>
      </c>
      <c r="X18" s="391"/>
      <c r="Y18" s="391">
        <f t="shared" si="9"/>
        <v>33305.647337025293</v>
      </c>
      <c r="Z18" s="391"/>
      <c r="AA18" s="391">
        <f t="shared" si="10"/>
        <v>34471.344993821178</v>
      </c>
      <c r="AB18" s="391"/>
      <c r="AC18" s="391">
        <f t="shared" si="11"/>
        <v>35677.842068604914</v>
      </c>
      <c r="AD18" s="391"/>
      <c r="AE18" s="391">
        <f t="shared" si="12"/>
        <v>36926.566541006083</v>
      </c>
      <c r="AF18" s="391"/>
      <c r="AG18" s="391">
        <f t="shared" si="13"/>
        <v>38218.996369941291</v>
      </c>
    </row>
    <row r="19" spans="1:34" ht="14.25">
      <c r="A19" s="380" t="s">
        <v>975</v>
      </c>
      <c r="B19" s="380"/>
      <c r="C19" s="402"/>
      <c r="D19" s="380"/>
      <c r="E19" s="391">
        <f>Application!W827</f>
        <v>8074</v>
      </c>
      <c r="F19" s="391"/>
      <c r="G19" s="391">
        <f t="shared" si="0"/>
        <v>8356.59</v>
      </c>
      <c r="H19" s="391"/>
      <c r="I19" s="391">
        <f t="shared" si="1"/>
        <v>8649.0706499999997</v>
      </c>
      <c r="J19" s="391"/>
      <c r="K19" s="391">
        <f t="shared" si="2"/>
        <v>8951.7881227499984</v>
      </c>
      <c r="L19" s="391"/>
      <c r="M19" s="391">
        <f t="shared" si="3"/>
        <v>9265.1007070462474</v>
      </c>
      <c r="N19" s="391"/>
      <c r="O19" s="391">
        <f t="shared" si="4"/>
        <v>9589.3792317928655</v>
      </c>
      <c r="P19" s="391"/>
      <c r="Q19" s="391">
        <f t="shared" si="5"/>
        <v>9925.0075049056159</v>
      </c>
      <c r="R19" s="391"/>
      <c r="S19" s="391">
        <f t="shared" si="6"/>
        <v>10272.382767577312</v>
      </c>
      <c r="T19" s="391"/>
      <c r="U19" s="391">
        <f t="shared" si="7"/>
        <v>10631.916164442517</v>
      </c>
      <c r="V19" s="391"/>
      <c r="W19" s="391">
        <f t="shared" si="8"/>
        <v>11004.033230198003</v>
      </c>
      <c r="X19" s="391"/>
      <c r="Y19" s="391">
        <f t="shared" si="9"/>
        <v>11389.174393254933</v>
      </c>
      <c r="Z19" s="391"/>
      <c r="AA19" s="391">
        <f t="shared" si="10"/>
        <v>11787.795497018855</v>
      </c>
      <c r="AB19" s="391"/>
      <c r="AC19" s="391">
        <f t="shared" si="11"/>
        <v>12200.368339414514</v>
      </c>
      <c r="AD19" s="391"/>
      <c r="AE19" s="391">
        <f t="shared" si="12"/>
        <v>12627.381231294021</v>
      </c>
      <c r="AF19" s="391"/>
      <c r="AG19" s="391">
        <f t="shared" si="13"/>
        <v>13069.339574389311</v>
      </c>
    </row>
    <row r="20" spans="1:34" ht="14.25">
      <c r="A20" s="380" t="s">
        <v>59</v>
      </c>
      <c r="B20" s="380"/>
      <c r="C20" s="402"/>
      <c r="D20" s="380"/>
      <c r="E20" s="391">
        <f>Application!W836</f>
        <v>16328</v>
      </c>
      <c r="F20" s="391"/>
      <c r="G20" s="391">
        <f t="shared" si="0"/>
        <v>16899.48</v>
      </c>
      <c r="H20" s="391"/>
      <c r="I20" s="391">
        <f t="shared" si="1"/>
        <v>17490.961799999997</v>
      </c>
      <c r="J20" s="391"/>
      <c r="K20" s="391">
        <f t="shared" si="2"/>
        <v>18103.145462999997</v>
      </c>
      <c r="L20" s="391"/>
      <c r="M20" s="391">
        <f t="shared" si="3"/>
        <v>18736.755554204996</v>
      </c>
      <c r="N20" s="391"/>
      <c r="O20" s="391">
        <f t="shared" si="4"/>
        <v>19392.54199860217</v>
      </c>
      <c r="P20" s="391"/>
      <c r="Q20" s="391">
        <f t="shared" si="5"/>
        <v>20071.280968553245</v>
      </c>
      <c r="R20" s="391"/>
      <c r="S20" s="391">
        <f t="shared" si="6"/>
        <v>20773.775802452608</v>
      </c>
      <c r="T20" s="391"/>
      <c r="U20" s="391">
        <f t="shared" si="7"/>
        <v>21500.857955538449</v>
      </c>
      <c r="V20" s="391"/>
      <c r="W20" s="391">
        <f t="shared" si="8"/>
        <v>22253.387983982295</v>
      </c>
      <c r="X20" s="391"/>
      <c r="Y20" s="391">
        <f t="shared" si="9"/>
        <v>23032.256563421673</v>
      </c>
      <c r="Z20" s="391"/>
      <c r="AA20" s="391">
        <f t="shared" si="10"/>
        <v>23838.38554314143</v>
      </c>
      <c r="AB20" s="391"/>
      <c r="AC20" s="391">
        <f t="shared" si="11"/>
        <v>24672.729037151377</v>
      </c>
      <c r="AD20" s="391"/>
      <c r="AE20" s="391">
        <f t="shared" si="12"/>
        <v>25536.274553451673</v>
      </c>
      <c r="AF20" s="391"/>
      <c r="AG20" s="391">
        <f t="shared" si="13"/>
        <v>26430.04416282248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76568</v>
      </c>
      <c r="F22" s="392"/>
      <c r="G22" s="392">
        <f>SUM(G15:G21)</f>
        <v>79247.87999999999</v>
      </c>
      <c r="H22" s="392"/>
      <c r="I22" s="392">
        <f>SUM(I15:I21)</f>
        <v>82021.555799999987</v>
      </c>
      <c r="J22" s="392"/>
      <c r="K22" s="392">
        <f>SUM(K15:K21)</f>
        <v>84892.310252999974</v>
      </c>
      <c r="L22" s="392"/>
      <c r="M22" s="392">
        <f>SUM(M15:M21)</f>
        <v>87863.541111854967</v>
      </c>
      <c r="N22" s="392"/>
      <c r="O22" s="392">
        <f>SUM(O15:O21)</f>
        <v>90938.765050769885</v>
      </c>
      <c r="P22" s="392"/>
      <c r="Q22" s="392">
        <f>SUM(Q15:Q21)</f>
        <v>94121.621827546827</v>
      </c>
      <c r="R22" s="392"/>
      <c r="S22" s="392">
        <f>SUM(S15:S21)</f>
        <v>97415.878591510962</v>
      </c>
      <c r="T22" s="392"/>
      <c r="U22" s="392">
        <f>SUM(U15:U21)</f>
        <v>100825.43434221385</v>
      </c>
      <c r="V22" s="392"/>
      <c r="W22" s="392">
        <f>SUM(W15:W21)</f>
        <v>104354.32454419133</v>
      </c>
      <c r="X22" s="392"/>
      <c r="Y22" s="392">
        <f>SUM(Y15:Y21)</f>
        <v>108006.72590323801</v>
      </c>
      <c r="Z22" s="392"/>
      <c r="AA22" s="392">
        <f>SUM(AA15:AA21)</f>
        <v>111786.96130985134</v>
      </c>
      <c r="AB22" s="392"/>
      <c r="AC22" s="392">
        <f>SUM(AC15:AC21)</f>
        <v>115699.50495569613</v>
      </c>
      <c r="AD22" s="392"/>
      <c r="AE22" s="392">
        <f>SUM(AE15:AE21)</f>
        <v>119748.98762914546</v>
      </c>
      <c r="AF22" s="392"/>
      <c r="AG22" s="392">
        <f>SUM(AG15:AG21)</f>
        <v>123940.20219616554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26140</v>
      </c>
      <c r="F27" s="391"/>
      <c r="G27" s="391">
        <f>E27*$C$27</f>
        <v>27054.899999999998</v>
      </c>
      <c r="H27" s="391"/>
      <c r="I27" s="391">
        <f>G27*$C$27</f>
        <v>28001.821499999995</v>
      </c>
      <c r="J27" s="391"/>
      <c r="K27" s="391">
        <f>I27*$C$27</f>
        <v>28981.885252499993</v>
      </c>
      <c r="L27" s="391"/>
      <c r="M27" s="391">
        <f>K27*$C$27</f>
        <v>29996.251236337492</v>
      </c>
      <c r="N27" s="391"/>
      <c r="O27" s="391">
        <f>M27*$C$27</f>
        <v>31046.120029609301</v>
      </c>
      <c r="P27" s="391"/>
      <c r="Q27" s="391">
        <f>O27*$C$27</f>
        <v>32132.734230645623</v>
      </c>
      <c r="R27" s="391"/>
      <c r="S27" s="391">
        <f>Q27*$C$27</f>
        <v>33257.379928718219</v>
      </c>
      <c r="T27" s="391"/>
      <c r="U27" s="391">
        <f>S27*$C$27</f>
        <v>34421.388226223353</v>
      </c>
      <c r="V27" s="391"/>
      <c r="W27" s="391">
        <f>U27*$C$27</f>
        <v>35626.136814141166</v>
      </c>
      <c r="X27" s="391"/>
      <c r="Y27" s="391">
        <f>W27*$C$27</f>
        <v>36873.0516026361</v>
      </c>
      <c r="Z27" s="391"/>
      <c r="AA27" s="391">
        <f>Y27*$C$27</f>
        <v>38163.60840872836</v>
      </c>
      <c r="AB27" s="391"/>
      <c r="AC27" s="391">
        <f>AA27*$C$27</f>
        <v>39499.334703033848</v>
      </c>
      <c r="AD27" s="391"/>
      <c r="AE27" s="391">
        <f>AC27*$C$27</f>
        <v>40881.811417640027</v>
      </c>
      <c r="AF27" s="391"/>
      <c r="AG27" s="391">
        <f>AE27*$C$27</f>
        <v>42312.674817257423</v>
      </c>
    </row>
    <row r="28" spans="1:34" ht="14.25">
      <c r="A28" s="614" t="s">
        <v>1129</v>
      </c>
      <c r="B28" s="380"/>
      <c r="C28" s="411"/>
      <c r="D28" s="380"/>
      <c r="E28" s="391">
        <f>Application!AC853</f>
        <v>3600</v>
      </c>
      <c r="F28" s="391"/>
      <c r="G28" s="391">
        <f>$E$28</f>
        <v>3600</v>
      </c>
      <c r="H28" s="391"/>
      <c r="I28" s="391">
        <f>$E$28</f>
        <v>3600</v>
      </c>
      <c r="J28" s="391"/>
      <c r="K28" s="391">
        <f>$E$28</f>
        <v>3600</v>
      </c>
      <c r="L28" s="391"/>
      <c r="M28" s="391">
        <f>$E$28</f>
        <v>3600</v>
      </c>
      <c r="N28" s="391"/>
      <c r="O28" s="391">
        <f>$E$28</f>
        <v>3600</v>
      </c>
      <c r="P28" s="391"/>
      <c r="Q28" s="391">
        <f>$E$28</f>
        <v>3600</v>
      </c>
      <c r="R28" s="391"/>
      <c r="S28" s="391">
        <f>$E$28</f>
        <v>3600</v>
      </c>
      <c r="T28" s="391"/>
      <c r="U28" s="391">
        <f>$E$28</f>
        <v>3600</v>
      </c>
      <c r="V28" s="391"/>
      <c r="W28" s="391">
        <f>$E$28</f>
        <v>3600</v>
      </c>
      <c r="X28" s="391"/>
      <c r="Y28" s="391">
        <f>$E$28</f>
        <v>3600</v>
      </c>
      <c r="Z28" s="391"/>
      <c r="AA28" s="391">
        <f>$E$28</f>
        <v>3600</v>
      </c>
      <c r="AB28" s="391"/>
      <c r="AC28" s="391">
        <f>$E$28</f>
        <v>3600</v>
      </c>
      <c r="AD28" s="391"/>
      <c r="AE28" s="391">
        <f>$E$28</f>
        <v>3600</v>
      </c>
      <c r="AF28" s="391"/>
      <c r="AG28" s="391">
        <f>$E$28</f>
        <v>3600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2879</v>
      </c>
      <c r="F30" s="391"/>
      <c r="G30" s="391">
        <f>E30*$C$30</f>
        <v>2936.58</v>
      </c>
      <c r="H30" s="391"/>
      <c r="I30" s="391">
        <f>G30*$C$30</f>
        <v>2995.3116</v>
      </c>
      <c r="J30" s="391"/>
      <c r="K30" s="391">
        <f>I30*$C$30</f>
        <v>3055.2178320000003</v>
      </c>
      <c r="L30" s="391"/>
      <c r="M30" s="391">
        <f>K30*$C$30</f>
        <v>3116.3221886400001</v>
      </c>
      <c r="N30" s="391"/>
      <c r="O30" s="391">
        <f>M30*$C$30</f>
        <v>3178.6486324128</v>
      </c>
      <c r="P30" s="391"/>
      <c r="Q30" s="391">
        <f>O30*$C$30</f>
        <v>3242.2216050610559</v>
      </c>
      <c r="R30" s="391"/>
      <c r="S30" s="391">
        <f>Q30*$C$30</f>
        <v>3307.0660371622771</v>
      </c>
      <c r="T30" s="391"/>
      <c r="U30" s="391">
        <f>S30*$C$30</f>
        <v>3373.2073579055227</v>
      </c>
      <c r="V30" s="391"/>
      <c r="W30" s="391">
        <f>U30*$C$30</f>
        <v>3440.671505063633</v>
      </c>
      <c r="X30" s="391"/>
      <c r="Y30" s="391">
        <f>W30*$C$30</f>
        <v>3509.4849351649059</v>
      </c>
      <c r="Z30" s="391"/>
      <c r="AA30" s="391">
        <f>Y30*$C$30</f>
        <v>3579.6746338682042</v>
      </c>
      <c r="AB30" s="391"/>
      <c r="AC30" s="391">
        <f>AA30*$C$30</f>
        <v>3651.2681265455685</v>
      </c>
      <c r="AD30" s="391"/>
      <c r="AE30" s="391">
        <f>AC30*$C$30</f>
        <v>3724.29348907648</v>
      </c>
      <c r="AF30" s="391"/>
      <c r="AG30" s="391">
        <f>AE30*$C$30</f>
        <v>3798.7793588580098</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109187</v>
      </c>
      <c r="F35" s="392"/>
      <c r="G35" s="392">
        <f>SUM(G22:G33)</f>
        <v>112839.35999999999</v>
      </c>
      <c r="H35" s="392"/>
      <c r="I35" s="392">
        <f>SUM(I22:I33)</f>
        <v>116618.68889999998</v>
      </c>
      <c r="J35" s="392"/>
      <c r="K35" s="392">
        <f>SUM(K22:K33)</f>
        <v>120529.41333749997</v>
      </c>
      <c r="L35" s="392"/>
      <c r="M35" s="392">
        <f>SUM(M22:M33)</f>
        <v>124576.11453683245</v>
      </c>
      <c r="N35" s="392"/>
      <c r="O35" s="392">
        <f>SUM(O22:O33)</f>
        <v>128763.53371279199</v>
      </c>
      <c r="P35" s="392"/>
      <c r="Q35" s="392">
        <f>SUM(Q22:Q33)</f>
        <v>133096.5776632535</v>
      </c>
      <c r="R35" s="392"/>
      <c r="S35" s="392">
        <f>SUM(S22:S33)</f>
        <v>137580.32455739146</v>
      </c>
      <c r="T35" s="392"/>
      <c r="U35" s="392">
        <f>SUM(U22:U33)</f>
        <v>142220.02992634272</v>
      </c>
      <c r="V35" s="392"/>
      <c r="W35" s="392">
        <f>SUM(W22:W33)</f>
        <v>147021.13286339611</v>
      </c>
      <c r="X35" s="392"/>
      <c r="Y35" s="392">
        <f>SUM(Y22:Y33)</f>
        <v>151989.26244103903</v>
      </c>
      <c r="Z35" s="392"/>
      <c r="AA35" s="392">
        <f>SUM(AA22:AA33)</f>
        <v>157130.24435244792</v>
      </c>
      <c r="AB35" s="392"/>
      <c r="AC35" s="392">
        <f>SUM(AC22:AC33)</f>
        <v>162450.10778527553</v>
      </c>
      <c r="AD35" s="392"/>
      <c r="AE35" s="392">
        <f>SUM(AE22:AE33)</f>
        <v>167955.09253586197</v>
      </c>
      <c r="AF35" s="392"/>
      <c r="AG35" s="392">
        <f>SUM(AG22:AG33)</f>
        <v>173651.65637228097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279097</v>
      </c>
      <c r="F37" s="392"/>
      <c r="G37" s="392">
        <f>G11-G35</f>
        <v>285151.73999999993</v>
      </c>
      <c r="H37" s="392"/>
      <c r="I37" s="392">
        <f>I11-I35</f>
        <v>291322.18859999988</v>
      </c>
      <c r="J37" s="392"/>
      <c r="K37" s="392">
        <f>K11-K35</f>
        <v>297609.98609999992</v>
      </c>
      <c r="L37" s="392"/>
      <c r="M37" s="392">
        <f>M11-M35</f>
        <v>304016.76988660486</v>
      </c>
      <c r="N37" s="392"/>
      <c r="O37" s="392">
        <f>O11-O35</f>
        <v>310544.17282123124</v>
      </c>
      <c r="P37" s="392"/>
      <c r="Q37" s="392">
        <f>Q11-Q35</f>
        <v>317193.82153412024</v>
      </c>
      <c r="R37" s="392"/>
      <c r="S37" s="392">
        <f>S11-S35</f>
        <v>323967.33461991657</v>
      </c>
      <c r="T37" s="392"/>
      <c r="U37" s="392">
        <f>U11-U35</f>
        <v>330866.32073039794</v>
      </c>
      <c r="V37" s="392"/>
      <c r="W37" s="392">
        <f>W11-W35</f>
        <v>337892.3765597631</v>
      </c>
      <c r="X37" s="392"/>
      <c r="Y37" s="392">
        <f>Y11-Y35</f>
        <v>345047.08471769909</v>
      </c>
      <c r="Z37" s="392"/>
      <c r="AA37" s="392">
        <f>AA11-AA35</f>
        <v>352332.01148525847</v>
      </c>
      <c r="AB37" s="392"/>
      <c r="AC37" s="392">
        <f>AC11-AC35</f>
        <v>359748.70444837364</v>
      </c>
      <c r="AD37" s="392"/>
      <c r="AE37" s="392">
        <f>AE11-AE35</f>
        <v>367298.69000362814</v>
      </c>
      <c r="AF37" s="392"/>
      <c r="AG37" s="392">
        <f>AG11-AG35</f>
        <v>374983.47073069663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Rockport/HUD 221D4</v>
      </c>
      <c r="B40" s="395"/>
      <c r="C40" s="389"/>
      <c r="D40" s="380"/>
      <c r="E40" s="388">
        <f>Application!AF618</f>
        <v>242759</v>
      </c>
      <c r="F40" s="388"/>
      <c r="G40" s="388">
        <f>$E$40</f>
        <v>242759</v>
      </c>
      <c r="H40" s="388"/>
      <c r="I40" s="388">
        <f>$E$40</f>
        <v>242759</v>
      </c>
      <c r="J40" s="388"/>
      <c r="K40" s="388">
        <f>$E$40</f>
        <v>242759</v>
      </c>
      <c r="L40" s="388"/>
      <c r="M40" s="388">
        <f>$E$40</f>
        <v>242759</v>
      </c>
      <c r="N40" s="388"/>
      <c r="O40" s="388">
        <f>$E$40</f>
        <v>242759</v>
      </c>
      <c r="P40" s="388"/>
      <c r="Q40" s="388">
        <f>$E$40</f>
        <v>242759</v>
      </c>
      <c r="R40" s="388"/>
      <c r="S40" s="388">
        <f>$E$40</f>
        <v>242759</v>
      </c>
      <c r="T40" s="388"/>
      <c r="U40" s="388">
        <f>$E$40</f>
        <v>242759</v>
      </c>
      <c r="V40" s="388"/>
      <c r="W40" s="388">
        <f>$E$40</f>
        <v>242759</v>
      </c>
      <c r="X40" s="388"/>
      <c r="Y40" s="388">
        <f>$E$40</f>
        <v>242759</v>
      </c>
      <c r="Z40" s="388"/>
      <c r="AA40" s="388">
        <f>$E$40</f>
        <v>242759</v>
      </c>
      <c r="AB40" s="388"/>
      <c r="AC40" s="388">
        <f>$E$40</f>
        <v>242759</v>
      </c>
      <c r="AD40" s="388"/>
      <c r="AE40" s="388">
        <f>$E$40</f>
        <v>242759</v>
      </c>
      <c r="AF40" s="388"/>
      <c r="AG40" s="388">
        <f>$E$40</f>
        <v>242759</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242759</v>
      </c>
      <c r="F43" s="392"/>
      <c r="G43" s="392">
        <f>SUM(G40:G42)</f>
        <v>242759</v>
      </c>
      <c r="H43" s="392"/>
      <c r="I43" s="392">
        <f>SUM(I40:I42)</f>
        <v>242759</v>
      </c>
      <c r="J43" s="392"/>
      <c r="K43" s="392">
        <f>SUM(K40:K42)</f>
        <v>242759</v>
      </c>
      <c r="L43" s="392"/>
      <c r="M43" s="392">
        <f>SUM(M40:M42)</f>
        <v>242759</v>
      </c>
      <c r="N43" s="392"/>
      <c r="O43" s="392">
        <f>SUM(O40:O42)</f>
        <v>242759</v>
      </c>
      <c r="P43" s="392"/>
      <c r="Q43" s="392">
        <f>SUM(Q40:Q42)</f>
        <v>242759</v>
      </c>
      <c r="R43" s="392"/>
      <c r="S43" s="392">
        <f>SUM(S40:S42)</f>
        <v>242759</v>
      </c>
      <c r="T43" s="392"/>
      <c r="U43" s="392">
        <f>SUM(U40:U42)</f>
        <v>242759</v>
      </c>
      <c r="V43" s="392"/>
      <c r="W43" s="392">
        <f>SUM(W40:W42)</f>
        <v>242759</v>
      </c>
      <c r="X43" s="392"/>
      <c r="Y43" s="392">
        <f>SUM(Y40:Y42)</f>
        <v>242759</v>
      </c>
      <c r="Z43" s="392"/>
      <c r="AA43" s="392">
        <f>SUM(AA40:AA42)</f>
        <v>242759</v>
      </c>
      <c r="AB43" s="392"/>
      <c r="AC43" s="392">
        <f>SUM(AC40:AC42)</f>
        <v>242759</v>
      </c>
      <c r="AD43" s="392"/>
      <c r="AE43" s="392">
        <f>SUM(AE40:AE42)</f>
        <v>242759</v>
      </c>
      <c r="AF43" s="392"/>
      <c r="AG43" s="392">
        <f>SUM(AG40:AG42)</f>
        <v>242759</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36338</v>
      </c>
      <c r="F45" s="392"/>
      <c r="G45" s="392">
        <f>G37-G43</f>
        <v>42392.739999999932</v>
      </c>
      <c r="H45" s="392"/>
      <c r="I45" s="392">
        <f>I37-I43</f>
        <v>48563.188599999878</v>
      </c>
      <c r="J45" s="392"/>
      <c r="K45" s="392">
        <f>K37-K43</f>
        <v>54850.986099999922</v>
      </c>
      <c r="L45" s="392"/>
      <c r="M45" s="392">
        <f>M37-M43</f>
        <v>61257.769886604859</v>
      </c>
      <c r="N45" s="392"/>
      <c r="O45" s="392">
        <f>O37-O43</f>
        <v>67785.172821231245</v>
      </c>
      <c r="P45" s="392"/>
      <c r="Q45" s="392">
        <f>Q37-Q43</f>
        <v>74434.821534120245</v>
      </c>
      <c r="R45" s="392"/>
      <c r="S45" s="392">
        <f>S37-S43</f>
        <v>81208.334619916568</v>
      </c>
      <c r="T45" s="392"/>
      <c r="U45" s="392">
        <f>U37-U43</f>
        <v>88107.320730397943</v>
      </c>
      <c r="V45" s="392"/>
      <c r="W45" s="392">
        <f>W37-W43</f>
        <v>95133.376559763099</v>
      </c>
      <c r="X45" s="392"/>
      <c r="Y45" s="392">
        <f>Y37-Y43</f>
        <v>102288.08471769909</v>
      </c>
      <c r="Z45" s="392"/>
      <c r="AA45" s="392">
        <f>AA37-AA43</f>
        <v>109573.01148525847</v>
      </c>
      <c r="AB45" s="392"/>
      <c r="AC45" s="392">
        <f>AC37-AC43</f>
        <v>116989.70444837364</v>
      </c>
      <c r="AD45" s="392"/>
      <c r="AE45" s="392">
        <f>AE37-AE43</f>
        <v>124539.69000362814</v>
      </c>
      <c r="AF45" s="392"/>
      <c r="AG45" s="392">
        <f>AG37-AG43</f>
        <v>132224.47073069663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8.8906831082403603E-2</v>
      </c>
      <c r="F47" s="396"/>
      <c r="G47" s="396">
        <f>G45/(G4+G6+G8)</f>
        <v>0.10119096381803498</v>
      </c>
      <c r="H47" s="396"/>
      <c r="I47" s="396">
        <f>I45/(I4+I6+I8)</f>
        <v>0.11309243989651391</v>
      </c>
      <c r="J47" s="396"/>
      <c r="K47" s="396">
        <f>K45/(K4+K6+K8)</f>
        <v>0.12461977241345486</v>
      </c>
      <c r="L47" s="396"/>
      <c r="M47" s="396">
        <f>M45/(M4+M6+M8)</f>
        <v>0.13578125887591677</v>
      </c>
      <c r="N47" s="396"/>
      <c r="O47" s="396">
        <f>O45/(O4+O6+O8)</f>
        <v>0.14658498638284734</v>
      </c>
      <c r="P47" s="396"/>
      <c r="Q47" s="396">
        <f>Q45/(Q4+Q6+Q8)</f>
        <v>0.15703883667841403</v>
      </c>
      <c r="R47" s="396"/>
      <c r="S47" s="396">
        <f>S45/(S4+S6+S8)</f>
        <v>0.16715049108131996</v>
      </c>
      <c r="T47" s="396"/>
      <c r="U47" s="396">
        <f>U45/(U4+U6+U8)</f>
        <v>0.1769274352931185</v>
      </c>
      <c r="V47" s="396"/>
      <c r="W47" s="396">
        <f>W45/(W4+W6+W8)</f>
        <v>0.18637696408847174</v>
      </c>
      <c r="X47" s="396"/>
      <c r="Y47" s="396">
        <f>Y45/(Y4+Y6+Y8)</f>
        <v>0.19550618589022395</v>
      </c>
      <c r="Z47" s="396"/>
      <c r="AA47" s="396">
        <f>AA45/(AA4+AA6+AA8)</f>
        <v>0.20432202723209331</v>
      </c>
      <c r="AB47" s="396"/>
      <c r="AC47" s="396">
        <f>AC45/(AC4+AC6+AC8)</f>
        <v>0.21283123711171356</v>
      </c>
      <c r="AD47" s="396"/>
      <c r="AE47" s="396">
        <f>AE45/(AE4+AE6+AE8)</f>
        <v>0.22104039123668928</v>
      </c>
      <c r="AF47" s="396"/>
      <c r="AG47" s="396">
        <f>AG45/(AG4+AG6+AG8)</f>
        <v>0.22895589616627754</v>
      </c>
      <c r="AH47" s="396"/>
      <c r="AI47" s="396"/>
    </row>
    <row r="48" spans="1:35" ht="14.25">
      <c r="A48" s="396" t="s">
        <v>1136</v>
      </c>
      <c r="B48" s="396"/>
      <c r="C48" s="389"/>
      <c r="D48" s="396"/>
      <c r="E48" s="396">
        <f>E45/E43</f>
        <v>0.1496875502041119</v>
      </c>
      <c r="F48" s="396"/>
      <c r="G48" s="396">
        <f>G45/G43</f>
        <v>0.17462891180141593</v>
      </c>
      <c r="H48" s="396"/>
      <c r="I48" s="396">
        <f>I45/I43</f>
        <v>0.2000469131937431</v>
      </c>
      <c r="J48" s="396"/>
      <c r="K48" s="396">
        <f>K45/K43</f>
        <v>0.22594831128814966</v>
      </c>
      <c r="L48" s="396"/>
      <c r="M48" s="396">
        <f>M45/M43</f>
        <v>0.25233985099050854</v>
      </c>
      <c r="N48" s="396"/>
      <c r="O48" s="396">
        <f>O45/O43</f>
        <v>0.27922825856603151</v>
      </c>
      <c r="P48" s="396"/>
      <c r="Q48" s="396">
        <f>Q45/Q43</f>
        <v>0.30662023461177645</v>
      </c>
      <c r="R48" s="396"/>
      <c r="S48" s="396">
        <f>S45/S43</f>
        <v>0.33452244662367436</v>
      </c>
      <c r="T48" s="396"/>
      <c r="U48" s="396">
        <f>U45/U43</f>
        <v>0.36294152113988748</v>
      </c>
      <c r="V48" s="396"/>
      <c r="W48" s="396">
        <f>W45/W43</f>
        <v>0.3918840354415824</v>
      </c>
      <c r="X48" s="396"/>
      <c r="Y48" s="396">
        <f>Y45/Y43</f>
        <v>0.42135650879143138</v>
      </c>
      <c r="Z48" s="396"/>
      <c r="AA48" s="396">
        <f>AA45/AA43</f>
        <v>0.4513653931893708</v>
      </c>
      <c r="AB48" s="396"/>
      <c r="AC48" s="396">
        <f>AC45/AC43</f>
        <v>0.48191706362430903</v>
      </c>
      <c r="AD48" s="396"/>
      <c r="AE48" s="396">
        <f>AE45/AE43</f>
        <v>0.51301780779962081</v>
      </c>
      <c r="AF48" s="396"/>
      <c r="AG48" s="396">
        <f>AG45/AG43</f>
        <v>0.54467381530940817</v>
      </c>
      <c r="AH48" s="396"/>
      <c r="AI48" s="396"/>
    </row>
    <row r="49" spans="1:35" ht="14.25">
      <c r="A49" s="397" t="s">
        <v>1137</v>
      </c>
      <c r="B49" s="397"/>
      <c r="C49" s="398"/>
      <c r="D49" s="397"/>
      <c r="E49" s="397">
        <f>E37/E43</f>
        <v>1.149687550204112</v>
      </c>
      <c r="F49" s="397"/>
      <c r="G49" s="397">
        <f>G37/G43</f>
        <v>1.1746289118014159</v>
      </c>
      <c r="H49" s="397"/>
      <c r="I49" s="397">
        <f>I37/I43</f>
        <v>1.200046913193743</v>
      </c>
      <c r="J49" s="397"/>
      <c r="K49" s="397">
        <f>K37/K43</f>
        <v>1.2259483112881497</v>
      </c>
      <c r="L49" s="397"/>
      <c r="M49" s="397">
        <f>M37/M43</f>
        <v>1.2523398509905086</v>
      </c>
      <c r="N49" s="397"/>
      <c r="O49" s="397">
        <f>O37/O43</f>
        <v>1.2792282585660315</v>
      </c>
      <c r="P49" s="397"/>
      <c r="Q49" s="397">
        <f>Q37/Q43</f>
        <v>1.3066202346117766</v>
      </c>
      <c r="R49" s="397"/>
      <c r="S49" s="397">
        <f>S37/S43</f>
        <v>1.3345224466236745</v>
      </c>
      <c r="T49" s="397"/>
      <c r="U49" s="397">
        <f>U37/U43</f>
        <v>1.3629415211398874</v>
      </c>
      <c r="V49" s="397"/>
      <c r="W49" s="397">
        <f>W37/W43</f>
        <v>1.3918840354415825</v>
      </c>
      <c r="X49" s="397"/>
      <c r="Y49" s="397">
        <f>Y37/Y43</f>
        <v>1.4213565087914315</v>
      </c>
      <c r="Z49" s="397"/>
      <c r="AA49" s="397">
        <f>AA37/AA43</f>
        <v>1.4513653931893709</v>
      </c>
      <c r="AB49" s="397"/>
      <c r="AC49" s="397">
        <f>AC37/AC43</f>
        <v>1.4819170636243091</v>
      </c>
      <c r="AD49" s="397"/>
      <c r="AE49" s="397">
        <f>AE37/AE43</f>
        <v>1.5130178077996208</v>
      </c>
      <c r="AF49" s="397"/>
      <c r="AG49" s="397">
        <f>AG37/AG43</f>
        <v>1.5446738153094082</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v>7500</v>
      </c>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7500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28838</v>
      </c>
      <c r="F60" s="378"/>
      <c r="G60" s="378">
        <f>G45-G58</f>
        <v>42392.739999999932</v>
      </c>
      <c r="H60" s="378"/>
      <c r="I60" s="378">
        <f>I45-I58</f>
        <v>48563.188599999878</v>
      </c>
      <c r="J60" s="378"/>
      <c r="K60" s="378">
        <f>K45-K58</f>
        <v>54850.986099999922</v>
      </c>
      <c r="L60" s="378"/>
      <c r="M60" s="378">
        <f>M45-M58</f>
        <v>61257.769886604859</v>
      </c>
      <c r="N60" s="378"/>
      <c r="O60" s="378">
        <f>O45-O58</f>
        <v>67785.172821231245</v>
      </c>
      <c r="P60" s="378"/>
      <c r="Q60" s="378">
        <f>Q45-Q58</f>
        <v>74434.821534120245</v>
      </c>
      <c r="R60" s="378"/>
      <c r="S60" s="378">
        <f>S45-S58</f>
        <v>81208.334619916568</v>
      </c>
      <c r="T60" s="378"/>
      <c r="U60" s="378">
        <f>U45-U58</f>
        <v>88107.320730397943</v>
      </c>
      <c r="V60" s="378"/>
      <c r="W60" s="378">
        <f>W45-W58</f>
        <v>95133.376559763099</v>
      </c>
      <c r="X60" s="378"/>
      <c r="Y60" s="378">
        <f>Y45-Y58</f>
        <v>102288.08471769909</v>
      </c>
      <c r="Z60" s="378"/>
      <c r="AA60" s="378">
        <f>AA45-AA58</f>
        <v>109573.01148525847</v>
      </c>
      <c r="AB60" s="378"/>
      <c r="AC60" s="378">
        <f>AC45-AC58</f>
        <v>116989.70444837364</v>
      </c>
      <c r="AD60" s="378"/>
      <c r="AE60" s="378">
        <f>AE45-AE58</f>
        <v>124539.69000362814</v>
      </c>
      <c r="AF60" s="378"/>
      <c r="AG60" s="378">
        <f>AG45-AG58</f>
        <v>132224.47073069663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v>1</v>
      </c>
      <c r="D62" s="378"/>
      <c r="E62" s="405">
        <v>28838</v>
      </c>
      <c r="F62" s="378"/>
      <c r="G62" s="841">
        <f>G60*$C$62</f>
        <v>42392.739999999932</v>
      </c>
      <c r="H62" s="378"/>
      <c r="I62" s="841">
        <f>I60*$C$62</f>
        <v>48563.188599999878</v>
      </c>
      <c r="J62" s="378"/>
      <c r="K62" s="841">
        <f>K60*$C$62</f>
        <v>54850.986099999922</v>
      </c>
      <c r="L62" s="378"/>
      <c r="M62" s="841">
        <f>M60*$C$62</f>
        <v>61257.769886604859</v>
      </c>
      <c r="N62" s="378"/>
      <c r="O62" s="841">
        <f>O60*$C$62</f>
        <v>67785.172821231245</v>
      </c>
      <c r="P62" s="378"/>
      <c r="Q62" s="841">
        <f>Q60*$C$62</f>
        <v>74434.821534120245</v>
      </c>
      <c r="R62" s="378"/>
      <c r="S62" s="841">
        <f>S60*$C$62</f>
        <v>81208.334619916568</v>
      </c>
      <c r="T62" s="378"/>
      <c r="U62" s="841">
        <f>U60*$C$62</f>
        <v>88107.320730397943</v>
      </c>
      <c r="V62" s="378"/>
      <c r="W62" s="841">
        <f>W60*$C$62</f>
        <v>95133.376559763099</v>
      </c>
      <c r="X62" s="378"/>
      <c r="Y62" s="841">
        <f>Y60*$C$62</f>
        <v>102288.08471769909</v>
      </c>
      <c r="Z62" s="378"/>
      <c r="AA62" s="841">
        <f>AA60*$C$62</f>
        <v>109573.01148525847</v>
      </c>
      <c r="AB62" s="378"/>
      <c r="AC62" s="841">
        <f>AC60*$C$62</f>
        <v>116989.70444837364</v>
      </c>
      <c r="AD62" s="378"/>
      <c r="AE62" s="841">
        <f>AE60*$C$62</f>
        <v>124539.69000362814</v>
      </c>
      <c r="AF62" s="378"/>
      <c r="AG62" s="841">
        <f>AG60*$C$62</f>
        <v>132224.47073069663</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0" sqref="E10"/>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3</v>
      </c>
      <c r="C4" s="617">
        <f>Application!$O692</f>
        <v>722</v>
      </c>
      <c r="D4" s="618"/>
      <c r="E4" s="962">
        <v>2600</v>
      </c>
      <c r="F4" s="617">
        <f>$E4*$B4</f>
        <v>7800</v>
      </c>
      <c r="G4" s="618"/>
      <c r="H4" s="617">
        <f>IF($E4=0,0,MAX($E4-$C4,0))</f>
        <v>1878</v>
      </c>
      <c r="I4" s="617">
        <f>IF($H4=0,0,($H4*$B4))</f>
        <v>5634</v>
      </c>
    </row>
    <row r="5" spans="1:9">
      <c r="A5" s="617">
        <f>Application!$B693</f>
        <v>0</v>
      </c>
      <c r="B5" s="963">
        <f>Application!$G693</f>
        <v>0</v>
      </c>
      <c r="C5" s="617">
        <f>Application!$O693</f>
        <v>0</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2</v>
      </c>
      <c r="C6" s="617">
        <f>Application!$O694</f>
        <v>1258</v>
      </c>
      <c r="D6" s="618"/>
      <c r="E6" s="962">
        <v>2600</v>
      </c>
      <c r="F6" s="617">
        <f t="shared" si="0"/>
        <v>5200</v>
      </c>
      <c r="G6" s="618"/>
      <c r="H6" s="617">
        <f t="shared" si="1"/>
        <v>1342</v>
      </c>
      <c r="I6" s="617">
        <f t="shared" si="2"/>
        <v>2684</v>
      </c>
    </row>
    <row r="7" spans="1:9">
      <c r="A7" s="617" t="str">
        <f>Application!$B695</f>
        <v>3 Bedrooms</v>
      </c>
      <c r="B7" s="963">
        <f>Application!$G695</f>
        <v>4</v>
      </c>
      <c r="C7" s="617">
        <f>Application!$O695</f>
        <v>1435</v>
      </c>
      <c r="D7" s="618"/>
      <c r="E7" s="962">
        <v>3300</v>
      </c>
      <c r="F7" s="617">
        <f t="shared" si="0"/>
        <v>13200</v>
      </c>
      <c r="G7" s="618"/>
      <c r="H7" s="617">
        <f t="shared" si="1"/>
        <v>1865</v>
      </c>
      <c r="I7" s="617">
        <f t="shared" si="2"/>
        <v>7460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t="str">
        <f>Application!$B697</f>
        <v>2 Bedrooms</v>
      </c>
      <c r="B9" s="963">
        <f>Application!$G697</f>
        <v>3</v>
      </c>
      <c r="C9" s="617">
        <f>Application!$O697</f>
        <v>1526</v>
      </c>
      <c r="D9" s="618"/>
      <c r="E9" s="962">
        <v>2600</v>
      </c>
      <c r="F9" s="617">
        <f t="shared" si="0"/>
        <v>7800</v>
      </c>
      <c r="G9" s="618"/>
      <c r="H9" s="617">
        <f t="shared" si="1"/>
        <v>1074</v>
      </c>
      <c r="I9" s="617">
        <f t="shared" si="2"/>
        <v>3222</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180000</v>
      </c>
      <c r="D30" s="618"/>
      <c r="E30" s="618"/>
      <c r="F30" s="621">
        <f>SUM(F4:F28)*12</f>
        <v>408000</v>
      </c>
      <c r="G30" s="622"/>
      <c r="H30" s="620"/>
      <c r="I30" s="621">
        <f>SUM(I4:I28)*12</f>
        <v>228000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L71" sqref="AL7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IF('Sources and Basis Breakdown'!G105+'Sources and Basis Breakdown'!F105='Sources and Basis Breakdown'!E105,'Sources and Basis Breakdown'!G105,0)</f>
        <v>2315074</v>
      </c>
      <c r="Z11" s="1617"/>
      <c r="AA11" s="1617"/>
      <c r="AB11" s="1617"/>
      <c r="AC11" s="1617"/>
      <c r="AD11" s="1617">
        <f>IF('Sources and Basis Breakdown'!I105=0,'Sources and Basis Breakdown'!H105,'Sources and Basis Breakdown'!I105)</f>
        <v>4575375</v>
      </c>
      <c r="AE11" s="1617"/>
      <c r="AF11" s="1617"/>
      <c r="AG11" s="1617"/>
      <c r="AH11" s="1617"/>
      <c r="AI11" s="1617">
        <f>IF('Sources and Basis Breakdown'!I105+'Sources and Basis Breakdown'!J105='Sources and Basis Breakdown'!H105,'Sources and Basis Breakdown'!J105,0)</f>
        <v>4575375</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2315074</v>
      </c>
      <c r="Z23" s="1316"/>
      <c r="AA23" s="1316"/>
      <c r="AB23" s="1316"/>
      <c r="AC23" s="1316"/>
      <c r="AD23" s="1596">
        <f>AD11+AD22</f>
        <v>4575375</v>
      </c>
      <c r="AE23" s="1316"/>
      <c r="AF23" s="1316"/>
      <c r="AG23" s="1316"/>
      <c r="AH23" s="1316"/>
      <c r="AI23" s="1596">
        <f>AI11+AI22</f>
        <v>4575375</v>
      </c>
      <c r="AJ23" s="1316"/>
      <c r="AK23" s="1316"/>
      <c r="AL23" s="1316"/>
      <c r="AM23" s="1316"/>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2315074</v>
      </c>
      <c r="Z26" s="1608"/>
      <c r="AA26" s="1608"/>
      <c r="AB26" s="1608"/>
      <c r="AC26" s="1608"/>
      <c r="AD26" s="1240">
        <f>AD23*AD25</f>
        <v>4575375</v>
      </c>
      <c r="AE26" s="1608"/>
      <c r="AF26" s="1608"/>
      <c r="AG26" s="1608"/>
      <c r="AH26" s="1608"/>
      <c r="AI26" s="1240">
        <f>AI23*AI25</f>
        <v>4575375</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2315074</v>
      </c>
      <c r="Z28" s="1608"/>
      <c r="AA28" s="1608"/>
      <c r="AB28" s="1608"/>
      <c r="AC28" s="1608"/>
      <c r="AD28" s="1240">
        <f>IF(ISERROR((AD26*AD27)),0,(AD26*AD27))</f>
        <v>4575375</v>
      </c>
      <c r="AE28" s="1608"/>
      <c r="AF28" s="1608"/>
      <c r="AG28" s="1608"/>
      <c r="AH28" s="1608"/>
      <c r="AI28" s="1240">
        <f>IF(ISERROR((AI26*AI27)),0,(AI26*AI27))</f>
        <v>4575375</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13780898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0" ht="12.95" customHeight="1">
      <c r="B36" s="204"/>
      <c r="X36" s="71"/>
      <c r="Y36" s="1599"/>
      <c r="Z36" s="1599"/>
      <c r="AA36" s="1599"/>
      <c r="AB36" s="1599"/>
      <c r="AC36" s="1599"/>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8504611</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8504611</v>
      </c>
      <c r="AC48" s="1156"/>
      <c r="AD48" s="1156"/>
      <c r="AE48" s="1156"/>
      <c r="AF48" s="1157"/>
    </row>
    <row r="49" spans="1:40" ht="12.95" customHeight="1">
      <c r="D49" s="3" t="s">
        <v>913</v>
      </c>
      <c r="AA49" s="34"/>
      <c r="AB49" s="1602">
        <v>0.88990999999999998</v>
      </c>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9556709</v>
      </c>
      <c r="AC53" s="1156"/>
      <c r="AD53" s="1156"/>
      <c r="AE53" s="1156"/>
      <c r="AF53" s="1157"/>
    </row>
    <row r="54" spans="1:40" ht="12.95" customHeight="1">
      <c r="D54" s="3" t="s">
        <v>592</v>
      </c>
      <c r="AB54" s="1155">
        <f>(AB53/10)</f>
        <v>955670.9</v>
      </c>
      <c r="AC54" s="1156"/>
      <c r="AD54" s="1156"/>
      <c r="AE54" s="1156"/>
      <c r="AF54" s="1157"/>
    </row>
    <row r="55" spans="1:40" ht="12.95" customHeight="1">
      <c r="D55" s="3" t="s">
        <v>362</v>
      </c>
      <c r="AB55" s="1609">
        <f>(IF((Y41&lt;AB54),Y41,AB54))</f>
        <v>0</v>
      </c>
      <c r="AC55" s="1610"/>
      <c r="AD55" s="1610"/>
      <c r="AE55" s="1610"/>
      <c r="AF55" s="1611"/>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8504611</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2315074</v>
      </c>
      <c r="Z63" s="1605"/>
      <c r="AA63" s="1605"/>
      <c r="AB63" s="1605"/>
      <c r="AC63" s="1605"/>
      <c r="AD63" s="1316">
        <f>AI28</f>
        <v>4575375</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v>0.78</v>
      </c>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10903347</v>
      </c>
      <c r="AC75" s="1222"/>
      <c r="AD75" s="1222"/>
      <c r="AE75" s="1222"/>
      <c r="AF75" s="1222"/>
    </row>
    <row r="76" spans="1:34" ht="12.95" customHeight="1">
      <c r="C76" s="3"/>
      <c r="D76" s="3" t="s">
        <v>113</v>
      </c>
      <c r="AB76" s="1217">
        <f>IF((Y67+AD67&lt;AB75),Y67+AD67,AB75)</f>
        <v>1289321</v>
      </c>
      <c r="AC76" s="1218"/>
      <c r="AD76" s="1218"/>
      <c r="AE76" s="1218"/>
      <c r="AF76" s="1219"/>
    </row>
    <row r="77" spans="1:34" ht="12.95" customHeight="1">
      <c r="C77" s="3"/>
      <c r="D77" s="3" t="s">
        <v>986</v>
      </c>
      <c r="AB77" s="1600">
        <f>AB76*AB70</f>
        <v>1005670.38</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7498940.6200000001</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7" workbookViewId="0">
      <selection activeCell="AH72" sqref="AH7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IF('Sources and Basis Breakdown'!G105+'Sources and Basis Breakdown'!F105='Sources and Basis Breakdown'!E105,'Sources and Basis Breakdown'!G105,0)</f>
        <v>2315074</v>
      </c>
      <c r="Z11" s="1617"/>
      <c r="AA11" s="1617"/>
      <c r="AB11" s="1617"/>
      <c r="AC11" s="1617"/>
      <c r="AD11" s="1617">
        <f>IF('Sources and Basis Breakdown'!I105=0,'Sources and Basis Breakdown'!H105,'Sources and Basis Breakdown'!I105)</f>
        <v>4575375</v>
      </c>
      <c r="AE11" s="1617"/>
      <c r="AF11" s="1617"/>
      <c r="AG11" s="1617"/>
      <c r="AH11" s="1617"/>
      <c r="AI11" s="1617">
        <f>IF('Sources and Basis Breakdown'!I105+'Sources and Basis Breakdown'!J105='Sources and Basis Breakdown'!H105,'Sources and Basis Breakdown'!J105,0)</f>
        <v>4575375</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2315074</v>
      </c>
      <c r="Z23" s="1316"/>
      <c r="AA23" s="1316"/>
      <c r="AB23" s="1316"/>
      <c r="AC23" s="1316"/>
      <c r="AD23" s="1596">
        <f>AD11+AD22</f>
        <v>4575375</v>
      </c>
      <c r="AE23" s="1316"/>
      <c r="AF23" s="1316"/>
      <c r="AG23" s="1316"/>
      <c r="AH23" s="1316"/>
      <c r="AI23" s="1596">
        <f>AI11+AI22</f>
        <v>4575375</v>
      </c>
      <c r="AJ23" s="1316"/>
      <c r="AK23" s="1316"/>
      <c r="AL23" s="1316"/>
      <c r="AM23" s="1316"/>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2315074</v>
      </c>
      <c r="Z26" s="1608"/>
      <c r="AA26" s="1608"/>
      <c r="AB26" s="1608"/>
      <c r="AC26" s="1608"/>
      <c r="AD26" s="1240">
        <f>AD23*AD25</f>
        <v>4575375</v>
      </c>
      <c r="AE26" s="1608"/>
      <c r="AF26" s="1608"/>
      <c r="AG26" s="1608"/>
      <c r="AH26" s="1608"/>
      <c r="AI26" s="1240">
        <f>AI23*AI25</f>
        <v>4575375</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2315074</v>
      </c>
      <c r="Z28" s="1608"/>
      <c r="AA28" s="1608"/>
      <c r="AB28" s="1608"/>
      <c r="AC28" s="1608"/>
      <c r="AD28" s="1240">
        <f>IF(ISERROR((AD26*AD27)),0,(AD26*AD27))</f>
        <v>4575375</v>
      </c>
      <c r="AE28" s="1608"/>
      <c r="AF28" s="1608"/>
      <c r="AG28" s="1608"/>
      <c r="AH28" s="1608"/>
      <c r="AI28" s="1240">
        <f>IF(ISERROR((AI26*AI27)),0,(AI26*AI27))</f>
        <v>4575375</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13780898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0" ht="12.95" customHeight="1">
      <c r="B36" s="204"/>
      <c r="X36" s="71"/>
      <c r="Y36" s="1599"/>
      <c r="Z36" s="1599"/>
      <c r="AA36" s="1599"/>
      <c r="AB36" s="1599"/>
      <c r="AC36" s="1599"/>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2.9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5">
        <f>'Sources and Uses Budget'!B104-'Sources and Uses Budget'!$B$15</f>
        <v>8504611</v>
      </c>
      <c r="AC46" s="1156"/>
      <c r="AD46" s="1156"/>
      <c r="AE46" s="1156"/>
      <c r="AF46" s="1157"/>
    </row>
    <row r="47" spans="1:40" ht="12.95" customHeight="1">
      <c r="D47" s="3" t="s">
        <v>878</v>
      </c>
      <c r="AB47" s="1155">
        <f>Application!AG630-MIN('Sources and Uses Budget'!B15,Application!AG385)</f>
        <v>0</v>
      </c>
      <c r="AC47" s="1156"/>
      <c r="AD47" s="1156"/>
      <c r="AE47" s="1156"/>
      <c r="AF47" s="1157"/>
    </row>
    <row r="48" spans="1:40" ht="12.95" customHeight="1">
      <c r="D48" s="3" t="s">
        <v>403</v>
      </c>
      <c r="AB48" s="1155">
        <f>AB46-AB47</f>
        <v>8504611</v>
      </c>
      <c r="AC48" s="1156"/>
      <c r="AD48" s="1156"/>
      <c r="AE48" s="1156"/>
      <c r="AF48" s="1157"/>
    </row>
    <row r="49" spans="1:40" ht="12.95" customHeight="1">
      <c r="D49" s="3" t="s">
        <v>913</v>
      </c>
      <c r="AA49" s="34"/>
      <c r="AB49" s="1602">
        <v>0.88990999999999998</v>
      </c>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9556709</v>
      </c>
      <c r="AC53" s="1156"/>
      <c r="AD53" s="1156"/>
      <c r="AE53" s="1156"/>
      <c r="AF53" s="1157"/>
    </row>
    <row r="54" spans="1:40" ht="12.95" customHeight="1">
      <c r="D54" s="3" t="s">
        <v>592</v>
      </c>
      <c r="AB54" s="1155">
        <f>(AB53/10)</f>
        <v>955670.9</v>
      </c>
      <c r="AC54" s="1156"/>
      <c r="AD54" s="1156"/>
      <c r="AE54" s="1156"/>
      <c r="AF54" s="1157"/>
    </row>
    <row r="55" spans="1:40" ht="12.95" customHeight="1">
      <c r="D55" s="3" t="s">
        <v>362</v>
      </c>
      <c r="AB55" s="1609">
        <f>(IF((Y41&lt;AB54),Y41,AB54))</f>
        <v>0</v>
      </c>
      <c r="AC55" s="1610"/>
      <c r="AD55" s="1610"/>
      <c r="AE55" s="1610"/>
      <c r="AF55" s="1611"/>
    </row>
    <row r="56" spans="1:40" ht="12.95" customHeight="1">
      <c r="D56" s="3" t="s">
        <v>115</v>
      </c>
      <c r="AB56" s="1155">
        <f>ROUND((10*AB55*AB49),0)</f>
        <v>0</v>
      </c>
      <c r="AC56" s="1156"/>
      <c r="AD56" s="1156"/>
      <c r="AE56" s="1156"/>
      <c r="AF56" s="1157"/>
    </row>
    <row r="57" spans="1:40" ht="12.95" customHeight="1">
      <c r="D57" s="3"/>
      <c r="AB57" s="276"/>
      <c r="AC57" s="276"/>
      <c r="AD57" s="276"/>
      <c r="AE57" s="276"/>
      <c r="AF57" s="276"/>
    </row>
    <row r="58" spans="1:40" ht="12.95" customHeight="1">
      <c r="D58" s="3" t="s">
        <v>114</v>
      </c>
      <c r="AB58" s="1161">
        <f>AB48-AB56</f>
        <v>8504611</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2315074</v>
      </c>
      <c r="Z63" s="1605"/>
      <c r="AA63" s="1605"/>
      <c r="AB63" s="1605"/>
      <c r="AC63" s="1605"/>
      <c r="AD63" s="1316">
        <f>AI28</f>
        <v>4575375</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v>0.78</v>
      </c>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10903347</v>
      </c>
      <c r="AC75" s="1222"/>
      <c r="AD75" s="1222"/>
      <c r="AE75" s="1222"/>
      <c r="AF75" s="1222"/>
    </row>
    <row r="76" spans="1:34" ht="12.95" customHeight="1">
      <c r="C76" s="3"/>
      <c r="D76" s="3" t="s">
        <v>113</v>
      </c>
      <c r="AB76" s="1217">
        <f>IF((Y67+AD67&lt;AB75),Y67+AD67,AB75)</f>
        <v>1289321</v>
      </c>
      <c r="AC76" s="1218"/>
      <c r="AD76" s="1218"/>
      <c r="AE76" s="1218"/>
      <c r="AF76" s="1219"/>
    </row>
    <row r="77" spans="1:34" ht="12.95" customHeight="1">
      <c r="C77" s="3"/>
      <c r="D77" s="3" t="s">
        <v>986</v>
      </c>
      <c r="AB77" s="1600">
        <f>AB76*AB70</f>
        <v>1005670.38</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7498940.6200000001</v>
      </c>
      <c r="AC79" s="1161"/>
      <c r="AD79" s="1161"/>
      <c r="AE79" s="1161"/>
      <c r="AF79" s="1161"/>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1080000</v>
      </c>
      <c r="C5" s="330">
        <f>'Sources and Uses Budget'!C4</f>
        <v>1080000</v>
      </c>
      <c r="D5" s="330">
        <f>'Sources and Uses Budget'!C4</f>
        <v>1080000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1080000</v>
      </c>
      <c r="C9" s="332">
        <f>SUM(C5:C8)</f>
        <v>1080000</v>
      </c>
      <c r="D9" s="332">
        <f>SUM(D5:D8)</f>
        <v>1080000</v>
      </c>
      <c r="E9" s="332">
        <f t="shared" si="0"/>
        <v>0</v>
      </c>
      <c r="F9" s="331"/>
      <c r="G9" s="331"/>
    </row>
    <row r="10" spans="1:7" s="583" customFormat="1" ht="12.75">
      <c r="A10" s="904" t="s">
        <v>616</v>
      </c>
      <c r="B10" s="330">
        <f>'Sources and Uses Budget'!C9</f>
        <v>4260000</v>
      </c>
      <c r="C10" s="330">
        <f>'Sources and Uses Budget'!C9</f>
        <v>4260000</v>
      </c>
      <c r="D10" s="330">
        <f>'Sources and Uses Budget'!C9</f>
        <v>4260000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4260000</v>
      </c>
      <c r="C12" s="332">
        <f>SUM(C10:C11)</f>
        <v>4260000</v>
      </c>
      <c r="D12" s="332">
        <f>SUM(D10:D11)</f>
        <v>4260000</v>
      </c>
      <c r="E12" s="332">
        <f t="shared" si="0"/>
        <v>0</v>
      </c>
      <c r="F12" s="331"/>
      <c r="G12" s="331"/>
    </row>
    <row r="13" spans="1:7" s="583" customFormat="1" ht="12.75">
      <c r="A13" s="905" t="s">
        <v>747</v>
      </c>
      <c r="B13" s="332">
        <f>SUM(B9+B12)</f>
        <v>5340000</v>
      </c>
      <c r="C13" s="332">
        <f>SUM(C9+C12)</f>
        <v>5340000</v>
      </c>
      <c r="D13" s="332">
        <f>SUM(D9+D12)</f>
        <v>5340000</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131901</v>
      </c>
      <c r="C18" s="330">
        <f>'Sources and Uses Budget'!C17</f>
        <v>131901</v>
      </c>
      <c r="D18" s="330">
        <f>'Sources and Uses Budget'!C17</f>
        <v>131901</v>
      </c>
      <c r="E18" s="332">
        <f t="shared" si="0"/>
        <v>0</v>
      </c>
      <c r="F18" s="331"/>
      <c r="G18" s="331"/>
    </row>
    <row r="19" spans="1:7" s="583" customFormat="1" ht="12.75">
      <c r="A19" s="239" t="s">
        <v>955</v>
      </c>
      <c r="B19" s="330">
        <f>'Sources and Uses Budget'!C18</f>
        <v>1013830</v>
      </c>
      <c r="C19" s="330">
        <f>'Sources and Uses Budget'!C18</f>
        <v>1013830</v>
      </c>
      <c r="D19" s="330">
        <f>'Sources and Uses Budget'!C18</f>
        <v>1013830</v>
      </c>
      <c r="E19" s="332">
        <f t="shared" ref="E19:E26" si="1">C19-B19</f>
        <v>0</v>
      </c>
      <c r="F19" s="331"/>
      <c r="G19" s="331"/>
    </row>
    <row r="20" spans="1:7" s="583" customFormat="1" ht="12.75">
      <c r="A20" s="239" t="s">
        <v>956</v>
      </c>
      <c r="B20" s="330">
        <f>'Sources and Uses Budget'!C19</f>
        <v>68744</v>
      </c>
      <c r="C20" s="330">
        <f>'Sources and Uses Budget'!C19</f>
        <v>68744</v>
      </c>
      <c r="D20" s="330">
        <f>'Sources and Uses Budget'!C19</f>
        <v>68744</v>
      </c>
      <c r="E20" s="332">
        <f t="shared" si="1"/>
        <v>0</v>
      </c>
      <c r="F20" s="331"/>
      <c r="G20" s="331"/>
    </row>
    <row r="21" spans="1:7" s="583" customFormat="1" ht="12.75">
      <c r="A21" s="239" t="s">
        <v>957</v>
      </c>
      <c r="B21" s="330">
        <f>'Sources and Uses Budget'!C20</f>
        <v>24290</v>
      </c>
      <c r="C21" s="330">
        <f>'Sources and Uses Budget'!C20</f>
        <v>24290</v>
      </c>
      <c r="D21" s="330">
        <f>'Sources and Uses Budget'!C20</f>
        <v>24290</v>
      </c>
      <c r="E21" s="332">
        <f t="shared" si="1"/>
        <v>0</v>
      </c>
      <c r="F21" s="331"/>
      <c r="G21" s="331"/>
    </row>
    <row r="22" spans="1:7" s="583" customFormat="1" ht="12.75">
      <c r="A22" s="239" t="s">
        <v>958</v>
      </c>
      <c r="B22" s="330">
        <f>'Sources and Uses Budget'!C21</f>
        <v>68744</v>
      </c>
      <c r="C22" s="330">
        <f>'Sources and Uses Budget'!C21</f>
        <v>68744</v>
      </c>
      <c r="D22" s="330">
        <f>'Sources and Uses Budget'!C21</f>
        <v>68744</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13075</v>
      </c>
      <c r="C24" s="330">
        <f>'Sources and Uses Budget'!C23</f>
        <v>13075</v>
      </c>
      <c r="D24" s="330">
        <f>'Sources and Uses Budget'!C23</f>
        <v>13075</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15000</v>
      </c>
      <c r="C26" s="330">
        <f>'Sources and Uses Budget'!C25</f>
        <v>15000</v>
      </c>
      <c r="D26" s="330">
        <f>'Sources and Uses Budget'!C25</f>
        <v>15000</v>
      </c>
      <c r="E26" s="332">
        <f t="shared" si="1"/>
        <v>0</v>
      </c>
      <c r="F26" s="331"/>
      <c r="G26" s="331"/>
    </row>
    <row r="27" spans="1:7" s="583" customFormat="1" ht="12.75">
      <c r="A27" s="333" t="s">
        <v>237</v>
      </c>
      <c r="B27" s="914">
        <f>'Sources and Uses Budget'!C26</f>
        <v>1335584</v>
      </c>
      <c r="C27" s="914">
        <f>'Sources and Uses Budget'!C26</f>
        <v>1335584</v>
      </c>
      <c r="D27" s="914">
        <f>'Sources and Uses Budget'!C26</f>
        <v>1335584</v>
      </c>
      <c r="E27" s="332">
        <f>C27-B27</f>
        <v>0</v>
      </c>
      <c r="F27" s="331"/>
      <c r="G27" s="331"/>
    </row>
    <row r="28" spans="1:7" s="583" customFormat="1" ht="12.75">
      <c r="A28" s="907" t="s">
        <v>961</v>
      </c>
      <c r="B28" s="330">
        <f>'Sources and Uses Budget'!C27</f>
        <v>107500</v>
      </c>
      <c r="C28" s="330">
        <f>'Sources and Uses Budget'!C27</f>
        <v>107500</v>
      </c>
      <c r="D28" s="330">
        <f>'Sources and Uses Budget'!C27</f>
        <v>107500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0</v>
      </c>
      <c r="C30" s="330">
        <f>'Sources and Uses Budget'!C29</f>
        <v>0</v>
      </c>
      <c r="D30" s="330">
        <f>'Sources and Uses Budget'!C29</f>
        <v>0</v>
      </c>
      <c r="E30" s="332">
        <f t="shared" si="0"/>
        <v>0</v>
      </c>
      <c r="F30" s="331"/>
      <c r="G30" s="331"/>
    </row>
    <row r="31" spans="1:7" s="583" customFormat="1" ht="12.75">
      <c r="A31" s="239" t="s">
        <v>955</v>
      </c>
      <c r="B31" s="330">
        <f>'Sources and Uses Budget'!C30</f>
        <v>0</v>
      </c>
      <c r="C31" s="330">
        <f>'Sources and Uses Budget'!C30</f>
        <v>0</v>
      </c>
      <c r="D31" s="330">
        <f>'Sources and Uses Budget'!C30</f>
        <v>0</v>
      </c>
      <c r="E31" s="332">
        <f t="shared" si="0"/>
        <v>0</v>
      </c>
      <c r="F31" s="331"/>
      <c r="G31" s="331"/>
    </row>
    <row r="32" spans="1:7" s="583" customFormat="1" ht="12.75">
      <c r="A32" s="239" t="s">
        <v>956</v>
      </c>
      <c r="B32" s="330">
        <f>'Sources and Uses Budget'!C31</f>
        <v>0</v>
      </c>
      <c r="C32" s="330">
        <f>'Sources and Uses Budget'!C31</f>
        <v>0</v>
      </c>
      <c r="D32" s="330">
        <f>'Sources and Uses Budget'!C31</f>
        <v>0</v>
      </c>
      <c r="E32" s="332">
        <f t="shared" si="0"/>
        <v>0</v>
      </c>
      <c r="F32" s="331"/>
      <c r="G32" s="331"/>
    </row>
    <row r="33" spans="1:7" s="583" customFormat="1" ht="12.75">
      <c r="A33" s="239" t="s">
        <v>957</v>
      </c>
      <c r="B33" s="330">
        <f>'Sources and Uses Budget'!C32</f>
        <v>0</v>
      </c>
      <c r="C33" s="330">
        <f>'Sources and Uses Budget'!C32</f>
        <v>0</v>
      </c>
      <c r="D33" s="330">
        <f>'Sources and Uses Budget'!C32</f>
        <v>0</v>
      </c>
      <c r="E33" s="332">
        <f t="shared" si="0"/>
        <v>0</v>
      </c>
      <c r="F33" s="331"/>
      <c r="G33" s="331"/>
    </row>
    <row r="34" spans="1:7" s="583" customFormat="1" ht="12.75">
      <c r="A34" s="239" t="s">
        <v>958</v>
      </c>
      <c r="B34" s="330">
        <f>'Sources and Uses Budget'!C33</f>
        <v>0</v>
      </c>
      <c r="C34" s="330">
        <f>'Sources and Uses Budget'!C33</f>
        <v>0</v>
      </c>
      <c r="D34" s="330">
        <f>'Sources and Uses Budget'!C33</f>
        <v>0</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0</v>
      </c>
      <c r="C39" s="914">
        <f>'Sources and Uses Budget'!C38</f>
        <v>0</v>
      </c>
      <c r="D39" s="914">
        <f>'Sources and Uses Budget'!C38</f>
        <v>0</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21000</v>
      </c>
      <c r="C41" s="330">
        <f>'Sources and Uses Budget'!C40</f>
        <v>21000</v>
      </c>
      <c r="D41" s="330">
        <f>'Sources and Uses Budget'!C40</f>
        <v>21000</v>
      </c>
      <c r="E41" s="332">
        <f>C41-B41</f>
        <v>0</v>
      </c>
      <c r="F41" s="331"/>
      <c r="G41" s="331"/>
    </row>
    <row r="42" spans="1:7" s="583" customFormat="1" ht="12.75">
      <c r="A42" s="908" t="s">
        <v>966</v>
      </c>
      <c r="B42" s="330">
        <f>'Sources and Uses Budget'!C41</f>
        <v>8000</v>
      </c>
      <c r="C42" s="330">
        <f>'Sources and Uses Budget'!C41</f>
        <v>8000</v>
      </c>
      <c r="D42" s="330">
        <f>'Sources and Uses Budget'!C41</f>
        <v>8000</v>
      </c>
      <c r="E42" s="332">
        <f>C42-B42</f>
        <v>0</v>
      </c>
      <c r="F42" s="331"/>
      <c r="G42" s="331"/>
    </row>
    <row r="43" spans="1:7" s="583" customFormat="1" ht="12" customHeight="1">
      <c r="A43" s="907" t="s">
        <v>967</v>
      </c>
      <c r="B43" s="914">
        <f>'Sources and Uses Budget'!C42</f>
        <v>29000</v>
      </c>
      <c r="C43" s="914">
        <f>'Sources and Uses Budget'!C42</f>
        <v>29000</v>
      </c>
      <c r="D43" s="914">
        <f>'Sources and Uses Budget'!C42</f>
        <v>29000</v>
      </c>
      <c r="E43" s="332">
        <f>C43-B43</f>
        <v>0</v>
      </c>
      <c r="F43" s="331"/>
      <c r="G43" s="331"/>
    </row>
    <row r="44" spans="1:7" s="583" customFormat="1" ht="12.75">
      <c r="A44" s="907" t="s">
        <v>968</v>
      </c>
      <c r="B44" s="330">
        <f>'Sources and Uses Budget'!C43</f>
        <v>10000</v>
      </c>
      <c r="C44" s="330">
        <f>'Sources and Uses Budget'!C43</f>
        <v>10000</v>
      </c>
      <c r="D44" s="330">
        <f>'Sources and Uses Budget'!C43</f>
        <v>10000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176313</v>
      </c>
      <c r="C46" s="330">
        <f>'Sources and Uses Budget'!C45</f>
        <v>176313</v>
      </c>
      <c r="D46" s="330">
        <f>'Sources and Uses Budget'!C45</f>
        <v>176313</v>
      </c>
      <c r="E46" s="332">
        <f t="shared" si="0"/>
        <v>0</v>
      </c>
      <c r="F46" s="331"/>
      <c r="G46" s="331"/>
    </row>
    <row r="47" spans="1:7" s="583" customFormat="1" ht="12.75">
      <c r="A47" s="239" t="s">
        <v>971</v>
      </c>
      <c r="B47" s="330">
        <f>'Sources and Uses Budget'!C46</f>
        <v>32550</v>
      </c>
      <c r="C47" s="330">
        <f>'Sources and Uses Budget'!C46</f>
        <v>32550</v>
      </c>
      <c r="D47" s="330">
        <f>'Sources and Uses Budget'!C46</f>
        <v>32550</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13075</v>
      </c>
      <c r="C49" s="330">
        <f>'Sources and Uses Budget'!C48</f>
        <v>13075</v>
      </c>
      <c r="D49" s="330">
        <f>'Sources and Uses Budget'!C48</f>
        <v>13075</v>
      </c>
      <c r="E49" s="332">
        <f t="shared" si="0"/>
        <v>0</v>
      </c>
      <c r="F49" s="331"/>
      <c r="G49" s="331"/>
    </row>
    <row r="50" spans="1:7" s="583" customFormat="1" ht="12.75">
      <c r="A50" s="239" t="s">
        <v>976</v>
      </c>
      <c r="B50" s="330">
        <f>'Sources and Uses Budget'!C49</f>
        <v>75000</v>
      </c>
      <c r="C50" s="330">
        <f>'Sources and Uses Budget'!C49</f>
        <v>75000</v>
      </c>
      <c r="D50" s="330">
        <f>'Sources and Uses Budget'!C49</f>
        <v>75000</v>
      </c>
      <c r="E50" s="332">
        <f t="shared" si="0"/>
        <v>0</v>
      </c>
      <c r="F50" s="331"/>
      <c r="G50" s="331"/>
    </row>
    <row r="51" spans="1:7" s="583" customFormat="1" ht="12.75">
      <c r="A51" s="239" t="s">
        <v>974</v>
      </c>
      <c r="B51" s="330">
        <f>'Sources and Uses Budget'!C50</f>
        <v>0</v>
      </c>
      <c r="C51" s="330">
        <f>'Sources and Uses Budget'!C50</f>
        <v>0</v>
      </c>
      <c r="D51" s="330">
        <f>'Sources and Uses Budget'!C50</f>
        <v>0</v>
      </c>
      <c r="E51" s="332">
        <f t="shared" si="0"/>
        <v>0</v>
      </c>
      <c r="F51" s="331"/>
      <c r="G51" s="331"/>
    </row>
    <row r="52" spans="1:7" s="584" customFormat="1" ht="12.75">
      <c r="A52" s="239" t="s">
        <v>975</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977</v>
      </c>
      <c r="B54" s="914">
        <f>'Sources and Uses Budget'!C53</f>
        <v>296938</v>
      </c>
      <c r="C54" s="914">
        <f>'Sources and Uses Budget'!C53</f>
        <v>296938</v>
      </c>
      <c r="D54" s="914">
        <f>'Sources and Uses Budget'!C53</f>
        <v>296938</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37900</v>
      </c>
      <c r="C56" s="330">
        <f>'Sources and Uses Budget'!C55</f>
        <v>37900</v>
      </c>
      <c r="D56" s="330">
        <f>'Sources and Uses Budget'!C55</f>
        <v>37900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0</v>
      </c>
      <c r="C58" s="330">
        <f>'Sources and Uses Budget'!C57</f>
        <v>0</v>
      </c>
      <c r="D58" s="330">
        <f>'Sources and Uses Budget'!C57</f>
        <v>0</v>
      </c>
      <c r="E58" s="332">
        <f t="shared" si="0"/>
        <v>0</v>
      </c>
      <c r="F58" s="331"/>
      <c r="G58" s="331"/>
    </row>
    <row r="59" spans="1:7" s="583" customFormat="1" ht="12.75">
      <c r="A59" s="908" t="s">
        <v>974</v>
      </c>
      <c r="B59" s="330">
        <f>'Sources and Uses Budget'!C58</f>
        <v>35000</v>
      </c>
      <c r="C59" s="330">
        <f>'Sources and Uses Budget'!C58</f>
        <v>35000</v>
      </c>
      <c r="D59" s="330">
        <f>'Sources and Uses Budget'!C58</f>
        <v>35000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42719</v>
      </c>
      <c r="C61" s="330">
        <f>'Sources and Uses Budget'!C60</f>
        <v>42719</v>
      </c>
      <c r="D61" s="330">
        <f>'Sources and Uses Budget'!C60</f>
        <v>42719</v>
      </c>
      <c r="E61" s="332">
        <f t="shared" si="0"/>
        <v>0</v>
      </c>
      <c r="F61" s="331"/>
      <c r="G61" s="331"/>
    </row>
    <row r="62" spans="1:7" s="583" customFormat="1" ht="12.75">
      <c r="A62" s="907" t="s">
        <v>529</v>
      </c>
      <c r="B62" s="914">
        <f>'Sources and Uses Budget'!C61</f>
        <v>115619</v>
      </c>
      <c r="C62" s="914">
        <f>'Sources and Uses Budget'!C61</f>
        <v>115619</v>
      </c>
      <c r="D62" s="914">
        <f>'Sources and Uses Budget'!C61</f>
        <v>115619</v>
      </c>
      <c r="E62" s="332">
        <f t="shared" si="0"/>
        <v>0</v>
      </c>
      <c r="F62" s="331"/>
      <c r="G62" s="331"/>
    </row>
    <row r="63" spans="1:7" s="583" customFormat="1" ht="12.75">
      <c r="A63" s="910" t="s">
        <v>530</v>
      </c>
      <c r="B63" s="914">
        <f>'Sources and Uses Budget'!C62</f>
        <v>7234641</v>
      </c>
      <c r="C63" s="914">
        <f>'Sources and Uses Budget'!C62</f>
        <v>7234641</v>
      </c>
      <c r="D63" s="914">
        <f>'Sources and Uses Budget'!C62</f>
        <v>7234641</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65000</v>
      </c>
      <c r="C65" s="330">
        <f>'Sources and Uses Budget'!C64</f>
        <v>65000</v>
      </c>
      <c r="D65" s="330">
        <f>'Sources and Uses Budget'!C64</f>
        <v>65000</v>
      </c>
      <c r="E65" s="332">
        <f t="shared" si="0"/>
        <v>0</v>
      </c>
      <c r="F65" s="331"/>
      <c r="G65" s="331"/>
    </row>
    <row r="66" spans="1:7" s="583" customFormat="1" ht="24">
      <c r="A66" s="239" t="s">
        <v>2054</v>
      </c>
      <c r="B66" s="330">
        <f>'Sources and Uses Budget'!C65</f>
        <v>13750</v>
      </c>
      <c r="C66" s="330">
        <f>'Sources and Uses Budget'!C65</f>
        <v>13750</v>
      </c>
      <c r="D66" s="330">
        <f>'Sources and Uses Budget'!C65</f>
        <v>13750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125000</v>
      </c>
      <c r="C69" s="330">
        <f>'Sources and Uses Budget'!C68</f>
        <v>125000</v>
      </c>
      <c r="D69" s="330">
        <f>'Sources and Uses Budget'!C68</f>
        <v>125000</v>
      </c>
      <c r="E69" s="332">
        <f t="shared" si="0"/>
        <v>0</v>
      </c>
      <c r="F69" s="331"/>
      <c r="G69" s="331"/>
    </row>
    <row r="70" spans="1:7" s="583" customFormat="1" ht="12.75">
      <c r="A70" s="243" t="s">
        <v>2057</v>
      </c>
      <c r="B70" s="914">
        <f>'Sources and Uses Budget'!C69</f>
        <v>203750</v>
      </c>
      <c r="C70" s="914">
        <f>'Sources and Uses Budget'!C69</f>
        <v>203750</v>
      </c>
      <c r="D70" s="914">
        <f>'Sources and Uses Budget'!C69</f>
        <v>203750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120000</v>
      </c>
      <c r="C75" s="330">
        <f>'Sources and Uses Budget'!C74</f>
        <v>120000</v>
      </c>
      <c r="D75" s="330">
        <f>'Sources and Uses Budget'!C74</f>
        <v>120000</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120000</v>
      </c>
      <c r="C77" s="914">
        <f>'Sources and Uses Budget'!C76</f>
        <v>120000</v>
      </c>
      <c r="D77" s="914">
        <f>'Sources and Uses Budget'!C76</f>
        <v>120000</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130751</v>
      </c>
      <c r="C79" s="330">
        <f>'Sources and Uses Budget'!C78</f>
        <v>130751</v>
      </c>
      <c r="D79" s="330">
        <f>'Sources and Uses Budget'!C78</f>
        <v>130751</v>
      </c>
      <c r="E79" s="332">
        <f t="shared" ref="E79:E105" si="2">C79-B79</f>
        <v>0</v>
      </c>
      <c r="F79" s="331"/>
      <c r="G79" s="331"/>
    </row>
    <row r="80" spans="1:7" s="583" customFormat="1" ht="12.75">
      <c r="A80" s="908" t="s">
        <v>569</v>
      </c>
      <c r="B80" s="330">
        <f>'Sources and Uses Budget'!C79</f>
        <v>60000</v>
      </c>
      <c r="C80" s="330">
        <f>'Sources and Uses Budget'!C79</f>
        <v>60000</v>
      </c>
      <c r="D80" s="330">
        <f>'Sources and Uses Budget'!C79</f>
        <v>60000</v>
      </c>
      <c r="E80" s="332">
        <f t="shared" si="2"/>
        <v>0</v>
      </c>
      <c r="F80" s="331"/>
      <c r="G80" s="331"/>
    </row>
    <row r="81" spans="1:7" s="583" customFormat="1" ht="12.75">
      <c r="A81" s="907" t="s">
        <v>1819</v>
      </c>
      <c r="B81" s="914">
        <f>'Sources and Uses Budget'!C80</f>
        <v>190751</v>
      </c>
      <c r="C81" s="914">
        <f>'Sources and Uses Budget'!C80</f>
        <v>190751</v>
      </c>
      <c r="D81" s="914">
        <f>'Sources and Uses Budget'!C80</f>
        <v>190751</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9833</v>
      </c>
      <c r="C83" s="330">
        <f>'Sources and Uses Budget'!C82</f>
        <v>9833</v>
      </c>
      <c r="D83" s="330">
        <f>'Sources and Uses Budget'!C82</f>
        <v>9833</v>
      </c>
      <c r="E83" s="332">
        <f t="shared" si="2"/>
        <v>0</v>
      </c>
      <c r="F83" s="331"/>
      <c r="G83" s="331"/>
    </row>
    <row r="84" spans="1:7" s="583" customFormat="1" ht="12.75">
      <c r="A84" s="239" t="s">
        <v>547</v>
      </c>
      <c r="B84" s="330">
        <f>'Sources and Uses Budget'!C83</f>
        <v>60995</v>
      </c>
      <c r="C84" s="330">
        <f>'Sources and Uses Budget'!C83</f>
        <v>60995</v>
      </c>
      <c r="D84" s="330">
        <f>'Sources and Uses Budget'!C83</f>
        <v>60995</v>
      </c>
      <c r="E84" s="332">
        <f t="shared" si="2"/>
        <v>0</v>
      </c>
      <c r="F84" s="331"/>
      <c r="G84" s="331"/>
    </row>
    <row r="85" spans="1:7" s="583" customFormat="1" ht="12.75">
      <c r="A85" s="239" t="s">
        <v>548</v>
      </c>
      <c r="B85" s="330">
        <f>'Sources and Uses Budget'!C84</f>
        <v>0</v>
      </c>
      <c r="C85" s="330">
        <f>'Sources and Uses Budget'!C84</f>
        <v>0</v>
      </c>
      <c r="D85" s="330">
        <f>'Sources and Uses Budget'!C84</f>
        <v>0</v>
      </c>
      <c r="E85" s="332">
        <f t="shared" si="2"/>
        <v>0</v>
      </c>
      <c r="F85" s="331"/>
      <c r="G85" s="331"/>
    </row>
    <row r="86" spans="1:7" s="583" customFormat="1" ht="12.75">
      <c r="A86" s="239" t="s">
        <v>549</v>
      </c>
      <c r="B86" s="330">
        <f>'Sources and Uses Budget'!C85</f>
        <v>70000</v>
      </c>
      <c r="C86" s="330">
        <f>'Sources and Uses Budget'!C85</f>
        <v>70000</v>
      </c>
      <c r="D86" s="330">
        <f>'Sources and Uses Budget'!C85</f>
        <v>70000</v>
      </c>
      <c r="E86" s="332">
        <f t="shared" si="2"/>
        <v>0</v>
      </c>
      <c r="F86" s="331"/>
      <c r="G86" s="331"/>
    </row>
    <row r="87" spans="1:7" s="583" customFormat="1" ht="12.75">
      <c r="A87" s="239" t="s">
        <v>550</v>
      </c>
      <c r="B87" s="330">
        <f>'Sources and Uses Budget'!C86</f>
        <v>25000</v>
      </c>
      <c r="C87" s="330">
        <f>'Sources and Uses Budget'!C86</f>
        <v>25000</v>
      </c>
      <c r="D87" s="330">
        <f>'Sources and Uses Budget'!C86</f>
        <v>25000</v>
      </c>
      <c r="E87" s="332">
        <f t="shared" si="2"/>
        <v>0</v>
      </c>
      <c r="F87" s="331"/>
      <c r="G87" s="331"/>
    </row>
    <row r="88" spans="1:7" s="583" customFormat="1" ht="12.75">
      <c r="A88" s="239" t="s">
        <v>551</v>
      </c>
      <c r="B88" s="330">
        <f>'Sources and Uses Budget'!C87</f>
        <v>0</v>
      </c>
      <c r="C88" s="330">
        <f>'Sources and Uses Budget'!C87</f>
        <v>0</v>
      </c>
      <c r="D88" s="330">
        <f>'Sources and Uses Budget'!C87</f>
        <v>0</v>
      </c>
      <c r="E88" s="332">
        <f t="shared" si="2"/>
        <v>0</v>
      </c>
      <c r="F88" s="331"/>
      <c r="G88" s="331"/>
    </row>
    <row r="89" spans="1:7" s="583" customFormat="1" ht="12.75">
      <c r="A89" s="239" t="s">
        <v>552</v>
      </c>
      <c r="B89" s="330">
        <f>'Sources and Uses Budget'!C88</f>
        <v>0</v>
      </c>
      <c r="C89" s="330">
        <f>'Sources and Uses Budget'!C88</f>
        <v>0</v>
      </c>
      <c r="D89" s="330">
        <f>'Sources and Uses Budget'!C88</f>
        <v>0</v>
      </c>
      <c r="E89" s="332">
        <f t="shared" si="2"/>
        <v>0</v>
      </c>
      <c r="F89" s="331"/>
      <c r="G89" s="331"/>
    </row>
    <row r="90" spans="1:7" s="583" customFormat="1" ht="12.75">
      <c r="A90" s="239" t="s">
        <v>553</v>
      </c>
      <c r="B90" s="330">
        <f>'Sources and Uses Budget'!C89</f>
        <v>7500</v>
      </c>
      <c r="C90" s="330">
        <f>'Sources and Uses Budget'!C89</f>
        <v>7500</v>
      </c>
      <c r="D90" s="330">
        <f>'Sources and Uses Budget'!C89</f>
        <v>7500</v>
      </c>
      <c r="E90" s="332">
        <f t="shared" si="2"/>
        <v>0</v>
      </c>
      <c r="F90" s="331"/>
      <c r="G90" s="331"/>
    </row>
    <row r="91" spans="1:7" s="583" customFormat="1" ht="12.75">
      <c r="A91" s="250" t="s">
        <v>1368</v>
      </c>
      <c r="B91" s="330">
        <f>'Sources and Uses Budget'!C90</f>
        <v>15000</v>
      </c>
      <c r="C91" s="330">
        <f>'Sources and Uses Budget'!C90</f>
        <v>15000</v>
      </c>
      <c r="D91" s="330">
        <f>'Sources and Uses Budget'!C90</f>
        <v>15000</v>
      </c>
      <c r="E91" s="332">
        <f t="shared" si="2"/>
        <v>0</v>
      </c>
      <c r="F91" s="331"/>
      <c r="G91" s="331"/>
    </row>
    <row r="92" spans="1:7" s="583" customFormat="1" ht="12.75">
      <c r="A92" s="250" t="s">
        <v>1817</v>
      </c>
      <c r="B92" s="330">
        <f>'Sources and Uses Budget'!C91</f>
        <v>21000</v>
      </c>
      <c r="C92" s="330">
        <f>'Sources and Uses Budget'!C91</f>
        <v>21000</v>
      </c>
      <c r="D92" s="330">
        <f>'Sources and Uses Budget'!C91</f>
        <v>21000</v>
      </c>
      <c r="E92" s="332">
        <f t="shared" si="2"/>
        <v>0</v>
      </c>
      <c r="F92" s="331"/>
      <c r="G92" s="331"/>
    </row>
    <row r="93" spans="1:7" s="583" customFormat="1" ht="12.75">
      <c r="A93" s="246" t="s">
        <v>564</v>
      </c>
      <c r="B93" s="330">
        <f>'Sources and Uses Budget'!C92</f>
        <v>26300</v>
      </c>
      <c r="C93" s="330">
        <f>'Sources and Uses Budget'!C92</f>
        <v>26300</v>
      </c>
      <c r="D93" s="330">
        <f>'Sources and Uses Budget'!C92</f>
        <v>26300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235628</v>
      </c>
      <c r="C96" s="914">
        <f>'Sources and Uses Budget'!C95</f>
        <v>235628</v>
      </c>
      <c r="D96" s="914">
        <f>'Sources and Uses Budget'!C95</f>
        <v>235628</v>
      </c>
      <c r="E96" s="332">
        <f t="shared" si="2"/>
        <v>0</v>
      </c>
      <c r="F96" s="331"/>
      <c r="G96" s="331"/>
    </row>
    <row r="97" spans="1:7" s="583" customFormat="1" ht="12.75">
      <c r="A97" s="243" t="s">
        <v>555</v>
      </c>
      <c r="B97" s="914">
        <f>'Sources and Uses Budget'!C96</f>
        <v>7984770</v>
      </c>
      <c r="C97" s="914">
        <f>'Sources and Uses Budget'!C96</f>
        <v>7984770</v>
      </c>
      <c r="D97" s="914">
        <f>'Sources and Uses Budget'!C96</f>
        <v>7984770</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519841</v>
      </c>
      <c r="C99" s="330">
        <f>'Sources and Uses Budget'!C98</f>
        <v>519841</v>
      </c>
      <c r="D99" s="330">
        <f>'Sources and Uses Budget'!C98</f>
        <v>519841</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519841</v>
      </c>
      <c r="C104" s="914">
        <f>'Sources and Uses Budget'!C103</f>
        <v>519841</v>
      </c>
      <c r="D104" s="914">
        <f>'Sources and Uses Budget'!C103</f>
        <v>519841</v>
      </c>
      <c r="E104" s="332">
        <f t="shared" si="2"/>
        <v>0</v>
      </c>
      <c r="F104" s="331"/>
      <c r="G104" s="331"/>
    </row>
    <row r="105" spans="1:7" s="583" customFormat="1" ht="12.75">
      <c r="A105" s="907" t="s">
        <v>560</v>
      </c>
      <c r="B105" s="914">
        <f>'Sources and Uses Budget'!C104</f>
        <v>8504611</v>
      </c>
      <c r="C105" s="914">
        <f>'Sources and Uses Budget'!C104</f>
        <v>8504611</v>
      </c>
      <c r="D105" s="914">
        <f>'Sources and Uses Budget'!C104</f>
        <v>8504611</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22" workbookViewId="0">
      <selection activeCell="D1180" sqref="D1180:F118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1" t="s">
        <v>2331</v>
      </c>
      <c r="B2" s="1021"/>
      <c r="C2" s="990"/>
      <c r="D2" s="990"/>
      <c r="E2" s="990"/>
      <c r="F2" s="990"/>
      <c r="G2" s="990"/>
      <c r="I2" t="s">
        <v>84</v>
      </c>
    </row>
    <row r="3" spans="1:9" ht="12.75">
      <c r="A3" s="190"/>
      <c r="B3" s="190"/>
      <c r="C3"/>
      <c r="D3"/>
      <c r="E3"/>
      <c r="F3"/>
      <c r="G3"/>
      <c r="I3" s="5" t="s">
        <v>1456</v>
      </c>
    </row>
    <row r="4" spans="1:9" ht="12.75">
      <c r="A4" s="1022" t="s">
        <v>2263</v>
      </c>
      <c r="B4" s="1022"/>
      <c r="C4" s="1023"/>
      <c r="D4" s="1023"/>
      <c r="E4" s="1023"/>
      <c r="F4" s="1023"/>
      <c r="G4" s="1023"/>
      <c r="I4" s="5" t="s">
        <v>1440</v>
      </c>
    </row>
    <row r="5" spans="1:9" ht="12.75">
      <c r="A5" s="1022" t="s">
        <v>1088</v>
      </c>
      <c r="B5" s="1022"/>
      <c r="C5" s="1023"/>
      <c r="D5" s="1023"/>
      <c r="E5" s="1023"/>
      <c r="F5" s="1023"/>
      <c r="G5" s="1023"/>
      <c r="I5" t="s">
        <v>132</v>
      </c>
    </row>
    <row r="6" spans="1:9" ht="13.7"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3.7"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45" customHeight="1">
      <c r="A16" s="271"/>
      <c r="B16" s="624" t="s">
        <v>132</v>
      </c>
      <c r="C16" s="191"/>
      <c r="D16" s="976" t="s">
        <v>2165</v>
      </c>
      <c r="E16" s="982"/>
      <c r="F16" s="982"/>
      <c r="G16" s="358"/>
    </row>
    <row r="17" spans="1:7" ht="14.4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1440</v>
      </c>
      <c r="D28" s="976" t="s">
        <v>2264</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45" customHeight="1">
      <c r="A34" s="271"/>
      <c r="B34" s="624" t="s">
        <v>132</v>
      </c>
      <c r="D34" s="982" t="s">
        <v>2265</v>
      </c>
      <c r="E34" s="982"/>
      <c r="F34" s="982"/>
    </row>
    <row r="35" spans="1:6" ht="14.25">
      <c r="A35" s="271"/>
      <c r="B35" s="271"/>
      <c r="D35" s="982"/>
      <c r="E35" s="982"/>
      <c r="F35" s="982"/>
    </row>
    <row r="36" spans="1:6" ht="14.25">
      <c r="A36" s="271"/>
      <c r="B36" s="271"/>
      <c r="D36" s="209"/>
      <c r="E36" s="209"/>
      <c r="F36" s="209"/>
    </row>
    <row r="37" spans="1:6" ht="14.25">
      <c r="A37" s="271"/>
      <c r="B37" s="624" t="s">
        <v>1440</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45" customHeight="1">
      <c r="A46" s="271"/>
      <c r="B46" s="624" t="s">
        <v>132</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132</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1440</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132</v>
      </c>
      <c r="D64" s="982" t="s">
        <v>2266</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132</v>
      </c>
      <c r="D73" s="982" t="s">
        <v>1612</v>
      </c>
      <c r="E73" s="982"/>
      <c r="F73" s="982"/>
    </row>
    <row r="74" spans="1:6" ht="12.75">
      <c r="D74" s="982"/>
      <c r="E74" s="982"/>
      <c r="F74" s="982"/>
    </row>
    <row r="75" spans="1:6" ht="12.75">
      <c r="D75" s="982"/>
      <c r="E75" s="982"/>
      <c r="F75" s="982"/>
    </row>
    <row r="76" spans="1:6" ht="12.75"/>
    <row r="77" spans="1:6" ht="14.25">
      <c r="A77" s="271" t="s">
        <v>244</v>
      </c>
      <c r="B77" s="624" t="s">
        <v>132</v>
      </c>
      <c r="D77" s="982" t="s">
        <v>1511</v>
      </c>
      <c r="E77" s="982"/>
      <c r="F77" s="982"/>
    </row>
    <row r="78" spans="1:6" ht="12.75">
      <c r="D78" s="982"/>
      <c r="E78" s="982"/>
      <c r="F78" s="982"/>
    </row>
    <row r="79" spans="1:6" ht="12.75"/>
    <row r="80" spans="1:6" ht="14.25">
      <c r="A80" s="271" t="s">
        <v>244</v>
      </c>
      <c r="B80" s="624" t="s">
        <v>1440</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132</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3.7" customHeight="1">
      <c r="C89" s="605"/>
      <c r="D89" s="1009" t="s">
        <v>1445</v>
      </c>
      <c r="E89" s="1009"/>
      <c r="F89" s="1009"/>
      <c r="G89"/>
    </row>
    <row r="90" spans="1:7" ht="13.7"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4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45" customHeight="1">
      <c r="A101" s="271"/>
      <c r="B101" s="624" t="s">
        <v>132</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1440</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1440</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132</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132</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132</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2267</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132</v>
      </c>
      <c r="D179" s="1005" t="s">
        <v>1810</v>
      </c>
      <c r="E179" s="1006"/>
      <c r="F179" s="1006"/>
    </row>
    <row r="180" spans="1:6" ht="14.25">
      <c r="A180" s="271"/>
      <c r="D180" s="313"/>
      <c r="E180" s="102"/>
      <c r="F180" s="102"/>
    </row>
    <row r="181" spans="1:6" ht="14.25">
      <c r="A181" s="271"/>
      <c r="B181" s="624" t="s">
        <v>132</v>
      </c>
      <c r="D181" s="1006" t="s">
        <v>1620</v>
      </c>
      <c r="E181" s="1006"/>
      <c r="F181" s="1006"/>
    </row>
    <row r="182" spans="1:6" ht="14.25">
      <c r="A182" s="271"/>
      <c r="D182" s="102"/>
      <c r="E182" s="102"/>
      <c r="F182" s="102"/>
    </row>
    <row r="183" spans="1:6" ht="14.25">
      <c r="A183" s="271"/>
      <c r="B183" s="624" t="s">
        <v>132</v>
      </c>
      <c r="D183" s="1042" t="s">
        <v>1890</v>
      </c>
      <c r="E183" s="1042"/>
      <c r="F183" s="1042"/>
    </row>
    <row r="184" spans="1:6" ht="13.7" customHeight="1">
      <c r="A184" s="271"/>
      <c r="D184" s="41" t="s">
        <v>944</v>
      </c>
      <c r="E184" s="976" t="s">
        <v>2262</v>
      </c>
      <c r="F184" s="976"/>
    </row>
    <row r="185" spans="1:6" ht="14.25">
      <c r="A185" s="271"/>
      <c r="D185" s="793"/>
      <c r="E185" s="976"/>
      <c r="F185" s="976"/>
    </row>
    <row r="186" spans="1:6" ht="14.25">
      <c r="A186" s="271"/>
      <c r="D186" s="793"/>
      <c r="E186" s="976"/>
      <c r="F186" s="976"/>
    </row>
    <row r="187" spans="1:6" ht="14.25">
      <c r="A187" s="271"/>
      <c r="D187"/>
      <c r="E187" s="976"/>
      <c r="F187" s="976"/>
    </row>
    <row r="188" spans="1:6" ht="13.7" customHeight="1">
      <c r="A188" s="271"/>
      <c r="D188" s="793" t="s">
        <v>945</v>
      </c>
      <c r="E188" s="976" t="s">
        <v>1891</v>
      </c>
      <c r="F188" s="976"/>
    </row>
    <row r="189" spans="1:6" ht="13.7" customHeight="1">
      <c r="A189" s="271"/>
      <c r="D189" s="793"/>
      <c r="E189" s="976"/>
      <c r="F189" s="976"/>
    </row>
    <row r="190" spans="1:6" ht="13.7" customHeight="1">
      <c r="A190" s="271"/>
      <c r="D190" s="793"/>
      <c r="E190" s="976"/>
      <c r="F190" s="976"/>
    </row>
    <row r="191" spans="1:6" ht="13.7" customHeight="1">
      <c r="A191" s="271"/>
      <c r="D191" s="793"/>
      <c r="E191" s="976"/>
      <c r="F191" s="976"/>
    </row>
    <row r="192" spans="1:6" ht="13.7"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132</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2355</v>
      </c>
      <c r="E200" s="1041"/>
      <c r="F200" s="1041"/>
    </row>
    <row r="201" spans="1:7" ht="12.75">
      <c r="D201" s="640"/>
      <c r="E201" s="640"/>
      <c r="F201" s="640"/>
    </row>
    <row r="202" spans="1:7" ht="14.25">
      <c r="A202" s="271"/>
      <c r="B202" s="624" t="s">
        <v>132</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2268</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45" customHeight="1">
      <c r="A222" s="271"/>
      <c r="B222" s="624" t="s">
        <v>132</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132</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1440</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45" customHeight="1">
      <c r="A265" s="271"/>
      <c r="B265" s="624" t="s">
        <v>1440</v>
      </c>
      <c r="C265" s="900"/>
      <c r="D265" s="1017" t="s">
        <v>2108</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45" customHeight="1">
      <c r="A268" s="271"/>
      <c r="B268" s="901"/>
      <c r="C268" s="900"/>
      <c r="D268" s="1017"/>
      <c r="E268" s="1017"/>
      <c r="F268" s="1017"/>
      <c r="G268"/>
    </row>
    <row r="269" spans="1:7" ht="14.25">
      <c r="A269" s="271"/>
      <c r="B269" s="901"/>
      <c r="C269" s="900"/>
      <c r="D269" s="902"/>
      <c r="E269" s="902"/>
      <c r="F269" s="902"/>
      <c r="G269"/>
    </row>
    <row r="270" spans="1:7" ht="14.25">
      <c r="A270" s="271"/>
      <c r="B270" s="624" t="s">
        <v>1440</v>
      </c>
      <c r="C270" s="900"/>
      <c r="D270" s="1017" t="s">
        <v>2109</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4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7"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45" customHeight="1">
      <c r="A299" s="271"/>
      <c r="B299" s="624" t="s">
        <v>132</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4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45" customHeight="1">
      <c r="A316" s="271"/>
      <c r="B316" s="624" t="s">
        <v>1440</v>
      </c>
      <c r="D316" s="982" t="s">
        <v>1636</v>
      </c>
      <c r="E316" s="982"/>
      <c r="F316" s="982"/>
    </row>
    <row r="317" spans="1:7" ht="14.25">
      <c r="A317" s="271"/>
      <c r="B317" s="271"/>
      <c r="D317" s="982"/>
      <c r="E317" s="982"/>
      <c r="F317" s="982"/>
    </row>
    <row r="318" spans="1:7" ht="12.75"/>
    <row r="319" spans="1:7" ht="14.45" customHeight="1">
      <c r="A319" s="271"/>
      <c r="B319" s="624" t="s">
        <v>1440</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1440</v>
      </c>
      <c r="D331" s="1002" t="s">
        <v>1639</v>
      </c>
      <c r="E331" s="1002"/>
      <c r="F331" s="1002"/>
      <c r="G331"/>
    </row>
    <row r="332" spans="1:7" ht="14.25">
      <c r="A332" s="271"/>
      <c r="B332" s="271"/>
      <c r="D332" s="431"/>
      <c r="G332"/>
    </row>
    <row r="333" spans="1:7" ht="14.25">
      <c r="A333" s="271"/>
      <c r="B333" s="624" t="s">
        <v>1440</v>
      </c>
      <c r="D333" s="1002" t="s">
        <v>1640</v>
      </c>
      <c r="E333" s="1002"/>
      <c r="F333" s="1002"/>
      <c r="G333"/>
    </row>
    <row r="334" spans="1:7" ht="12.75">
      <c r="G334"/>
    </row>
    <row r="335" spans="1:7" ht="14.45" customHeight="1">
      <c r="A335" s="271"/>
      <c r="B335" s="624" t="s">
        <v>1440</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45" customHeight="1">
      <c r="A351" s="271"/>
      <c r="B351" s="624" t="s">
        <v>1440</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1440</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2269</v>
      </c>
      <c r="E371" s="1012"/>
      <c r="F371" s="1012"/>
    </row>
    <row r="372" spans="1:6" ht="14.25">
      <c r="A372" s="271"/>
      <c r="B372" s="271"/>
      <c r="C372" s="365"/>
      <c r="D372" s="431"/>
    </row>
    <row r="373" spans="1:6" ht="14.25">
      <c r="A373" s="271"/>
      <c r="B373" s="624" t="s">
        <v>132</v>
      </c>
      <c r="C373" s="365"/>
      <c r="D373" s="977" t="s">
        <v>2270</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3.7" customHeight="1">
      <c r="A398" s="365"/>
      <c r="B398" s="365"/>
      <c r="C398" s="365"/>
      <c r="D398" s="1000" t="s">
        <v>1647</v>
      </c>
      <c r="E398" s="1000"/>
      <c r="F398" s="1000"/>
    </row>
    <row r="399" spans="1:6" ht="13.7" customHeight="1">
      <c r="A399" s="365"/>
      <c r="B399" s="365"/>
      <c r="C399" s="365"/>
      <c r="D399" s="1000"/>
      <c r="E399" s="1000"/>
      <c r="F399" s="1000"/>
    </row>
    <row r="400" spans="1:6" ht="13.7" customHeight="1">
      <c r="A400" s="365"/>
      <c r="B400" s="365"/>
      <c r="C400" s="365"/>
      <c r="D400" s="1000"/>
      <c r="E400" s="1000"/>
      <c r="F400" s="1000"/>
    </row>
    <row r="401" spans="1:6" ht="13.7" customHeight="1">
      <c r="A401" s="365"/>
      <c r="B401" s="365"/>
      <c r="C401" s="365"/>
      <c r="D401" s="1000"/>
      <c r="E401" s="1000"/>
      <c r="F401" s="1000"/>
    </row>
    <row r="402" spans="1:6" ht="13.7" customHeight="1">
      <c r="A402" s="365"/>
      <c r="B402" s="365"/>
      <c r="C402" s="365"/>
      <c r="D402" s="1000"/>
      <c r="E402" s="1000"/>
      <c r="F402" s="1000"/>
    </row>
    <row r="403" spans="1:6" ht="13.7" customHeight="1">
      <c r="A403" s="365"/>
      <c r="B403" s="365"/>
      <c r="C403" s="365"/>
      <c r="D403" s="1000"/>
      <c r="E403" s="1000"/>
      <c r="F403" s="1000"/>
    </row>
    <row r="404" spans="1:6" ht="13.7" customHeight="1">
      <c r="A404" s="365"/>
      <c r="B404" s="365"/>
      <c r="C404" s="365"/>
      <c r="D404" s="1000"/>
      <c r="E404" s="1000"/>
      <c r="F404" s="1000"/>
    </row>
    <row r="405" spans="1:6" ht="13.7" customHeight="1">
      <c r="A405" s="365"/>
      <c r="B405" s="365"/>
      <c r="C405" s="365"/>
      <c r="D405" s="1000"/>
      <c r="E405" s="1000"/>
      <c r="F405" s="1000"/>
    </row>
    <row r="406" spans="1:6" ht="13.7" customHeight="1">
      <c r="A406" s="365"/>
      <c r="B406" s="365"/>
      <c r="C406" s="365"/>
      <c r="D406" s="1000"/>
      <c r="E406" s="1000"/>
      <c r="F406" s="1000"/>
    </row>
    <row r="407" spans="1:6" ht="13.7" customHeight="1">
      <c r="A407" s="365"/>
      <c r="B407" s="365"/>
      <c r="C407" s="365"/>
      <c r="D407" s="1000"/>
      <c r="E407" s="1000"/>
      <c r="F407" s="1000"/>
    </row>
    <row r="408" spans="1:6" ht="13.7" customHeight="1">
      <c r="A408" s="365"/>
      <c r="B408" s="365"/>
      <c r="C408" s="365"/>
      <c r="D408" s="1000"/>
      <c r="E408" s="1000"/>
      <c r="F408" s="1000"/>
    </row>
    <row r="409" spans="1:6" ht="13.7" customHeight="1">
      <c r="A409" s="365"/>
      <c r="B409" s="365"/>
      <c r="C409" s="365"/>
      <c r="D409" s="1000"/>
      <c r="E409" s="1000"/>
      <c r="F409" s="1000"/>
    </row>
    <row r="410" spans="1:6" ht="13.7" customHeight="1">
      <c r="A410" s="365"/>
      <c r="B410" s="365"/>
      <c r="C410" s="365"/>
      <c r="D410" s="1000"/>
      <c r="E410" s="1000"/>
      <c r="F410" s="1000"/>
    </row>
    <row r="411" spans="1:6" ht="13.7" customHeight="1">
      <c r="A411" s="365"/>
      <c r="B411" s="365"/>
      <c r="C411" s="365"/>
      <c r="D411" s="1000"/>
      <c r="E411" s="1000"/>
      <c r="F411" s="1000"/>
    </row>
    <row r="412" spans="1:6" ht="13.7" customHeight="1">
      <c r="A412" s="365"/>
      <c r="B412" s="365"/>
      <c r="C412" s="365"/>
      <c r="D412" s="1000"/>
      <c r="E412" s="1000"/>
      <c r="F412" s="1000"/>
    </row>
    <row r="413" spans="1:6" ht="13.7" customHeight="1">
      <c r="A413" s="365"/>
      <c r="B413" s="365"/>
      <c r="C413" s="365"/>
      <c r="D413" s="1000"/>
      <c r="E413" s="1000"/>
      <c r="F413" s="1000"/>
    </row>
    <row r="414" spans="1:6" ht="13.7" customHeight="1">
      <c r="A414" s="365"/>
      <c r="B414" s="365"/>
      <c r="C414" s="365"/>
      <c r="D414" s="1000"/>
      <c r="E414" s="1000"/>
      <c r="F414" s="1000"/>
    </row>
    <row r="415" spans="1:6" ht="13.7" customHeight="1">
      <c r="A415" s="365"/>
      <c r="B415" s="365"/>
      <c r="C415" s="365"/>
      <c r="D415" s="1000"/>
      <c r="E415" s="1000"/>
      <c r="F415" s="1000"/>
    </row>
    <row r="416" spans="1:6" ht="12.75">
      <c r="A416" s="365"/>
      <c r="B416" s="365"/>
      <c r="C416" s="365"/>
      <c r="D416" s="431"/>
    </row>
    <row r="417" spans="1:6" ht="13.7"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4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45" customHeight="1">
      <c r="A432" s="271"/>
      <c r="B432" s="624" t="s">
        <v>132</v>
      </c>
      <c r="C432" s="207"/>
      <c r="D432" s="982" t="s">
        <v>2271</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8" t="s">
        <v>2180</v>
      </c>
      <c r="F465" s="948"/>
    </row>
    <row r="466" spans="1:6" ht="13.7" customHeight="1">
      <c r="D466" s="976" t="s">
        <v>1948</v>
      </c>
      <c r="E466" s="982"/>
      <c r="F466" s="982"/>
    </row>
    <row r="467" spans="1:6" ht="13.7" customHeight="1">
      <c r="D467" s="982"/>
      <c r="E467" s="982"/>
      <c r="F467" s="982"/>
    </row>
    <row r="468" spans="1:6" ht="12.75">
      <c r="D468" s="44"/>
    </row>
    <row r="469" spans="1:6" ht="14.4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3.7"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1440</v>
      </c>
      <c r="D504" s="1000" t="s">
        <v>1651</v>
      </c>
      <c r="E504" s="1000"/>
      <c r="F504" s="1000"/>
    </row>
    <row r="505" spans="1:7" ht="14.25">
      <c r="A505" s="271"/>
      <c r="B505" s="271"/>
      <c r="D505" s="1000"/>
      <c r="E505" s="1000"/>
      <c r="F505" s="1000"/>
    </row>
    <row r="506" spans="1:7" ht="14.25">
      <c r="A506" s="271"/>
      <c r="B506" s="271"/>
      <c r="D506" s="44"/>
    </row>
    <row r="507" spans="1:7" ht="14.25">
      <c r="A507" s="271"/>
      <c r="B507" s="624" t="s">
        <v>1440</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1440</v>
      </c>
      <c r="D512" s="1002" t="s">
        <v>1653</v>
      </c>
      <c r="E512" s="1002"/>
      <c r="F512" s="1002"/>
      <c r="G512"/>
    </row>
    <row r="513" spans="1:7" ht="12.75">
      <c r="D513" s="44"/>
      <c r="G513"/>
    </row>
    <row r="514" spans="1:7" ht="14.25">
      <c r="A514" s="271"/>
      <c r="B514" s="624" t="s">
        <v>1440</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2272</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1440</v>
      </c>
      <c r="C529" s="191"/>
      <c r="D529" s="949" t="s">
        <v>2182</v>
      </c>
      <c r="E529" s="950"/>
      <c r="G529"/>
    </row>
    <row r="530" spans="1:7" ht="12.75">
      <c r="A530" s="191"/>
      <c r="B530" s="191"/>
      <c r="C530" s="191"/>
      <c r="D530" s="950"/>
      <c r="E530" s="104" t="s">
        <v>2183</v>
      </c>
      <c r="G530"/>
    </row>
    <row r="531" spans="1:7" ht="14.25">
      <c r="A531" s="271"/>
      <c r="B531"/>
      <c r="D531" s="1000" t="s">
        <v>2273</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4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4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132</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51"/>
      <c r="E573" s="104" t="s">
        <v>2185</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3.7"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45" customHeight="1">
      <c r="A589" s="271"/>
      <c r="B589" s="624" t="s">
        <v>1440</v>
      </c>
      <c r="C589" s="207"/>
      <c r="D589" s="982" t="s">
        <v>2274</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45" customHeight="1">
      <c r="A604" s="271"/>
      <c r="B604" s="624" t="s">
        <v>1440</v>
      </c>
      <c r="D604" s="1010" t="s">
        <v>2275</v>
      </c>
      <c r="E604" s="1010"/>
      <c r="F604" s="1010"/>
    </row>
    <row r="605" spans="1:7" ht="14.4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2276</v>
      </c>
      <c r="E613" s="1010"/>
      <c r="F613" s="1010"/>
    </row>
    <row r="614" spans="1:7" ht="14.25">
      <c r="A614" s="271"/>
      <c r="B614" s="271"/>
      <c r="D614" s="1010"/>
      <c r="E614" s="1010"/>
      <c r="F614" s="1010"/>
    </row>
    <row r="615" spans="1:7" ht="14.25">
      <c r="A615" s="271"/>
      <c r="B615" s="271"/>
      <c r="D615" s="375"/>
    </row>
    <row r="616" spans="1:7" ht="14.4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1440</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3"/>
      <c r="E628" s="947" t="s">
        <v>2186</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132</v>
      </c>
      <c r="D638" s="982" t="s">
        <v>1627</v>
      </c>
      <c r="E638" s="982"/>
      <c r="F638" s="982"/>
    </row>
    <row r="639" spans="1:7" ht="14.25">
      <c r="A639" s="271"/>
      <c r="B639" s="271"/>
      <c r="D639" s="982"/>
      <c r="E639" s="982"/>
      <c r="F639" s="982"/>
    </row>
    <row r="640" spans="1:7" ht="14.25">
      <c r="A640" s="271"/>
      <c r="B640" s="271"/>
      <c r="D640" s="44"/>
    </row>
    <row r="641" spans="1:7" ht="14.25">
      <c r="A641" s="271"/>
      <c r="B641" s="624" t="s">
        <v>1440</v>
      </c>
      <c r="D641" s="976" t="s">
        <v>2017</v>
      </c>
      <c r="E641" s="976"/>
      <c r="F641" s="976"/>
    </row>
    <row r="642" spans="1:7" ht="13.7" customHeight="1">
      <c r="D642" s="976"/>
      <c r="E642" s="976"/>
      <c r="F642" s="976"/>
    </row>
    <row r="643" spans="1:7" ht="12.75"/>
    <row r="644" spans="1:7" ht="14.25">
      <c r="A644" s="271"/>
      <c r="B644" s="624" t="s">
        <v>132</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2277</v>
      </c>
      <c r="E650" s="997"/>
      <c r="F650" s="997"/>
    </row>
    <row r="651" spans="1:7" ht="14.25">
      <c r="A651" s="271"/>
      <c r="B651" s="271"/>
      <c r="D651" s="997"/>
      <c r="E651" s="997"/>
      <c r="F651" s="997"/>
    </row>
    <row r="652" spans="1:7" ht="12.75">
      <c r="D652" s="953"/>
      <c r="E652" s="947" t="s">
        <v>2189</v>
      </c>
      <c r="F652" s="953"/>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3.7"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45" customHeight="1">
      <c r="A670" s="271"/>
      <c r="B670" s="624" t="s">
        <v>1440</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2278</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132</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82" t="s">
        <v>2279</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132</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132</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132</v>
      </c>
      <c r="C711" s="191"/>
      <c r="D711" s="976" t="s">
        <v>1809</v>
      </c>
      <c r="E711" s="982"/>
      <c r="F711" s="982"/>
    </row>
    <row r="712" spans="1:6" ht="12.75">
      <c r="A712" s="191"/>
      <c r="B712" s="191"/>
      <c r="C712" s="191"/>
      <c r="D712" s="982"/>
      <c r="E712" s="982"/>
      <c r="F712" s="982"/>
    </row>
    <row r="713" spans="1:6" ht="12.75">
      <c r="A713" s="191"/>
      <c r="B713" s="191"/>
      <c r="C713" s="191"/>
    </row>
    <row r="714" spans="1:6" ht="14.4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132</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132</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4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4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132</v>
      </c>
      <c r="C747" s="191"/>
      <c r="D747" s="982" t="s">
        <v>2280</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132</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1440</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3.7"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3.7"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1440</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2348</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4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132</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2281</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45" customHeight="1">
      <c r="B893" s="580"/>
      <c r="D893" s="1050"/>
      <c r="E893" s="1050"/>
      <c r="F893" s="1050"/>
      <c r="G893" s="188"/>
      <c r="H893" s="267"/>
      <c r="I893" s="267"/>
    </row>
    <row r="894" spans="1:9" ht="14.25">
      <c r="A894" s="271"/>
      <c r="B894"/>
      <c r="D894" s="982" t="s">
        <v>2281</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3.7"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45" customHeight="1">
      <c r="A960" s="271"/>
      <c r="B960" s="624" t="s">
        <v>1440</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2282</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2283</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1440</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1440</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1440</v>
      </c>
      <c r="C1066" s="207"/>
      <c r="D1066" s="976" t="s">
        <v>2335</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2336</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2284</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132</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1440</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4" customHeight="1">
      <c r="A1121" s="207"/>
      <c r="B1121" s="624" t="s">
        <v>132</v>
      </c>
      <c r="C1121" s="207"/>
      <c r="D1121" s="1038" t="s">
        <v>1850</v>
      </c>
      <c r="E1121" s="1036"/>
      <c r="F1121" s="1036"/>
      <c r="G1121" s="188"/>
    </row>
    <row r="1122" spans="1:7" ht="12.4"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1440</v>
      </c>
      <c r="D1127" s="982" t="s">
        <v>1737</v>
      </c>
      <c r="E1127" s="982"/>
      <c r="F1127" s="982"/>
    </row>
    <row r="1128" spans="1:7" ht="12.75">
      <c r="D1128" s="982"/>
      <c r="E1128" s="982"/>
      <c r="F1128" s="982"/>
    </row>
    <row r="1129" spans="1:7" ht="12.75"/>
    <row r="1130" spans="1:7" ht="14.25">
      <c r="A1130" s="271"/>
      <c r="B1130" s="624" t="s">
        <v>132</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132</v>
      </c>
      <c r="D1135" s="1002" t="s">
        <v>1739</v>
      </c>
      <c r="E1135" s="1002"/>
      <c r="F1135" s="1002"/>
    </row>
    <row r="1136" spans="1:7" ht="12.75"/>
    <row r="1137" spans="1:7" ht="14.25">
      <c r="A1137" s="271"/>
      <c r="B1137" s="624" t="s">
        <v>132</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45" customHeight="1">
      <c r="A1142" s="271"/>
      <c r="B1142" s="624" t="s">
        <v>132</v>
      </c>
      <c r="D1142" s="976" t="s">
        <v>2337</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3.7" customHeight="1">
      <c r="B1162" s="624" t="s">
        <v>1440</v>
      </c>
      <c r="D1162" s="999" t="s">
        <v>2194</v>
      </c>
      <c r="E1162" s="999"/>
      <c r="F1162" s="999"/>
      <c r="G1162"/>
    </row>
    <row r="1163" spans="1:7" ht="12.75">
      <c r="D1163" s="999"/>
      <c r="E1163" s="999"/>
      <c r="F1163" s="999"/>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132</v>
      </c>
      <c r="D1178" s="1002" t="s">
        <v>1742</v>
      </c>
      <c r="E1178" s="1002"/>
      <c r="F1178" s="1002"/>
      <c r="G1178"/>
    </row>
    <row r="1179" spans="1:7" ht="12.75">
      <c r="G1179"/>
    </row>
    <row r="1180" spans="1:7" ht="14.25">
      <c r="A1180" s="271"/>
      <c r="B1180" s="624" t="s">
        <v>132</v>
      </c>
      <c r="D1180" s="1002" t="s">
        <v>1743</v>
      </c>
      <c r="E1180" s="1002"/>
      <c r="F1180" s="1002"/>
      <c r="G1180"/>
    </row>
    <row r="1181" spans="1:7" ht="12.75">
      <c r="D1181" s="44"/>
      <c r="G1181"/>
    </row>
    <row r="1182" spans="1:7" ht="14.25">
      <c r="A1182" s="271"/>
      <c r="B1182" s="624" t="s">
        <v>1440</v>
      </c>
      <c r="D1182" s="1002" t="s">
        <v>1744</v>
      </c>
      <c r="E1182" s="1002"/>
      <c r="F1182" s="1002"/>
      <c r="G1182"/>
    </row>
    <row r="1183" spans="1:7" ht="12.75">
      <c r="D1183" s="44"/>
      <c r="G1183"/>
    </row>
    <row r="1184" spans="1:7" ht="14.25">
      <c r="A1184" s="271"/>
      <c r="B1184" s="624" t="s">
        <v>1440</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132</v>
      </c>
      <c r="D1192" s="1002" t="s">
        <v>1748</v>
      </c>
      <c r="E1192" s="1002"/>
      <c r="F1192" s="1002"/>
    </row>
    <row r="1193" spans="1:7" ht="14.25">
      <c r="A1193" s="271"/>
      <c r="B1193" s="271"/>
      <c r="D1193" s="44"/>
    </row>
    <row r="1194" spans="1:7" ht="14.25">
      <c r="A1194" s="271"/>
      <c r="B1194" s="624" t="s">
        <v>132</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132</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132</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3.7"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4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661" zoomScaleNormal="100" workbookViewId="0">
      <selection activeCell="M25" sqref="M25:Q2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2.95" customHeight="1">
      <c r="A10" s="1414" t="s">
        <v>2356</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2.95" customHeight="1">
      <c r="A11" s="1415" t="s">
        <v>2339</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2.9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2.9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85" t="s">
        <v>2359</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2.95" customHeight="1"/>
    <row r="17" spans="1:40" ht="12.95" customHeight="1">
      <c r="A17" s="63" t="s">
        <v>831</v>
      </c>
      <c r="C17" s="5"/>
      <c r="D17" s="5"/>
      <c r="E17" s="5"/>
      <c r="F17" s="5"/>
      <c r="G17" s="5"/>
      <c r="H17" s="1288" t="s">
        <v>2360</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17" t="s">
        <v>1405</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2">
        <f>ROUND('Basis &amp; Credits'!AB55,0)</f>
        <v>391372</v>
      </c>
      <c r="N25" s="1392"/>
      <c r="O25" s="1392"/>
      <c r="P25" s="1392"/>
      <c r="Q25" s="1392"/>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2">
        <f>'Basis &amp; Credits'!AB76</f>
        <v>1289321</v>
      </c>
      <c r="N27" s="1392"/>
      <c r="O27" s="1392"/>
      <c r="P27" s="1392"/>
      <c r="Q27" s="1392"/>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8" t="s">
        <v>511</v>
      </c>
      <c r="P33" s="1118"/>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0">
        <v>3</v>
      </c>
      <c r="H128" s="1120"/>
      <c r="I128" s="41" t="s">
        <v>441</v>
      </c>
      <c r="J128" s="41"/>
      <c r="L128" s="1302" t="s">
        <v>2552</v>
      </c>
      <c r="M128" s="1303"/>
      <c r="N128" s="1303"/>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3"/>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8" t="s">
        <v>2547</v>
      </c>
      <c r="Z131" s="1119"/>
      <c r="AA131" s="1119"/>
      <c r="AB131" s="1119"/>
      <c r="AC131" s="1119"/>
      <c r="AD131" s="1119"/>
      <c r="AE131" s="1119"/>
      <c r="AF131" s="1119"/>
      <c r="AG131" s="1119"/>
      <c r="AH131" s="1119"/>
      <c r="AI131" s="1119"/>
      <c r="AJ131" s="1119"/>
      <c r="AK131" s="1119"/>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8" t="s">
        <v>2548</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288" t="s">
        <v>2361</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2.95" customHeight="1">
      <c r="D157" s="340" t="s">
        <v>574</v>
      </c>
      <c r="O157" s="1142" t="s">
        <v>2362</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2.95"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2.95" customHeight="1">
      <c r="D159" t="s">
        <v>683</v>
      </c>
      <c r="O159" s="1288" t="s">
        <v>2363</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2.95" customHeight="1">
      <c r="D160" t="s">
        <v>684</v>
      </c>
      <c r="O160" s="1288" t="s">
        <v>2364</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2.95" customHeight="1">
      <c r="D161" t="s">
        <v>685</v>
      </c>
      <c r="O161" s="1306">
        <v>91206</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292">
        <v>8185482060</v>
      </c>
      <c r="P162" s="1292"/>
      <c r="Q162" s="1292"/>
      <c r="R162" s="1292"/>
      <c r="S162" s="1292"/>
      <c r="T162" s="1292"/>
      <c r="V162" s="179" t="s">
        <v>12</v>
      </c>
      <c r="W162" s="1307"/>
      <c r="X162" s="1307"/>
      <c r="Y162" s="14"/>
      <c r="Z162" s="14"/>
      <c r="AA162" s="14"/>
      <c r="AB162" s="14"/>
      <c r="AC162" s="14"/>
      <c r="AD162" s="14"/>
      <c r="AE162" s="14"/>
      <c r="AF162" s="14"/>
      <c r="BJ162" t="s">
        <v>116</v>
      </c>
      <c r="BN162" s="30" t="s">
        <v>82</v>
      </c>
      <c r="BT162" t="s">
        <v>416</v>
      </c>
    </row>
    <row r="163" spans="1:72" ht="12.95" customHeight="1">
      <c r="D163" t="s">
        <v>687</v>
      </c>
      <c r="O163" s="1292">
        <v>8185483724</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5" customHeight="1">
      <c r="D164" t="s">
        <v>688</v>
      </c>
      <c r="O164" s="1141" t="s">
        <v>2365</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5"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2.95" customHeight="1">
      <c r="C174" s="31"/>
      <c r="D174" t="s">
        <v>467</v>
      </c>
      <c r="U174" s="1118" t="s">
        <v>116</v>
      </c>
      <c r="V174" s="1118"/>
      <c r="BN174" s="30" t="s">
        <v>630</v>
      </c>
      <c r="BT174" t="s">
        <v>428</v>
      </c>
    </row>
    <row r="175" spans="1:72" ht="12.95" customHeight="1">
      <c r="C175" s="12"/>
      <c r="D175" s="33"/>
      <c r="E175" t="s">
        <v>245</v>
      </c>
      <c r="O175" s="34"/>
      <c r="P175" t="s">
        <v>2229</v>
      </c>
      <c r="T175" s="34" t="s">
        <v>246</v>
      </c>
      <c r="U175" s="1094">
        <v>22</v>
      </c>
      <c r="V175" s="1094"/>
      <c r="W175" s="1" t="s">
        <v>247</v>
      </c>
      <c r="X175" s="1304">
        <v>44</v>
      </c>
      <c r="Y175" s="1304"/>
      <c r="BN175" s="30" t="s">
        <v>631</v>
      </c>
      <c r="BT175" t="s">
        <v>429</v>
      </c>
    </row>
    <row r="176" spans="1:72" ht="12.95" customHeight="1">
      <c r="C176" s="31"/>
      <c r="D176" t="s">
        <v>294</v>
      </c>
      <c r="U176" s="1118" t="s">
        <v>511</v>
      </c>
      <c r="V176" s="1118"/>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05"/>
      <c r="K178" s="1405"/>
      <c r="L178" s="374" t="s">
        <v>247</v>
      </c>
      <c r="M178" s="1121"/>
      <c r="N178" s="1121"/>
      <c r="O178" s="365"/>
      <c r="P178" s="365"/>
      <c r="Q178" s="365"/>
      <c r="R178" s="365"/>
      <c r="U178" s="365" t="s">
        <v>1286</v>
      </c>
      <c r="V178" s="365"/>
      <c r="W178" s="365"/>
      <c r="X178" s="365"/>
      <c r="Y178" s="365"/>
      <c r="Z178" s="365"/>
      <c r="AA178" s="365"/>
      <c r="AB178" s="365"/>
      <c r="AD178" s="1406"/>
      <c r="AE178" s="1406"/>
      <c r="AF178" s="1406"/>
      <c r="AG178" s="1406"/>
      <c r="AH178" s="1406"/>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118" t="s">
        <v>511</v>
      </c>
      <c r="Z180" s="1295"/>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9" t="str">
        <f>H17</f>
        <v>Palmer Park Manor</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2.95" customHeight="1">
      <c r="C185" s="29"/>
      <c r="D185" t="s">
        <v>458</v>
      </c>
      <c r="I185" s="1142" t="s">
        <v>2366</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2.95" customHeight="1">
      <c r="C186" s="29"/>
      <c r="E186" t="s">
        <v>66</v>
      </c>
      <c r="BN186" s="30" t="s">
        <v>607</v>
      </c>
      <c r="BT186" t="s">
        <v>881</v>
      </c>
    </row>
    <row r="187" spans="1:72" ht="12.95"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2.95"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2.95" customHeight="1">
      <c r="C189" s="29"/>
      <c r="D189" t="s">
        <v>459</v>
      </c>
      <c r="I189" s="1288" t="s">
        <v>2367</v>
      </c>
      <c r="J189" s="1091"/>
      <c r="K189" s="1091"/>
      <c r="L189" s="1091"/>
      <c r="M189" s="1091"/>
      <c r="N189" s="1091"/>
      <c r="O189" s="1091"/>
      <c r="P189" s="1091"/>
      <c r="Q189" t="s">
        <v>461</v>
      </c>
      <c r="T189" s="1288" t="s">
        <v>429</v>
      </c>
      <c r="U189" s="1091"/>
      <c r="V189" s="1091"/>
      <c r="W189" s="1091"/>
      <c r="X189" s="1091"/>
      <c r="Y189" s="1091"/>
      <c r="Z189" s="1091"/>
      <c r="AA189" s="1091"/>
      <c r="AB189" s="1091"/>
      <c r="AC189" s="1091"/>
      <c r="AD189" s="1091"/>
      <c r="AE189" s="1091"/>
      <c r="BC189" t="s">
        <v>84</v>
      </c>
      <c r="BH189" s="41" t="s">
        <v>132</v>
      </c>
      <c r="BN189" s="30" t="s">
        <v>611</v>
      </c>
      <c r="BT189" t="s">
        <v>117</v>
      </c>
    </row>
    <row r="190" spans="1:72" ht="12.95" customHeight="1">
      <c r="C190" s="29"/>
      <c r="D190" t="s">
        <v>462</v>
      </c>
      <c r="I190" s="1092">
        <v>91205</v>
      </c>
      <c r="J190" s="1092"/>
      <c r="K190" s="1092"/>
      <c r="L190" s="1092"/>
      <c r="M190" s="1092"/>
      <c r="N190" s="1092"/>
      <c r="O190" t="s">
        <v>464</v>
      </c>
      <c r="T190" s="1293">
        <v>3025.06</v>
      </c>
      <c r="U190" s="1293"/>
      <c r="V190" s="1293"/>
      <c r="W190" s="1293"/>
      <c r="X190" s="1293"/>
      <c r="Y190" s="1293"/>
      <c r="Z190" s="1293"/>
      <c r="AA190" s="1293"/>
      <c r="AB190" s="1293"/>
      <c r="AC190" s="1293"/>
      <c r="AD190" s="1293"/>
      <c r="AE190" s="1293"/>
      <c r="BC190" t="s">
        <v>699</v>
      </c>
      <c r="BH190" t="s">
        <v>699</v>
      </c>
      <c r="BN190" s="30" t="s">
        <v>450</v>
      </c>
      <c r="BT190" t="s">
        <v>118</v>
      </c>
    </row>
    <row r="191" spans="1:72" ht="12.95" customHeight="1">
      <c r="C191" s="29"/>
      <c r="D191" t="s">
        <v>89</v>
      </c>
      <c r="N191" s="1312" t="s">
        <v>2368</v>
      </c>
      <c r="O191" s="1407"/>
      <c r="P191" s="1407"/>
      <c r="Q191" s="1407"/>
      <c r="R191" s="1407"/>
      <c r="S191" s="1407"/>
      <c r="T191" s="1407"/>
      <c r="U191" s="1407"/>
      <c r="V191" s="1407"/>
      <c r="W191" s="1407"/>
      <c r="X191" s="1407"/>
      <c r="Y191" s="1407"/>
      <c r="Z191" s="1407"/>
      <c r="AA191" s="1407"/>
      <c r="AB191" s="1407"/>
      <c r="AC191" s="1407"/>
      <c r="AD191" s="1407"/>
      <c r="AE191" s="1407"/>
      <c r="BC191" t="s">
        <v>1488</v>
      </c>
      <c r="BH191" t="s">
        <v>1488</v>
      </c>
      <c r="BN191" s="30" t="s">
        <v>613</v>
      </c>
      <c r="BT191" t="s">
        <v>119</v>
      </c>
    </row>
    <row r="192" spans="1:72" ht="12.95"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1495</v>
      </c>
      <c r="BN192" s="30" t="s">
        <v>614</v>
      </c>
      <c r="BT192" t="s">
        <v>120</v>
      </c>
    </row>
    <row r="193" spans="1:73" ht="12.95" customHeight="1">
      <c r="C193" s="29"/>
      <c r="D193" t="s">
        <v>465</v>
      </c>
      <c r="T193" s="1118" t="s">
        <v>511</v>
      </c>
      <c r="U193" s="1118"/>
      <c r="W193" s="41" t="s">
        <v>1982</v>
      </c>
      <c r="AA193" s="1284">
        <v>2022</v>
      </c>
      <c r="AB193" s="1284"/>
      <c r="AC193" s="1284"/>
      <c r="BC193" t="s">
        <v>595</v>
      </c>
      <c r="BH193" s="5" t="s">
        <v>1496</v>
      </c>
      <c r="BN193" s="30" t="s">
        <v>615</v>
      </c>
      <c r="BT193" t="s">
        <v>121</v>
      </c>
    </row>
    <row r="194" spans="1:73" ht="12.95" customHeight="1">
      <c r="C194" s="29"/>
      <c r="D194" t="s">
        <v>126</v>
      </c>
      <c r="T194" s="1106" t="s">
        <v>511</v>
      </c>
      <c r="U194" s="1106"/>
      <c r="W194" t="s">
        <v>67</v>
      </c>
      <c r="AI194" s="1118" t="s">
        <v>511</v>
      </c>
      <c r="AJ194" s="1118"/>
      <c r="AX194" s="5" t="s">
        <v>132</v>
      </c>
      <c r="BC194" t="s">
        <v>651</v>
      </c>
      <c r="BN194" s="30" t="s">
        <v>790</v>
      </c>
      <c r="BT194" t="s">
        <v>122</v>
      </c>
    </row>
    <row r="195" spans="1:73" ht="12.95" customHeight="1">
      <c r="C195" s="29"/>
      <c r="D195" s="41" t="s">
        <v>1811</v>
      </c>
      <c r="T195" s="1106" t="s">
        <v>116</v>
      </c>
      <c r="U195" s="1106"/>
      <c r="X195" s="817" t="s">
        <v>2231</v>
      </c>
      <c r="AX195" s="5" t="s">
        <v>1198</v>
      </c>
      <c r="BN195" s="30" t="s">
        <v>791</v>
      </c>
      <c r="BT195" t="s">
        <v>123</v>
      </c>
    </row>
    <row r="196" spans="1:73" ht="12.95" customHeight="1">
      <c r="C196" s="29"/>
      <c r="D196" s="5" t="s">
        <v>1203</v>
      </c>
      <c r="T196" s="1106" t="s">
        <v>511</v>
      </c>
      <c r="U196" s="1106"/>
      <c r="AK196" s="1283"/>
      <c r="AL196" s="1283"/>
      <c r="AX196" s="41" t="s">
        <v>2330</v>
      </c>
      <c r="BN196" s="30" t="s">
        <v>792</v>
      </c>
      <c r="BT196" t="s">
        <v>124</v>
      </c>
    </row>
    <row r="197" spans="1:73" ht="12.95" customHeight="1">
      <c r="C197" s="29"/>
      <c r="D197" s="41" t="s">
        <v>1983</v>
      </c>
      <c r="T197" s="1118" t="s">
        <v>511</v>
      </c>
      <c r="U197" s="1118"/>
      <c r="AX197" s="5" t="s">
        <v>1199</v>
      </c>
      <c r="BC197" t="s">
        <v>84</v>
      </c>
      <c r="BN197" s="30" t="s">
        <v>793</v>
      </c>
      <c r="BT197" t="s">
        <v>125</v>
      </c>
    </row>
    <row r="198" spans="1:73" ht="12.95" customHeight="1">
      <c r="C198" s="29"/>
      <c r="D198" s="41" t="s">
        <v>2011</v>
      </c>
      <c r="W198" s="1296" t="s">
        <v>511</v>
      </c>
      <c r="X198" s="1118"/>
      <c r="AX198" s="5" t="s">
        <v>1200</v>
      </c>
      <c r="BC198" t="s">
        <v>1150</v>
      </c>
      <c r="BN198" s="30" t="s">
        <v>794</v>
      </c>
      <c r="BT198" t="s">
        <v>844</v>
      </c>
    </row>
    <row r="199" spans="1:73" ht="12.95" customHeight="1">
      <c r="C199" s="29"/>
      <c r="L199" s="310"/>
      <c r="M199" s="310"/>
      <c r="N199" s="310"/>
      <c r="O199" s="310"/>
      <c r="P199" s="310"/>
      <c r="Q199" s="942" t="s">
        <v>2232</v>
      </c>
      <c r="R199" s="1288" t="s">
        <v>2119</v>
      </c>
      <c r="S199" s="1288"/>
      <c r="T199" s="1288"/>
      <c r="U199" s="1288"/>
      <c r="V199" s="1288"/>
      <c r="W199" s="1288"/>
      <c r="X199" s="1288"/>
      <c r="Y199" s="1288"/>
      <c r="Z199" s="1288"/>
      <c r="AA199" s="1288"/>
      <c r="AB199" s="1288"/>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9" t="str">
        <f>IF(AND(M25&gt;0,M27&gt;0),"Federal and State","Federal Only")</f>
        <v>Federal and State</v>
      </c>
      <c r="E203" s="1299"/>
      <c r="F203" s="1299"/>
      <c r="G203" s="1299"/>
      <c r="H203" s="1299"/>
      <c r="I203" s="1299"/>
      <c r="J203" s="1299"/>
      <c r="K203" s="1299"/>
      <c r="L203" s="1299"/>
      <c r="M203" s="1299"/>
      <c r="P203" s="1413">
        <f>M25</f>
        <v>391372</v>
      </c>
      <c r="Q203" s="1413"/>
      <c r="R203" s="1413"/>
      <c r="S203" s="1413"/>
      <c r="T203" s="1413"/>
      <c r="U203" s="1413"/>
      <c r="W203" s="1413">
        <f>M27</f>
        <v>1289321</v>
      </c>
      <c r="X203" s="1413"/>
      <c r="Y203" s="1413"/>
      <c r="Z203" s="1413"/>
      <c r="AA203" s="1413"/>
      <c r="AB203" s="1413"/>
      <c r="AV203" t="s">
        <v>132</v>
      </c>
      <c r="AX203" s="5" t="s">
        <v>700</v>
      </c>
      <c r="BC203" t="s">
        <v>1501</v>
      </c>
      <c r="BN203" s="30" t="s">
        <v>697</v>
      </c>
      <c r="BT203" s="40" t="s">
        <v>849</v>
      </c>
      <c r="BU203" s="21"/>
    </row>
    <row r="204" spans="1:73" ht="12.95" customHeight="1">
      <c r="C204" s="29"/>
      <c r="P204" s="1394" t="s">
        <v>186</v>
      </c>
      <c r="Q204" s="1394"/>
      <c r="R204" s="1394"/>
      <c r="S204" s="1394"/>
      <c r="T204" s="1394"/>
      <c r="U204" s="1394"/>
      <c r="V204" s="36"/>
      <c r="W204" s="1394" t="s">
        <v>187</v>
      </c>
      <c r="X204" s="1394"/>
      <c r="Y204" s="1394"/>
      <c r="Z204" s="1394"/>
      <c r="AA204" s="1394"/>
      <c r="AB204" s="1394"/>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19" t="s">
        <v>2369</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19" t="s">
        <v>595</v>
      </c>
      <c r="E211" s="1119"/>
      <c r="F211" s="1119"/>
      <c r="G211" s="1119"/>
      <c r="H211" s="1119"/>
      <c r="I211" s="1119"/>
      <c r="J211" s="1119"/>
      <c r="K211" s="1119"/>
      <c r="L211" s="1119"/>
      <c r="M211" s="1119"/>
      <c r="N211" s="1119"/>
      <c r="O211" s="1119"/>
      <c r="P211" s="1119"/>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119" t="s">
        <v>595</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2.95" customHeight="1">
      <c r="D215" s="35"/>
      <c r="E215" s="41" t="s">
        <v>2208</v>
      </c>
      <c r="AC215" s="1289"/>
      <c r="AD215" s="1289"/>
      <c r="AF215" s="1409">
        <f>IFERROR(AC215/AG433,"")</f>
        <v>0</v>
      </c>
      <c r="AG215" s="1409"/>
      <c r="BC215" t="s">
        <v>663</v>
      </c>
    </row>
    <row r="216" spans="1:72" ht="12.95" customHeight="1">
      <c r="D216" s="35"/>
      <c r="E216" s="958" t="s">
        <v>1499</v>
      </c>
      <c r="BC216" t="s">
        <v>780</v>
      </c>
    </row>
    <row r="217" spans="1:72" ht="12.95"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2.95" customHeight="1">
      <c r="E218" s="41" t="s">
        <v>2059</v>
      </c>
      <c r="AA218" s="49"/>
      <c r="AC218" s="1298"/>
      <c r="AD218" s="1298"/>
      <c r="AE218" s="1298"/>
      <c r="AF218" s="1298"/>
      <c r="AG218" s="1298"/>
      <c r="AH218" s="1298"/>
      <c r="AI218" s="1298"/>
      <c r="AJ218" s="1298"/>
      <c r="AK218" s="1298"/>
      <c r="AL218" s="1298"/>
      <c r="AM218" s="1298"/>
      <c r="BC218" t="s">
        <v>665</v>
      </c>
      <c r="BI218" s="39"/>
    </row>
    <row r="219" spans="1:72" ht="12.95" customHeight="1">
      <c r="E219" s="41" t="s">
        <v>2060</v>
      </c>
      <c r="AA219" s="49"/>
      <c r="AC219" s="1297">
        <v>45170</v>
      </c>
      <c r="AD219" s="1298"/>
      <c r="AE219" s="1298"/>
      <c r="AF219" s="1298"/>
      <c r="AG219" s="1298"/>
      <c r="AH219" s="1298"/>
      <c r="AI219" s="1298"/>
      <c r="AJ219" s="1298"/>
      <c r="AK219" s="1298"/>
      <c r="AL219" s="1298"/>
      <c r="AM219" s="129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8" t="s">
        <v>1151</v>
      </c>
      <c r="E223" s="1288"/>
      <c r="F223" s="1288"/>
      <c r="G223" s="1288"/>
      <c r="H223" s="1288"/>
      <c r="I223" s="1288"/>
      <c r="J223" s="1288"/>
      <c r="K223" s="1288"/>
      <c r="L223" s="1288"/>
      <c r="M223" s="1288"/>
      <c r="N223" s="1288"/>
      <c r="O223" s="1288"/>
      <c r="P223" s="1288"/>
      <c r="Q223" s="1288"/>
      <c r="R223" s="1288"/>
      <c r="S223" s="1288"/>
      <c r="T223" s="1288"/>
      <c r="U223" s="1288"/>
      <c r="V223" s="1288"/>
      <c r="W223" s="1288"/>
      <c r="X223" s="1288"/>
      <c r="Y223" s="1288"/>
      <c r="Z223" s="1288"/>
      <c r="AA223" s="1288"/>
      <c r="AB223" s="1288"/>
      <c r="AC223" s="1288"/>
      <c r="AD223" s="1288"/>
      <c r="AE223" s="1288"/>
      <c r="AF223" s="1288"/>
      <c r="AG223" s="1288"/>
      <c r="AH223" s="1288"/>
      <c r="AI223" s="1288"/>
      <c r="AJ223" s="21"/>
      <c r="AK223" s="21"/>
      <c r="AL223" s="21"/>
    </row>
    <row r="224" spans="1:72" ht="12.95" customHeight="1">
      <c r="AJ224" s="5"/>
    </row>
    <row r="225" spans="1:59" ht="12.95" customHeight="1">
      <c r="D225" t="s">
        <v>588</v>
      </c>
      <c r="O225" s="1118">
        <v>14</v>
      </c>
      <c r="P225" s="1118"/>
    </row>
    <row r="226" spans="1:59" ht="12.95" customHeight="1">
      <c r="D226" t="s">
        <v>589</v>
      </c>
      <c r="O226" s="1118">
        <v>43</v>
      </c>
      <c r="P226" s="1118"/>
      <c r="BB226" s="5" t="s">
        <v>674</v>
      </c>
      <c r="BG226" s="414">
        <f>IF(AND(AND($M$251="for profit",$M$259="for profit",$M$267="nonprofit")),2,0)</f>
        <v>0</v>
      </c>
    </row>
    <row r="227" spans="1:59" ht="12.95" customHeight="1">
      <c r="D227" t="s">
        <v>590</v>
      </c>
      <c r="O227" s="1118">
        <v>25</v>
      </c>
      <c r="P227" s="1118"/>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2</v>
      </c>
    </row>
    <row r="231" spans="1:59" ht="12.95"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5"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3" t="str">
        <f>H15</f>
        <v>Palmer Park Housing Partners,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2.95" customHeight="1">
      <c r="D236" s="5" t="s">
        <v>397</v>
      </c>
      <c r="E236" s="5"/>
      <c r="F236" s="5"/>
      <c r="G236" s="5"/>
      <c r="H236" s="5"/>
      <c r="I236" s="5"/>
      <c r="J236" s="5"/>
      <c r="K236" s="5"/>
      <c r="M236" s="1288" t="s">
        <v>2370</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673</v>
      </c>
      <c r="BG236" s="414">
        <f>IF(AND(AND($M$251="nonprofit",$M$259="nonprofit",$M$267="nonprofit")),1,0)</f>
        <v>0</v>
      </c>
    </row>
    <row r="237" spans="1:59" ht="12.95" customHeight="1">
      <c r="D237" s="5" t="s">
        <v>459</v>
      </c>
      <c r="E237" s="5"/>
      <c r="M237" s="1288" t="s">
        <v>2371</v>
      </c>
      <c r="N237" s="1119"/>
      <c r="O237" s="1119"/>
      <c r="P237" s="1119"/>
      <c r="Q237" s="1119"/>
      <c r="R237" s="1119"/>
      <c r="S237" s="1119"/>
      <c r="T237" s="1119"/>
      <c r="V237" s="42" t="s">
        <v>398</v>
      </c>
      <c r="W237" s="1142" t="s">
        <v>2372</v>
      </c>
      <c r="X237" s="1287"/>
      <c r="Y237" s="5" t="s">
        <v>462</v>
      </c>
      <c r="AC237" s="1119">
        <v>98109</v>
      </c>
      <c r="AD237" s="1119"/>
      <c r="AE237" s="1119"/>
      <c r="AN237" s="41"/>
      <c r="BB237" t="s">
        <v>673</v>
      </c>
      <c r="BG237" s="414">
        <f>IF(AND(AND($M$251="nonprofit",$M$259="nonprofit",$M$267="(select one)")),1,0)</f>
        <v>0</v>
      </c>
    </row>
    <row r="238" spans="1:59" ht="12.95" customHeight="1">
      <c r="D238" s="5" t="s">
        <v>399</v>
      </c>
      <c r="E238" s="5"/>
      <c r="F238" s="5"/>
      <c r="G238" s="5"/>
      <c r="H238" s="5"/>
      <c r="I238" s="5"/>
      <c r="J238" s="5"/>
      <c r="K238" s="28"/>
      <c r="M238" s="1288" t="s">
        <v>2373</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673</v>
      </c>
      <c r="BG238" s="414">
        <f>IF(AND(AND($M$251="nonprofit",$M$259="(select one)",$M$267="(select one)")),1,0)</f>
        <v>0</v>
      </c>
    </row>
    <row r="239" spans="1:59" ht="12.95" customHeight="1">
      <c r="D239" s="5" t="s">
        <v>400</v>
      </c>
      <c r="E239" s="5"/>
      <c r="F239" s="5"/>
      <c r="M239" s="1117" t="s">
        <v>2374</v>
      </c>
      <c r="N239" s="1116"/>
      <c r="O239" s="1116"/>
      <c r="P239" s="1116"/>
      <c r="Q239" s="1116"/>
      <c r="R239" s="1116"/>
      <c r="S239" s="5" t="s">
        <v>859</v>
      </c>
      <c r="T239" s="5"/>
      <c r="U239" s="1287"/>
      <c r="V239" s="1287"/>
      <c r="W239" s="1287"/>
      <c r="X239" s="5" t="s">
        <v>401</v>
      </c>
      <c r="Z239" s="1116"/>
      <c r="AA239" s="1116"/>
      <c r="AB239" s="1116"/>
      <c r="AC239" s="1116"/>
      <c r="AD239" s="1116"/>
      <c r="AE239" s="1116"/>
      <c r="AM239" s="41"/>
      <c r="AN239" s="41"/>
      <c r="BB239" t="s">
        <v>1054</v>
      </c>
      <c r="BG239" s="414">
        <f>IF(AND(AND($M$251="for profit",$M$259="for profit",$M$267="for profit")),3,0)</f>
        <v>0</v>
      </c>
    </row>
    <row r="240" spans="1:59" ht="12.95" customHeight="1">
      <c r="D240" s="5" t="s">
        <v>402</v>
      </c>
      <c r="E240" s="5"/>
      <c r="F240" s="5"/>
      <c r="M240" s="1141" t="s">
        <v>2375</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2" t="s">
        <v>664</v>
      </c>
      <c r="N241" s="1092"/>
      <c r="O241" s="1092"/>
      <c r="P241" s="1092"/>
      <c r="Q241" s="1092"/>
      <c r="R241" s="1092"/>
      <c r="S241" s="1092"/>
      <c r="T241" s="1092"/>
      <c r="U241" s="5" t="s">
        <v>1192</v>
      </c>
      <c r="AA241" s="1114" t="s">
        <v>2376</v>
      </c>
      <c r="AB241" s="1115"/>
      <c r="AC241" s="1115"/>
      <c r="AD241" s="1115"/>
      <c r="AE241" s="1115"/>
      <c r="AF241" s="1115"/>
      <c r="AG241" s="1115"/>
      <c r="AH241" s="1115"/>
      <c r="AI241" s="1115"/>
      <c r="AJ241" s="1115"/>
      <c r="AK241" s="1115"/>
      <c r="AL241" s="41"/>
      <c r="AM241" s="5"/>
      <c r="AN241" s="41"/>
      <c r="AO241" s="41"/>
      <c r="BB241" t="s">
        <v>1054</v>
      </c>
      <c r="BG241" s="415">
        <f>IF(AND(AND($M$251="for profit",$M$259="(select one)",$M$267="(select one)")),3,0)</f>
        <v>0</v>
      </c>
    </row>
    <row r="242" spans="1:67" ht="12.95" customHeight="1">
      <c r="D242" t="s">
        <v>667</v>
      </c>
      <c r="M242" s="1288"/>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85" t="s">
        <v>2377</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2378</v>
      </c>
      <c r="AG245" s="1286"/>
      <c r="AH245" s="1286"/>
      <c r="AI245" s="1286"/>
      <c r="AJ245" s="1286"/>
      <c r="AK245" s="1286"/>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288" t="s">
        <v>2379</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672</v>
      </c>
    </row>
    <row r="247" spans="1:67" ht="12.95" customHeight="1">
      <c r="A247" s="28"/>
      <c r="B247" s="5"/>
      <c r="C247" s="5"/>
      <c r="D247" s="5" t="s">
        <v>459</v>
      </c>
      <c r="E247" s="5"/>
      <c r="M247" s="1288" t="s">
        <v>2380</v>
      </c>
      <c r="N247" s="1119"/>
      <c r="O247" s="1119"/>
      <c r="P247" s="1119"/>
      <c r="Q247" s="1119"/>
      <c r="R247" s="1119"/>
      <c r="S247" s="1119"/>
      <c r="T247" s="1119"/>
      <c r="V247" s="42" t="s">
        <v>398</v>
      </c>
      <c r="W247" s="1142" t="s">
        <v>2381</v>
      </c>
      <c r="X247" s="1287"/>
      <c r="Y247" s="5" t="s">
        <v>462</v>
      </c>
      <c r="AC247" s="1119">
        <v>92651</v>
      </c>
      <c r="AD247" s="1119"/>
      <c r="AE247" s="1119"/>
      <c r="AN247" s="41"/>
    </row>
    <row r="248" spans="1:67" ht="12.95" customHeight="1">
      <c r="A248" s="28"/>
      <c r="B248" s="5"/>
      <c r="C248" s="5"/>
      <c r="D248" s="5" t="s">
        <v>399</v>
      </c>
      <c r="E248" s="5"/>
      <c r="F248" s="5"/>
      <c r="G248" s="5"/>
      <c r="H248" s="5"/>
      <c r="I248" s="5"/>
      <c r="J248" s="5"/>
      <c r="K248" s="5"/>
      <c r="L248" s="28"/>
      <c r="M248" s="1288" t="s">
        <v>2382</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2.95" customHeight="1">
      <c r="A249" s="28"/>
      <c r="B249" s="5"/>
      <c r="C249" s="5"/>
      <c r="D249" s="5" t="s">
        <v>400</v>
      </c>
      <c r="E249" s="5"/>
      <c r="F249" s="5"/>
      <c r="M249" s="1117" t="s">
        <v>2383</v>
      </c>
      <c r="N249" s="1116"/>
      <c r="O249" s="1116"/>
      <c r="P249" s="1116"/>
      <c r="Q249" s="1116"/>
      <c r="R249" s="1116"/>
      <c r="S249" s="5" t="s">
        <v>859</v>
      </c>
      <c r="T249" s="5"/>
      <c r="U249" s="1287"/>
      <c r="V249" s="1287"/>
      <c r="W249" s="1287"/>
      <c r="X249" s="5" t="s">
        <v>401</v>
      </c>
      <c r="Z249" s="1116"/>
      <c r="AA249" s="1116"/>
      <c r="AB249" s="1116"/>
      <c r="AC249" s="1116"/>
      <c r="AD249" s="1116"/>
      <c r="AE249" s="1116"/>
      <c r="AM249" s="5"/>
      <c r="AN249" s="41"/>
    </row>
    <row r="250" spans="1:67" ht="12.95" customHeight="1">
      <c r="A250" s="28"/>
      <c r="B250" s="5"/>
      <c r="C250" s="5"/>
      <c r="D250" s="5" t="s">
        <v>402</v>
      </c>
      <c r="E250" s="5"/>
      <c r="F250" s="5"/>
      <c r="M250" s="1141" t="s">
        <v>2384</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2.95"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t="s">
        <v>2385</v>
      </c>
      <c r="AB251" s="1115"/>
      <c r="AC251" s="1115"/>
      <c r="AD251" s="1115"/>
      <c r="AE251" s="1115"/>
      <c r="AF251" s="1115"/>
      <c r="AG251" s="1115"/>
      <c r="AH251" s="1115"/>
      <c r="AI251" s="1115"/>
      <c r="AJ251" s="1115"/>
      <c r="AK251" s="111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85" t="s">
        <v>2386</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2387</v>
      </c>
      <c r="AG253" s="1286"/>
      <c r="AH253" s="1286"/>
      <c r="AI253" s="1286"/>
      <c r="AJ253" s="1286"/>
      <c r="AK253" s="1286"/>
      <c r="AM253" s="5"/>
    </row>
    <row r="254" spans="1:67" ht="12.95" customHeight="1">
      <c r="A254" s="28"/>
      <c r="B254" s="5"/>
      <c r="C254" s="5"/>
      <c r="D254" s="5" t="s">
        <v>397</v>
      </c>
      <c r="E254" s="5"/>
      <c r="F254" s="5"/>
      <c r="G254" s="5"/>
      <c r="H254" s="5"/>
      <c r="I254" s="5"/>
      <c r="J254" s="5"/>
      <c r="K254" s="5"/>
      <c r="L254" s="5"/>
      <c r="M254" s="1288" t="s">
        <v>2370</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2.95" customHeight="1">
      <c r="A255" s="28"/>
      <c r="B255" s="5"/>
      <c r="C255" s="5"/>
      <c r="D255" s="5" t="s">
        <v>459</v>
      </c>
      <c r="E255" s="5"/>
      <c r="M255" s="1288" t="s">
        <v>2371</v>
      </c>
      <c r="N255" s="1119"/>
      <c r="O255" s="1119"/>
      <c r="P255" s="1119"/>
      <c r="Q255" s="1119"/>
      <c r="R255" s="1119"/>
      <c r="S255" s="1119"/>
      <c r="T255" s="1119"/>
      <c r="V255" s="42" t="s">
        <v>398</v>
      </c>
      <c r="W255" s="1142" t="s">
        <v>2372</v>
      </c>
      <c r="X255" s="1287"/>
      <c r="Y255" s="5" t="s">
        <v>462</v>
      </c>
      <c r="AC255" s="1119">
        <v>98109</v>
      </c>
      <c r="AD255" s="1119"/>
      <c r="AE255" s="1119"/>
    </row>
    <row r="256" spans="1:67" ht="12.95" customHeight="1">
      <c r="A256" s="28"/>
      <c r="B256" s="5"/>
      <c r="C256" s="5"/>
      <c r="D256" s="5" t="s">
        <v>399</v>
      </c>
      <c r="E256" s="5"/>
      <c r="F256" s="5"/>
      <c r="G256" s="5"/>
      <c r="H256" s="5"/>
      <c r="I256" s="5"/>
      <c r="J256" s="5"/>
      <c r="K256" s="5"/>
      <c r="L256" s="28"/>
      <c r="M256" s="1288" t="s">
        <v>2373</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2.95" customHeight="1">
      <c r="A257" s="28"/>
      <c r="B257" s="5"/>
      <c r="C257" s="5"/>
      <c r="D257" s="5" t="s">
        <v>400</v>
      </c>
      <c r="E257" s="5"/>
      <c r="F257" s="5"/>
      <c r="M257" s="1117" t="s">
        <v>2374</v>
      </c>
      <c r="N257" s="1116"/>
      <c r="O257" s="1116"/>
      <c r="P257" s="1116"/>
      <c r="Q257" s="1116"/>
      <c r="R257" s="1116"/>
      <c r="S257" s="5" t="s">
        <v>859</v>
      </c>
      <c r="T257" s="5"/>
      <c r="U257" s="1287"/>
      <c r="V257" s="1287"/>
      <c r="W257" s="1287"/>
      <c r="X257" s="5" t="s">
        <v>401</v>
      </c>
      <c r="Z257" s="1116"/>
      <c r="AA257" s="1116"/>
      <c r="AB257" s="1116"/>
      <c r="AC257" s="1116"/>
      <c r="AD257" s="1116"/>
      <c r="AE257" s="1116"/>
      <c r="BA257" s="43"/>
    </row>
    <row r="258" spans="1:53" ht="12.95" customHeight="1">
      <c r="A258" s="28"/>
      <c r="B258" s="5"/>
      <c r="C258" s="5"/>
      <c r="D258" s="5" t="s">
        <v>402</v>
      </c>
      <c r="E258" s="5"/>
      <c r="F258" s="5"/>
      <c r="M258" s="1141" t="s">
        <v>2375</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2.95" customHeight="1">
      <c r="A259" s="18"/>
      <c r="B259" s="5"/>
      <c r="C259" s="62"/>
      <c r="D259" s="5" t="s">
        <v>671</v>
      </c>
      <c r="E259" s="5"/>
      <c r="F259" s="5"/>
      <c r="G259" s="5"/>
      <c r="H259" s="5"/>
      <c r="I259" s="5"/>
      <c r="J259" s="5"/>
      <c r="K259" s="5"/>
      <c r="L259" s="5"/>
      <c r="M259" s="1092" t="s">
        <v>672</v>
      </c>
      <c r="N259" s="1092"/>
      <c r="O259" s="1092"/>
      <c r="P259" s="1092"/>
      <c r="Q259" s="1092"/>
      <c r="R259" s="1092"/>
      <c r="S259" s="1092"/>
      <c r="T259" s="1092"/>
      <c r="U259" s="5" t="s">
        <v>1192</v>
      </c>
      <c r="AA259" s="1114" t="s">
        <v>2376</v>
      </c>
      <c r="AB259" s="1115"/>
      <c r="AC259" s="1115"/>
      <c r="AD259" s="1115"/>
      <c r="AE259" s="1115"/>
      <c r="AF259" s="1115"/>
      <c r="AG259" s="1115"/>
      <c r="AH259" s="1115"/>
      <c r="AI259" s="1115"/>
      <c r="AJ259" s="1115"/>
      <c r="AK259" s="111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2.95"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2.95" customHeight="1">
      <c r="A263" s="18"/>
      <c r="B263" s="5"/>
      <c r="C263" s="5"/>
      <c r="D263" s="5" t="s">
        <v>459</v>
      </c>
      <c r="E263" s="5"/>
      <c r="M263" s="1119"/>
      <c r="N263" s="1119"/>
      <c r="O263" s="1119"/>
      <c r="P263" s="1119"/>
      <c r="Q263" s="1119"/>
      <c r="R263" s="1119"/>
      <c r="S263" s="1119"/>
      <c r="T263" s="1119"/>
      <c r="V263" s="42" t="s">
        <v>398</v>
      </c>
      <c r="W263" s="1287"/>
      <c r="X263" s="1287"/>
      <c r="Y263" s="5" t="s">
        <v>462</v>
      </c>
      <c r="AC263" s="1119"/>
      <c r="AD263" s="1119"/>
      <c r="AE263" s="1119"/>
      <c r="AL263" s="41"/>
      <c r="BA263" s="43"/>
    </row>
    <row r="264" spans="1:53" ht="12.95"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2.95" customHeight="1">
      <c r="A265" s="18"/>
      <c r="B265" s="5"/>
      <c r="C265" s="5"/>
      <c r="D265" s="5" t="s">
        <v>400</v>
      </c>
      <c r="E265" s="5"/>
      <c r="F265" s="5"/>
      <c r="M265" s="1116"/>
      <c r="N265" s="1116"/>
      <c r="O265" s="1116"/>
      <c r="P265" s="1116"/>
      <c r="Q265" s="1116"/>
      <c r="R265" s="1116"/>
      <c r="S265" s="5" t="s">
        <v>859</v>
      </c>
      <c r="T265" s="5"/>
      <c r="U265" s="1287"/>
      <c r="V265" s="1287"/>
      <c r="W265" s="1287"/>
      <c r="X265" s="5" t="s">
        <v>401</v>
      </c>
      <c r="Z265" s="1116"/>
      <c r="AA265" s="1116"/>
      <c r="AB265" s="1116"/>
      <c r="AC265" s="1116"/>
      <c r="AD265" s="1116"/>
      <c r="AE265" s="1116"/>
      <c r="AL265" s="41"/>
      <c r="BA265" s="43"/>
    </row>
    <row r="266" spans="1:53" ht="12.95"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5"/>
      <c r="AB267" s="1115"/>
      <c r="AC267" s="1115"/>
      <c r="AD267" s="1115"/>
      <c r="AE267" s="1115"/>
      <c r="AF267" s="1115"/>
      <c r="AG267" s="1115"/>
      <c r="AH267" s="1115"/>
      <c r="AI267" s="1115"/>
      <c r="AJ267" s="1115"/>
      <c r="AK267" s="111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0" t="str">
        <f>BO245</f>
        <v>Joint Venture</v>
      </c>
      <c r="U269" s="1140"/>
      <c r="V269" s="1140"/>
      <c r="W269" s="1140"/>
      <c r="X269" s="1140"/>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19" t="s">
        <v>934</v>
      </c>
      <c r="E272" s="1119"/>
      <c r="F272" s="1119"/>
      <c r="G272" s="1119"/>
      <c r="H272" s="1119"/>
      <c r="J272" t="s">
        <v>933</v>
      </c>
      <c r="X272" s="1308"/>
      <c r="Y272" s="1308"/>
      <c r="Z272" s="1308"/>
      <c r="AA272" s="1308"/>
      <c r="AB272" s="1308"/>
      <c r="AC272" s="130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5" t="s">
        <v>2388</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2.95" customHeight="1">
      <c r="D277" s="5" t="s">
        <v>397</v>
      </c>
      <c r="E277" s="5"/>
      <c r="F277" s="5"/>
      <c r="G277" s="5"/>
      <c r="H277" s="5"/>
      <c r="I277" s="5"/>
      <c r="J277" s="5"/>
      <c r="K277" s="5"/>
      <c r="L277" s="1288" t="s">
        <v>2370</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2.95" customHeight="1">
      <c r="D278" s="5" t="s">
        <v>459</v>
      </c>
      <c r="E278" s="5"/>
      <c r="L278" s="1288" t="s">
        <v>2371</v>
      </c>
      <c r="M278" s="1119"/>
      <c r="N278" s="1119"/>
      <c r="O278" s="1119"/>
      <c r="P278" s="1119"/>
      <c r="Q278" s="1119"/>
      <c r="R278" s="1119"/>
      <c r="S278" s="1119"/>
      <c r="U278" s="42" t="s">
        <v>398</v>
      </c>
      <c r="V278" s="1142" t="s">
        <v>2372</v>
      </c>
      <c r="W278" s="1287"/>
      <c r="X278" s="5" t="s">
        <v>462</v>
      </c>
      <c r="AB278" s="1119">
        <v>98109</v>
      </c>
      <c r="AC278" s="1119"/>
      <c r="AD278" s="1119"/>
      <c r="AK278" s="41"/>
      <c r="AL278" s="41"/>
      <c r="BA278" s="43"/>
    </row>
    <row r="279" spans="1:53" ht="12.95" customHeight="1">
      <c r="D279" s="5" t="s">
        <v>399</v>
      </c>
      <c r="E279" s="5"/>
      <c r="F279" s="5"/>
      <c r="G279" s="5"/>
      <c r="H279" s="5"/>
      <c r="I279" s="5"/>
      <c r="J279" s="5"/>
      <c r="K279" s="28"/>
      <c r="L279" s="1288" t="s">
        <v>2373</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2.95" customHeight="1">
      <c r="D280" s="5" t="s">
        <v>400</v>
      </c>
      <c r="E280" s="5"/>
      <c r="F280" s="5"/>
      <c r="L280" s="1117" t="s">
        <v>2374</v>
      </c>
      <c r="M280" s="1116"/>
      <c r="N280" s="1116"/>
      <c r="O280" s="1116"/>
      <c r="P280" s="1116"/>
      <c r="Q280" s="1116"/>
      <c r="R280" s="5" t="s">
        <v>859</v>
      </c>
      <c r="S280" s="5"/>
      <c r="T280" s="1287"/>
      <c r="U280" s="1287"/>
      <c r="V280" s="1287"/>
      <c r="W280" s="5" t="s">
        <v>401</v>
      </c>
      <c r="Y280" s="1116"/>
      <c r="Z280" s="1116"/>
      <c r="AA280" s="1116"/>
      <c r="AB280" s="1116"/>
      <c r="AC280" s="1116"/>
      <c r="AD280" s="1116"/>
      <c r="BA280" s="43"/>
    </row>
    <row r="281" spans="1:53" ht="12.95" customHeight="1">
      <c r="D281" s="5" t="s">
        <v>402</v>
      </c>
      <c r="E281" s="5"/>
      <c r="F281" s="5"/>
      <c r="L281" s="1141" t="s">
        <v>2375</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2.95" customHeight="1">
      <c r="D282" s="41" t="s">
        <v>197</v>
      </c>
      <c r="E282" s="41"/>
      <c r="F282" s="41"/>
      <c r="G282" s="41"/>
      <c r="H282" s="41"/>
      <c r="I282" s="41"/>
      <c r="L282" s="1142" t="s">
        <v>2543</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2.95" customHeight="1">
      <c r="L283" s="4" t="s">
        <v>198</v>
      </c>
      <c r="BA283" s="43"/>
    </row>
    <row r="284" spans="1:53" ht="12.95"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5"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1" t="s">
        <v>2388</v>
      </c>
      <c r="I289" s="1091"/>
      <c r="J289" s="1091"/>
      <c r="K289" s="1091"/>
      <c r="L289" s="1091"/>
      <c r="M289" s="1091"/>
      <c r="N289" s="1091"/>
      <c r="O289" s="1091"/>
      <c r="P289" s="1091"/>
      <c r="Q289" s="1091"/>
      <c r="R289" s="1091"/>
      <c r="T289" s="41" t="s">
        <v>781</v>
      </c>
      <c r="V289" s="41"/>
      <c r="W289" s="41"/>
      <c r="X289" s="41"/>
      <c r="Y289" s="41"/>
      <c r="AA289" s="1091" t="s">
        <v>2397</v>
      </c>
      <c r="AB289" s="1091"/>
      <c r="AC289" s="1091"/>
      <c r="AD289" s="1091"/>
      <c r="AE289" s="1091"/>
      <c r="AF289" s="1091"/>
      <c r="AG289" s="1091"/>
      <c r="AH289" s="1091"/>
      <c r="AI289" s="1091"/>
      <c r="AJ289" s="1091"/>
      <c r="AK289" s="1091"/>
      <c r="BA289" s="43"/>
    </row>
    <row r="290" spans="2:53" ht="12.95" customHeight="1">
      <c r="B290" s="41" t="s">
        <v>735</v>
      </c>
      <c r="C290" s="41"/>
      <c r="D290" s="41"/>
      <c r="E290" s="41"/>
      <c r="F290" s="41"/>
      <c r="H290" s="1092" t="s">
        <v>2389</v>
      </c>
      <c r="I290" s="1092"/>
      <c r="J290" s="1092"/>
      <c r="K290" s="1092"/>
      <c r="L290" s="1092"/>
      <c r="M290" s="1092"/>
      <c r="N290" s="1092"/>
      <c r="O290" s="1092"/>
      <c r="P290" s="1092"/>
      <c r="Q290" s="1092"/>
      <c r="R290" s="1092"/>
      <c r="T290" s="41" t="s">
        <v>735</v>
      </c>
      <c r="V290" s="41"/>
      <c r="W290" s="41"/>
      <c r="X290" s="41"/>
      <c r="Y290" s="41"/>
      <c r="AA290" s="1092" t="s">
        <v>2398</v>
      </c>
      <c r="AB290" s="1092"/>
      <c r="AC290" s="1092"/>
      <c r="AD290" s="1092"/>
      <c r="AE290" s="1092"/>
      <c r="AF290" s="1092"/>
      <c r="AG290" s="1092"/>
      <c r="AH290" s="1092"/>
      <c r="AI290" s="1092"/>
      <c r="AJ290" s="1092"/>
      <c r="AK290" s="1092"/>
      <c r="BA290" s="43"/>
    </row>
    <row r="291" spans="2:53" ht="12.95" customHeight="1">
      <c r="B291" s="41" t="s">
        <v>737</v>
      </c>
      <c r="C291" s="41"/>
      <c r="D291" s="41"/>
      <c r="E291" s="41"/>
      <c r="F291" s="41"/>
      <c r="H291" s="1092" t="s">
        <v>2390</v>
      </c>
      <c r="I291" s="1092"/>
      <c r="J291" s="1092"/>
      <c r="K291" s="1092"/>
      <c r="L291" s="1092"/>
      <c r="M291" s="1092"/>
      <c r="N291" s="1092"/>
      <c r="O291" s="1092"/>
      <c r="P291" s="1092"/>
      <c r="Q291" s="1092"/>
      <c r="R291" s="1092"/>
      <c r="T291" s="41" t="s">
        <v>736</v>
      </c>
      <c r="V291" s="41"/>
      <c r="W291" s="41"/>
      <c r="X291" s="41"/>
      <c r="Y291" s="41"/>
      <c r="AA291" s="1092" t="s">
        <v>2399</v>
      </c>
      <c r="AB291" s="1092"/>
      <c r="AC291" s="1092"/>
      <c r="AD291" s="1092"/>
      <c r="AE291" s="1092"/>
      <c r="AF291" s="1092"/>
      <c r="AG291" s="1092"/>
      <c r="AH291" s="1092"/>
      <c r="AI291" s="1092"/>
      <c r="AJ291" s="1092"/>
      <c r="AK291" s="1092"/>
      <c r="BA291" s="43"/>
    </row>
    <row r="292" spans="2:53" ht="12.95" customHeight="1">
      <c r="B292" s="41" t="s">
        <v>399</v>
      </c>
      <c r="C292" s="41"/>
      <c r="D292" s="41"/>
      <c r="E292" s="41"/>
      <c r="F292" s="41"/>
      <c r="H292" s="1092" t="s">
        <v>2373</v>
      </c>
      <c r="I292" s="1092"/>
      <c r="J292" s="1092"/>
      <c r="K292" s="1092"/>
      <c r="L292" s="1092"/>
      <c r="M292" s="1092"/>
      <c r="N292" s="1092"/>
      <c r="O292" s="1092"/>
      <c r="P292" s="1092"/>
      <c r="Q292" s="1092"/>
      <c r="R292" s="1092"/>
      <c r="T292" s="41" t="s">
        <v>399</v>
      </c>
      <c r="V292" s="41"/>
      <c r="W292" s="41"/>
      <c r="X292" s="41"/>
      <c r="Y292" s="41"/>
      <c r="AA292" s="1092" t="s">
        <v>2400</v>
      </c>
      <c r="AB292" s="1092"/>
      <c r="AC292" s="1092"/>
      <c r="AD292" s="1092"/>
      <c r="AE292" s="1092"/>
      <c r="AF292" s="1092"/>
      <c r="AG292" s="1092"/>
      <c r="AH292" s="1092"/>
      <c r="AI292" s="1092"/>
      <c r="AJ292" s="1092"/>
      <c r="AK292" s="1092"/>
      <c r="BA292" s="43"/>
    </row>
    <row r="293" spans="2:53" ht="12.95" customHeight="1">
      <c r="B293" s="41" t="s">
        <v>400</v>
      </c>
      <c r="C293" s="41"/>
      <c r="D293" s="41"/>
      <c r="E293" s="41"/>
      <c r="F293" s="41"/>
      <c r="G293" s="41"/>
      <c r="H293" s="1114" t="s">
        <v>2374</v>
      </c>
      <c r="I293" s="1115"/>
      <c r="J293" s="1115"/>
      <c r="K293" s="1115"/>
      <c r="L293" s="1115"/>
      <c r="M293" s="1115"/>
      <c r="N293" s="5" t="s">
        <v>859</v>
      </c>
      <c r="O293" s="5"/>
      <c r="P293" s="1119"/>
      <c r="Q293" s="1119"/>
      <c r="R293" s="1119"/>
      <c r="S293" s="41"/>
      <c r="T293" s="41" t="s">
        <v>400</v>
      </c>
      <c r="V293" s="41"/>
      <c r="W293" s="41"/>
      <c r="X293" s="41"/>
      <c r="Y293" s="41"/>
      <c r="AA293" s="1114" t="s">
        <v>2401</v>
      </c>
      <c r="AB293" s="1115"/>
      <c r="AC293" s="1115"/>
      <c r="AD293" s="1115"/>
      <c r="AE293" s="1115"/>
      <c r="AF293" s="1115"/>
      <c r="AG293" s="5" t="s">
        <v>859</v>
      </c>
      <c r="AH293" s="5"/>
      <c r="AI293" s="1119"/>
      <c r="AJ293" s="1119"/>
      <c r="AK293" s="1119"/>
      <c r="BA293" s="43"/>
    </row>
    <row r="294" spans="2:53" ht="12.95" customHeight="1">
      <c r="B294" s="41" t="s">
        <v>401</v>
      </c>
      <c r="C294" s="41"/>
      <c r="D294" s="41"/>
      <c r="E294" s="41"/>
      <c r="F294" s="41"/>
      <c r="G294" s="41"/>
      <c r="H294" s="1116"/>
      <c r="I294" s="1116"/>
      <c r="J294" s="1116"/>
      <c r="K294" s="1116"/>
      <c r="L294" s="1116"/>
      <c r="M294" s="1116"/>
      <c r="N294" s="5"/>
      <c r="O294" s="5"/>
      <c r="P294" s="44"/>
      <c r="Q294" s="44"/>
      <c r="R294" s="44"/>
      <c r="S294" s="41"/>
      <c r="T294" s="41" t="s">
        <v>401</v>
      </c>
      <c r="V294" s="41"/>
      <c r="W294" s="41"/>
      <c r="X294" s="41"/>
      <c r="Y294" s="41"/>
      <c r="AA294" s="1116"/>
      <c r="AB294" s="1116"/>
      <c r="AC294" s="1116"/>
      <c r="AD294" s="1116"/>
      <c r="AE294" s="1116"/>
      <c r="AF294" s="1116"/>
      <c r="AG294" s="5"/>
      <c r="AH294" s="5"/>
      <c r="AI294" s="44"/>
      <c r="AJ294" s="44"/>
      <c r="AK294" s="44"/>
      <c r="BA294" s="43"/>
    </row>
    <row r="295" spans="2:53" ht="12.95" customHeight="1">
      <c r="B295" s="41" t="s">
        <v>738</v>
      </c>
      <c r="C295" s="41"/>
      <c r="D295" s="41"/>
      <c r="E295" s="41"/>
      <c r="F295" s="41"/>
      <c r="G295" s="41"/>
      <c r="H295" s="1092" t="s">
        <v>2375</v>
      </c>
      <c r="I295" s="1092"/>
      <c r="J295" s="1092"/>
      <c r="K295" s="1092"/>
      <c r="L295" s="1092"/>
      <c r="M295" s="1092"/>
      <c r="N295" s="1091"/>
      <c r="O295" s="1091"/>
      <c r="P295" s="1091"/>
      <c r="Q295" s="1091"/>
      <c r="R295" s="1091"/>
      <c r="S295" s="41"/>
      <c r="T295" s="41" t="s">
        <v>738</v>
      </c>
      <c r="V295" s="41"/>
      <c r="W295" s="41"/>
      <c r="X295" s="41"/>
      <c r="Y295" s="41"/>
      <c r="AA295" s="1092" t="s">
        <v>2402</v>
      </c>
      <c r="AB295" s="1092"/>
      <c r="AC295" s="1092"/>
      <c r="AD295" s="1092"/>
      <c r="AE295" s="1092"/>
      <c r="AF295" s="1092"/>
      <c r="AG295" s="1091"/>
      <c r="AH295" s="1091"/>
      <c r="AI295" s="1091"/>
      <c r="AJ295" s="1091"/>
      <c r="AK295" s="109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1" t="s">
        <v>2391</v>
      </c>
      <c r="I297" s="1091"/>
      <c r="J297" s="1091"/>
      <c r="K297" s="1091"/>
      <c r="L297" s="1091"/>
      <c r="M297" s="1091"/>
      <c r="N297" s="1091"/>
      <c r="O297" s="1091"/>
      <c r="P297" s="1091"/>
      <c r="Q297" s="1091"/>
      <c r="R297" s="1091"/>
      <c r="T297" s="41" t="s">
        <v>39</v>
      </c>
      <c r="V297" s="41"/>
      <c r="W297" s="41"/>
      <c r="X297" s="41"/>
      <c r="Y297" s="41"/>
      <c r="AA297" s="1091" t="s">
        <v>2403</v>
      </c>
      <c r="AB297" s="1091"/>
      <c r="AC297" s="1091"/>
      <c r="AD297" s="1091"/>
      <c r="AE297" s="1091"/>
      <c r="AF297" s="1091"/>
      <c r="AG297" s="1091"/>
      <c r="AH297" s="1091"/>
      <c r="AI297" s="1091"/>
      <c r="AJ297" s="1091"/>
      <c r="AK297" s="1091"/>
      <c r="BA297" s="43"/>
    </row>
    <row r="298" spans="2:53" ht="12.95" customHeight="1">
      <c r="B298" s="41" t="s">
        <v>735</v>
      </c>
      <c r="C298" s="41"/>
      <c r="D298" s="41"/>
      <c r="E298" s="41"/>
      <c r="F298" s="41"/>
      <c r="H298" s="1092" t="s">
        <v>2392</v>
      </c>
      <c r="I298" s="1092"/>
      <c r="J298" s="1092"/>
      <c r="K298" s="1092"/>
      <c r="L298" s="1092"/>
      <c r="M298" s="1092"/>
      <c r="N298" s="1092"/>
      <c r="O298" s="1092"/>
      <c r="P298" s="1092"/>
      <c r="Q298" s="1092"/>
      <c r="R298" s="1092"/>
      <c r="T298" s="41" t="s">
        <v>735</v>
      </c>
      <c r="V298" s="41"/>
      <c r="W298" s="41"/>
      <c r="X298" s="41"/>
      <c r="Y298" s="41"/>
      <c r="AA298" s="1092" t="s">
        <v>2404</v>
      </c>
      <c r="AB298" s="1092"/>
      <c r="AC298" s="1092"/>
      <c r="AD298" s="1092"/>
      <c r="AE298" s="1092"/>
      <c r="AF298" s="1092"/>
      <c r="AG298" s="1092"/>
      <c r="AH298" s="1092"/>
      <c r="AI298" s="1092"/>
      <c r="AJ298" s="1092"/>
      <c r="AK298" s="1092"/>
      <c r="BA298" s="43"/>
    </row>
    <row r="299" spans="2:53" ht="12.95" customHeight="1">
      <c r="B299" s="41" t="s">
        <v>737</v>
      </c>
      <c r="C299" s="41"/>
      <c r="D299" s="41"/>
      <c r="E299" s="41"/>
      <c r="F299" s="41"/>
      <c r="H299" s="1092" t="s">
        <v>2393</v>
      </c>
      <c r="I299" s="1092"/>
      <c r="J299" s="1092"/>
      <c r="K299" s="1092"/>
      <c r="L299" s="1092"/>
      <c r="M299" s="1092"/>
      <c r="N299" s="1092"/>
      <c r="O299" s="1092"/>
      <c r="P299" s="1092"/>
      <c r="Q299" s="1092"/>
      <c r="R299" s="1092"/>
      <c r="T299" s="41" t="s">
        <v>736</v>
      </c>
      <c r="V299" s="41"/>
      <c r="W299" s="41"/>
      <c r="X299" s="41"/>
      <c r="Y299" s="41"/>
      <c r="AA299" s="1092" t="s">
        <v>2405</v>
      </c>
      <c r="AB299" s="1092"/>
      <c r="AC299" s="1092"/>
      <c r="AD299" s="1092"/>
      <c r="AE299" s="1092"/>
      <c r="AF299" s="1092"/>
      <c r="AG299" s="1092"/>
      <c r="AH299" s="1092"/>
      <c r="AI299" s="1092"/>
      <c r="AJ299" s="1092"/>
      <c r="AK299" s="1092"/>
      <c r="BA299" s="43"/>
    </row>
    <row r="300" spans="2:53" ht="12.95" customHeight="1">
      <c r="B300" s="41" t="s">
        <v>399</v>
      </c>
      <c r="C300" s="41"/>
      <c r="D300" s="41"/>
      <c r="E300" s="41"/>
      <c r="F300" s="41"/>
      <c r="H300" s="1092" t="s">
        <v>2394</v>
      </c>
      <c r="I300" s="1092"/>
      <c r="J300" s="1092"/>
      <c r="K300" s="1092"/>
      <c r="L300" s="1092"/>
      <c r="M300" s="1092"/>
      <c r="N300" s="1092"/>
      <c r="O300" s="1092"/>
      <c r="P300" s="1092"/>
      <c r="Q300" s="1092"/>
      <c r="R300" s="1092"/>
      <c r="T300" s="41" t="s">
        <v>399</v>
      </c>
      <c r="V300" s="41"/>
      <c r="W300" s="41"/>
      <c r="X300" s="41"/>
      <c r="Y300" s="41"/>
      <c r="AA300" s="1092" t="s">
        <v>2406</v>
      </c>
      <c r="AB300" s="1092"/>
      <c r="AC300" s="1092"/>
      <c r="AD300" s="1092"/>
      <c r="AE300" s="1092"/>
      <c r="AF300" s="1092"/>
      <c r="AG300" s="1092"/>
      <c r="AH300" s="1092"/>
      <c r="AI300" s="1092"/>
      <c r="AJ300" s="1092"/>
      <c r="AK300" s="1092"/>
      <c r="BA300" s="43"/>
    </row>
    <row r="301" spans="2:53" ht="12.95" customHeight="1">
      <c r="B301" s="41" t="s">
        <v>400</v>
      </c>
      <c r="C301" s="41"/>
      <c r="D301" s="41"/>
      <c r="E301" s="41"/>
      <c r="F301" s="41"/>
      <c r="G301" s="41"/>
      <c r="H301" s="1114" t="s">
        <v>2395</v>
      </c>
      <c r="I301" s="1115"/>
      <c r="J301" s="1115"/>
      <c r="K301" s="1115"/>
      <c r="L301" s="1115"/>
      <c r="M301" s="1115"/>
      <c r="N301" s="5" t="s">
        <v>859</v>
      </c>
      <c r="O301" s="5"/>
      <c r="P301" s="1119"/>
      <c r="Q301" s="1119"/>
      <c r="R301" s="1119"/>
      <c r="S301" s="41"/>
      <c r="T301" s="41" t="s">
        <v>400</v>
      </c>
      <c r="V301" s="41"/>
      <c r="W301" s="41"/>
      <c r="X301" s="41"/>
      <c r="Y301" s="41"/>
      <c r="AA301" s="1114" t="s">
        <v>2407</v>
      </c>
      <c r="AB301" s="1115"/>
      <c r="AC301" s="1115"/>
      <c r="AD301" s="1115"/>
      <c r="AE301" s="1115"/>
      <c r="AF301" s="1115"/>
      <c r="AG301" s="5" t="s">
        <v>859</v>
      </c>
      <c r="AH301" s="5"/>
      <c r="AI301" s="1119"/>
      <c r="AJ301" s="1119"/>
      <c r="AK301" s="1119"/>
      <c r="BA301" s="43"/>
    </row>
    <row r="302" spans="2:53" ht="12.95" customHeight="1">
      <c r="B302" s="41" t="s">
        <v>401</v>
      </c>
      <c r="C302" s="41"/>
      <c r="D302" s="41"/>
      <c r="E302" s="41"/>
      <c r="F302" s="41"/>
      <c r="G302" s="41"/>
      <c r="H302" s="1116"/>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2.95" customHeight="1">
      <c r="B303" s="41" t="s">
        <v>738</v>
      </c>
      <c r="C303" s="41"/>
      <c r="D303" s="41"/>
      <c r="E303" s="41"/>
      <c r="F303" s="41"/>
      <c r="G303" s="41"/>
      <c r="H303" s="1092" t="s">
        <v>2396</v>
      </c>
      <c r="I303" s="1092"/>
      <c r="J303" s="1092"/>
      <c r="K303" s="1092"/>
      <c r="L303" s="1092"/>
      <c r="M303" s="1092"/>
      <c r="N303" s="1091"/>
      <c r="O303" s="1091"/>
      <c r="P303" s="1091"/>
      <c r="Q303" s="1091"/>
      <c r="R303" s="1091"/>
      <c r="S303" s="41"/>
      <c r="T303" s="41" t="s">
        <v>738</v>
      </c>
      <c r="V303" s="41"/>
      <c r="W303" s="41"/>
      <c r="X303" s="41"/>
      <c r="Y303" s="41"/>
      <c r="AA303" s="1092"/>
      <c r="AB303" s="1092"/>
      <c r="AC303" s="1092"/>
      <c r="AD303" s="1092"/>
      <c r="AE303" s="1092"/>
      <c r="AF303" s="1092"/>
      <c r="AG303" s="1091"/>
      <c r="AH303" s="1091"/>
      <c r="AI303" s="1091"/>
      <c r="AJ303" s="1091"/>
      <c r="AK303" s="1091"/>
      <c r="BA303" s="43"/>
    </row>
    <row r="304" spans="2:53" ht="12.95" customHeight="1">
      <c r="BA304" s="43"/>
    </row>
    <row r="305" spans="2:53" ht="12.95" customHeight="1">
      <c r="B305" s="41" t="s">
        <v>739</v>
      </c>
      <c r="C305" s="41"/>
      <c r="D305" s="41"/>
      <c r="E305" s="41"/>
      <c r="F305" s="41"/>
      <c r="H305" s="1091" t="s">
        <v>2391</v>
      </c>
      <c r="I305" s="1091"/>
      <c r="J305" s="1091"/>
      <c r="K305" s="1091"/>
      <c r="L305" s="1091"/>
      <c r="M305" s="1091"/>
      <c r="N305" s="1091"/>
      <c r="O305" s="1091"/>
      <c r="P305" s="1091"/>
      <c r="Q305" s="1091"/>
      <c r="R305" s="1091"/>
      <c r="T305" s="5" t="s">
        <v>1152</v>
      </c>
      <c r="V305" s="41"/>
      <c r="W305" s="41"/>
      <c r="X305" s="41"/>
      <c r="Y305" s="41"/>
      <c r="AA305" s="1091" t="s">
        <v>2408</v>
      </c>
      <c r="AB305" s="1091"/>
      <c r="AC305" s="1091"/>
      <c r="AD305" s="1091"/>
      <c r="AE305" s="1091"/>
      <c r="AF305" s="1091"/>
      <c r="AG305" s="1091"/>
      <c r="AH305" s="1091"/>
      <c r="AI305" s="1091"/>
      <c r="AJ305" s="1091"/>
      <c r="AK305" s="1091"/>
      <c r="BA305" s="43"/>
    </row>
    <row r="306" spans="2:53" ht="12.95" customHeight="1">
      <c r="B306" s="41" t="s">
        <v>735</v>
      </c>
      <c r="C306" s="41"/>
      <c r="D306" s="41"/>
      <c r="E306" s="41"/>
      <c r="F306" s="41"/>
      <c r="H306" s="1092" t="s">
        <v>2392</v>
      </c>
      <c r="I306" s="1092"/>
      <c r="J306" s="1092"/>
      <c r="K306" s="1092"/>
      <c r="L306" s="1092"/>
      <c r="M306" s="1092"/>
      <c r="N306" s="1092"/>
      <c r="O306" s="1092"/>
      <c r="P306" s="1092"/>
      <c r="Q306" s="1092"/>
      <c r="R306" s="1092"/>
      <c r="T306" s="41" t="s">
        <v>735</v>
      </c>
      <c r="V306" s="41"/>
      <c r="W306" s="41"/>
      <c r="X306" s="41"/>
      <c r="Y306" s="41"/>
      <c r="AA306" s="1092" t="s">
        <v>2409</v>
      </c>
      <c r="AB306" s="1092"/>
      <c r="AC306" s="1092"/>
      <c r="AD306" s="1092"/>
      <c r="AE306" s="1092"/>
      <c r="AF306" s="1092"/>
      <c r="AG306" s="1092"/>
      <c r="AH306" s="1092"/>
      <c r="AI306" s="1092"/>
      <c r="AJ306" s="1092"/>
      <c r="AK306" s="1092"/>
      <c r="BA306" s="43"/>
    </row>
    <row r="307" spans="2:53" ht="12.95" customHeight="1">
      <c r="B307" s="41" t="s">
        <v>737</v>
      </c>
      <c r="C307" s="41"/>
      <c r="D307" s="41"/>
      <c r="E307" s="41"/>
      <c r="F307" s="41"/>
      <c r="H307" s="1092" t="s">
        <v>2393</v>
      </c>
      <c r="I307" s="1092"/>
      <c r="J307" s="1092"/>
      <c r="K307" s="1092"/>
      <c r="L307" s="1092"/>
      <c r="M307" s="1092"/>
      <c r="N307" s="1092"/>
      <c r="O307" s="1092"/>
      <c r="P307" s="1092"/>
      <c r="Q307" s="1092"/>
      <c r="R307" s="1092"/>
      <c r="T307" s="41" t="s">
        <v>736</v>
      </c>
      <c r="V307" s="41"/>
      <c r="W307" s="41"/>
      <c r="X307" s="41"/>
      <c r="Y307" s="41"/>
      <c r="AA307" s="1092" t="s">
        <v>2410</v>
      </c>
      <c r="AB307" s="1092"/>
      <c r="AC307" s="1092"/>
      <c r="AD307" s="1092"/>
      <c r="AE307" s="1092"/>
      <c r="AF307" s="1092"/>
      <c r="AG307" s="1092"/>
      <c r="AH307" s="1092"/>
      <c r="AI307" s="1092"/>
      <c r="AJ307" s="1092"/>
      <c r="AK307" s="1092"/>
      <c r="BA307" s="43"/>
    </row>
    <row r="308" spans="2:53" ht="12.95" customHeight="1">
      <c r="B308" s="41" t="s">
        <v>399</v>
      </c>
      <c r="C308" s="41"/>
      <c r="D308" s="41"/>
      <c r="E308" s="41"/>
      <c r="F308" s="41"/>
      <c r="H308" s="1092" t="s">
        <v>2394</v>
      </c>
      <c r="I308" s="1092"/>
      <c r="J308" s="1092"/>
      <c r="K308" s="1092"/>
      <c r="L308" s="1092"/>
      <c r="M308" s="1092"/>
      <c r="N308" s="1092"/>
      <c r="O308" s="1092"/>
      <c r="P308" s="1092"/>
      <c r="Q308" s="1092"/>
      <c r="R308" s="1092"/>
      <c r="T308" s="41" t="s">
        <v>399</v>
      </c>
      <c r="V308" s="41"/>
      <c r="W308" s="41"/>
      <c r="X308" s="41"/>
      <c r="Y308" s="41"/>
      <c r="AA308" s="1092" t="s">
        <v>2411</v>
      </c>
      <c r="AB308" s="1092"/>
      <c r="AC308" s="1092"/>
      <c r="AD308" s="1092"/>
      <c r="AE308" s="1092"/>
      <c r="AF308" s="1092"/>
      <c r="AG308" s="1092"/>
      <c r="AH308" s="1092"/>
      <c r="AI308" s="1092"/>
      <c r="AJ308" s="1092"/>
      <c r="AK308" s="1092"/>
      <c r="BA308" s="43"/>
    </row>
    <row r="309" spans="2:53" ht="12.95" customHeight="1">
      <c r="B309" s="41" t="s">
        <v>400</v>
      </c>
      <c r="C309" s="41"/>
      <c r="D309" s="41"/>
      <c r="E309" s="41"/>
      <c r="F309" s="41"/>
      <c r="G309" s="41"/>
      <c r="H309" s="1114" t="s">
        <v>2395</v>
      </c>
      <c r="I309" s="1115"/>
      <c r="J309" s="1115"/>
      <c r="K309" s="1115"/>
      <c r="L309" s="1115"/>
      <c r="M309" s="1115"/>
      <c r="N309" s="5" t="s">
        <v>859</v>
      </c>
      <c r="O309" s="5"/>
      <c r="P309" s="1119"/>
      <c r="Q309" s="1119"/>
      <c r="R309" s="1119"/>
      <c r="S309" s="41"/>
      <c r="T309" s="41" t="s">
        <v>400</v>
      </c>
      <c r="V309" s="41"/>
      <c r="W309" s="41"/>
      <c r="X309" s="41"/>
      <c r="Y309" s="41"/>
      <c r="AA309" s="1114" t="s">
        <v>2412</v>
      </c>
      <c r="AB309" s="1115"/>
      <c r="AC309" s="1115"/>
      <c r="AD309" s="1115"/>
      <c r="AE309" s="1115"/>
      <c r="AF309" s="1115"/>
      <c r="AG309" s="5" t="s">
        <v>859</v>
      </c>
      <c r="AH309" s="5"/>
      <c r="AI309" s="1119"/>
      <c r="AJ309" s="1119"/>
      <c r="AK309" s="1119"/>
      <c r="BA309" s="43"/>
    </row>
    <row r="310" spans="2:53" ht="12.95" customHeight="1">
      <c r="B310" s="41" t="s">
        <v>401</v>
      </c>
      <c r="C310" s="41"/>
      <c r="D310" s="41"/>
      <c r="E310" s="41"/>
      <c r="F310" s="41"/>
      <c r="G310" s="41"/>
      <c r="H310" s="1116"/>
      <c r="I310" s="1116"/>
      <c r="J310" s="1116"/>
      <c r="K310" s="1116"/>
      <c r="L310" s="1116"/>
      <c r="M310" s="1116"/>
      <c r="N310" s="5"/>
      <c r="O310" s="5"/>
      <c r="P310" s="44"/>
      <c r="Q310" s="44"/>
      <c r="R310" s="44"/>
      <c r="S310" s="41"/>
      <c r="T310" s="41" t="s">
        <v>401</v>
      </c>
      <c r="V310" s="41"/>
      <c r="W310" s="41"/>
      <c r="X310" s="41"/>
      <c r="Y310" s="41"/>
      <c r="AA310" s="1117" t="s">
        <v>2413</v>
      </c>
      <c r="AB310" s="1116"/>
      <c r="AC310" s="1116"/>
      <c r="AD310" s="1116"/>
      <c r="AE310" s="1116"/>
      <c r="AF310" s="1116"/>
      <c r="AG310" s="5"/>
      <c r="AH310" s="5"/>
      <c r="AI310" s="44"/>
      <c r="AJ310" s="44"/>
      <c r="AK310" s="44"/>
      <c r="BA310" s="43"/>
    </row>
    <row r="311" spans="2:53" ht="12.95" customHeight="1">
      <c r="B311" s="41" t="s">
        <v>738</v>
      </c>
      <c r="C311" s="41"/>
      <c r="D311" s="41"/>
      <c r="E311" s="41"/>
      <c r="F311" s="41"/>
      <c r="G311" s="41"/>
      <c r="H311" s="1092" t="s">
        <v>2396</v>
      </c>
      <c r="I311" s="1092"/>
      <c r="J311" s="1092"/>
      <c r="K311" s="1092"/>
      <c r="L311" s="1092"/>
      <c r="M311" s="1092"/>
      <c r="N311" s="1091"/>
      <c r="O311" s="1091"/>
      <c r="P311" s="1091"/>
      <c r="Q311" s="1091"/>
      <c r="R311" s="1091"/>
      <c r="S311" s="41"/>
      <c r="T311" s="41" t="s">
        <v>738</v>
      </c>
      <c r="V311" s="41"/>
      <c r="W311" s="41"/>
      <c r="X311" s="41"/>
      <c r="Y311" s="41"/>
      <c r="AA311" s="1092" t="s">
        <v>2414</v>
      </c>
      <c r="AB311" s="1092"/>
      <c r="AC311" s="1092"/>
      <c r="AD311" s="1092"/>
      <c r="AE311" s="1092"/>
      <c r="AF311" s="1092"/>
      <c r="AG311" s="1091"/>
      <c r="AH311" s="1091"/>
      <c r="AI311" s="1091"/>
      <c r="AJ311" s="1091"/>
      <c r="AK311" s="1091"/>
      <c r="BA311" s="43"/>
    </row>
    <row r="312" spans="2:53" ht="12.95" customHeight="1">
      <c r="BA312" s="43"/>
    </row>
    <row r="313" spans="2:53" ht="12.95" customHeight="1">
      <c r="B313" s="5" t="s">
        <v>1194</v>
      </c>
      <c r="C313" s="41"/>
      <c r="D313" s="41"/>
      <c r="E313" s="41"/>
      <c r="F313" s="41"/>
      <c r="H313" s="1091" t="s">
        <v>2415</v>
      </c>
      <c r="I313" s="1091"/>
      <c r="J313" s="1091"/>
      <c r="K313" s="1091"/>
      <c r="L313" s="1091"/>
      <c r="M313" s="1091"/>
      <c r="N313" s="1091"/>
      <c r="O313" s="1091"/>
      <c r="P313" s="1091"/>
      <c r="Q313" s="1091"/>
      <c r="R313" s="1091"/>
      <c r="T313" s="41" t="s">
        <v>40</v>
      </c>
      <c r="V313" s="41"/>
      <c r="W313" s="41"/>
      <c r="X313" s="41"/>
      <c r="Y313" s="41"/>
      <c r="AA313" s="1091" t="s">
        <v>2421</v>
      </c>
      <c r="AB313" s="1091"/>
      <c r="AC313" s="1091"/>
      <c r="AD313" s="1091"/>
      <c r="AE313" s="1091"/>
      <c r="AF313" s="1091"/>
      <c r="AG313" s="1091"/>
      <c r="AH313" s="1091"/>
      <c r="AI313" s="1091"/>
      <c r="AJ313" s="1091"/>
      <c r="AK313" s="1091"/>
      <c r="BA313" s="43"/>
    </row>
    <row r="314" spans="2:53" ht="12.95" customHeight="1">
      <c r="B314" s="41" t="s">
        <v>735</v>
      </c>
      <c r="C314" s="41"/>
      <c r="D314" s="41"/>
      <c r="E314" s="41"/>
      <c r="F314" s="41"/>
      <c r="H314" s="1092" t="s">
        <v>2416</v>
      </c>
      <c r="I314" s="1092"/>
      <c r="J314" s="1092"/>
      <c r="K314" s="1092"/>
      <c r="L314" s="1092"/>
      <c r="M314" s="1092"/>
      <c r="N314" s="1092"/>
      <c r="O314" s="1092"/>
      <c r="P314" s="1092"/>
      <c r="Q314" s="1092"/>
      <c r="R314" s="1092"/>
      <c r="T314" s="41" t="s">
        <v>735</v>
      </c>
      <c r="V314" s="41"/>
      <c r="W314" s="41"/>
      <c r="X314" s="41"/>
      <c r="Y314" s="41"/>
      <c r="AA314" s="1092" t="s">
        <v>2422</v>
      </c>
      <c r="AB314" s="1092"/>
      <c r="AC314" s="1092"/>
      <c r="AD314" s="1092"/>
      <c r="AE314" s="1092"/>
      <c r="AF314" s="1092"/>
      <c r="AG314" s="1092"/>
      <c r="AH314" s="1092"/>
      <c r="AI314" s="1092"/>
      <c r="AJ314" s="1092"/>
      <c r="AK314" s="1092"/>
      <c r="BA314" s="43"/>
    </row>
    <row r="315" spans="2:53" ht="12.95" customHeight="1">
      <c r="B315" s="41" t="s">
        <v>737</v>
      </c>
      <c r="C315" s="41"/>
      <c r="D315" s="41"/>
      <c r="E315" s="41"/>
      <c r="F315" s="41"/>
      <c r="H315" s="1092" t="s">
        <v>2417</v>
      </c>
      <c r="I315" s="1092"/>
      <c r="J315" s="1092"/>
      <c r="K315" s="1092"/>
      <c r="L315" s="1092"/>
      <c r="M315" s="1092"/>
      <c r="N315" s="1092"/>
      <c r="O315" s="1092"/>
      <c r="P315" s="1092"/>
      <c r="Q315" s="1092"/>
      <c r="R315" s="1092"/>
      <c r="T315" s="41" t="s">
        <v>736</v>
      </c>
      <c r="V315" s="41"/>
      <c r="W315" s="41"/>
      <c r="X315" s="41"/>
      <c r="Y315" s="41"/>
      <c r="AA315" s="1092" t="s">
        <v>2423</v>
      </c>
      <c r="AB315" s="1092"/>
      <c r="AC315" s="1092"/>
      <c r="AD315" s="1092"/>
      <c r="AE315" s="1092"/>
      <c r="AF315" s="1092"/>
      <c r="AG315" s="1092"/>
      <c r="AH315" s="1092"/>
      <c r="AI315" s="1092"/>
      <c r="AJ315" s="1092"/>
      <c r="AK315" s="1092"/>
      <c r="BA315" s="43"/>
    </row>
    <row r="316" spans="2:53" ht="12.95" customHeight="1">
      <c r="B316" s="41" t="s">
        <v>399</v>
      </c>
      <c r="C316" s="41"/>
      <c r="D316" s="41"/>
      <c r="E316" s="41"/>
      <c r="F316" s="41"/>
      <c r="H316" s="1092" t="s">
        <v>2418</v>
      </c>
      <c r="I316" s="1092"/>
      <c r="J316" s="1092"/>
      <c r="K316" s="1092"/>
      <c r="L316" s="1092"/>
      <c r="M316" s="1092"/>
      <c r="N316" s="1092"/>
      <c r="O316" s="1092"/>
      <c r="P316" s="1092"/>
      <c r="Q316" s="1092"/>
      <c r="R316" s="1092"/>
      <c r="T316" s="41" t="s">
        <v>399</v>
      </c>
      <c r="V316" s="41"/>
      <c r="W316" s="41"/>
      <c r="X316" s="41"/>
      <c r="Y316" s="41"/>
      <c r="AA316" s="1092" t="s">
        <v>2424</v>
      </c>
      <c r="AB316" s="1092"/>
      <c r="AC316" s="1092"/>
      <c r="AD316" s="1092"/>
      <c r="AE316" s="1092"/>
      <c r="AF316" s="1092"/>
      <c r="AG316" s="1092"/>
      <c r="AH316" s="1092"/>
      <c r="AI316" s="1092"/>
      <c r="AJ316" s="1092"/>
      <c r="AK316" s="1092"/>
      <c r="BA316" s="43"/>
    </row>
    <row r="317" spans="2:53" ht="12.95" customHeight="1">
      <c r="B317" s="41" t="s">
        <v>400</v>
      </c>
      <c r="C317" s="41"/>
      <c r="D317" s="41"/>
      <c r="E317" s="41"/>
      <c r="F317" s="41"/>
      <c r="G317" s="41"/>
      <c r="H317" s="1114" t="s">
        <v>2419</v>
      </c>
      <c r="I317" s="1115"/>
      <c r="J317" s="1115"/>
      <c r="K317" s="1115"/>
      <c r="L317" s="1115"/>
      <c r="M317" s="1115"/>
      <c r="N317" s="5" t="s">
        <v>859</v>
      </c>
      <c r="O317" s="5"/>
      <c r="P317" s="1119"/>
      <c r="Q317" s="1119"/>
      <c r="R317" s="1119"/>
      <c r="S317" s="41"/>
      <c r="T317" s="41" t="s">
        <v>400</v>
      </c>
      <c r="V317" s="41"/>
      <c r="W317" s="41"/>
      <c r="X317" s="41"/>
      <c r="Y317" s="41"/>
      <c r="AA317" s="1114" t="s">
        <v>2425</v>
      </c>
      <c r="AB317" s="1115"/>
      <c r="AC317" s="1115"/>
      <c r="AD317" s="1115"/>
      <c r="AE317" s="1115"/>
      <c r="AF317" s="1115"/>
      <c r="AG317" s="5" t="s">
        <v>859</v>
      </c>
      <c r="AH317" s="5"/>
      <c r="AI317" s="1119"/>
      <c r="AJ317" s="1119"/>
      <c r="AK317" s="1119"/>
      <c r="BA317" s="43"/>
    </row>
    <row r="318" spans="2:53" ht="12.95" customHeight="1">
      <c r="B318" s="41" t="s">
        <v>401</v>
      </c>
      <c r="C318" s="41"/>
      <c r="D318" s="41"/>
      <c r="E318" s="41"/>
      <c r="F318" s="41"/>
      <c r="G318" s="41"/>
      <c r="H318" s="1116"/>
      <c r="I318" s="1116"/>
      <c r="J318" s="1116"/>
      <c r="K318" s="1116"/>
      <c r="L318" s="1116"/>
      <c r="M318" s="1116"/>
      <c r="N318" s="5"/>
      <c r="O318" s="5"/>
      <c r="P318" s="44"/>
      <c r="Q318" s="44"/>
      <c r="R318" s="44"/>
      <c r="S318" s="41"/>
      <c r="T318" s="41" t="s">
        <v>401</v>
      </c>
      <c r="V318" s="41"/>
      <c r="W318" s="41"/>
      <c r="X318" s="41"/>
      <c r="Y318" s="41"/>
      <c r="AA318" s="1116"/>
      <c r="AB318" s="1116"/>
      <c r="AC318" s="1116"/>
      <c r="AD318" s="1116"/>
      <c r="AE318" s="1116"/>
      <c r="AF318" s="1116"/>
      <c r="AG318" s="5"/>
      <c r="AH318" s="5"/>
      <c r="AI318" s="44"/>
      <c r="AJ318" s="44"/>
      <c r="AK318" s="44"/>
      <c r="BA318" s="43"/>
    </row>
    <row r="319" spans="2:53" ht="12.95" customHeight="1">
      <c r="B319" s="41" t="s">
        <v>738</v>
      </c>
      <c r="C319" s="41"/>
      <c r="D319" s="41"/>
      <c r="E319" s="41"/>
      <c r="F319" s="41"/>
      <c r="G319" s="41"/>
      <c r="H319" s="1092" t="s">
        <v>2420</v>
      </c>
      <c r="I319" s="1092"/>
      <c r="J319" s="1092"/>
      <c r="K319" s="1092"/>
      <c r="L319" s="1092"/>
      <c r="M319" s="1092"/>
      <c r="N319" s="1091"/>
      <c r="O319" s="1091"/>
      <c r="P319" s="1091"/>
      <c r="Q319" s="1091"/>
      <c r="R319" s="1091"/>
      <c r="S319" s="41"/>
      <c r="T319" s="41" t="s">
        <v>738</v>
      </c>
      <c r="V319" s="41"/>
      <c r="W319" s="41"/>
      <c r="X319" s="41"/>
      <c r="Y319" s="41"/>
      <c r="AA319" s="1092" t="s">
        <v>2426</v>
      </c>
      <c r="AB319" s="1092"/>
      <c r="AC319" s="1092"/>
      <c r="AD319" s="1092"/>
      <c r="AE319" s="1092"/>
      <c r="AF319" s="1092"/>
      <c r="AG319" s="1091"/>
      <c r="AH319" s="1091"/>
      <c r="AI319" s="1091"/>
      <c r="AJ319" s="1091"/>
      <c r="AK319" s="1091"/>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1" t="s">
        <v>2427</v>
      </c>
      <c r="I321" s="1091"/>
      <c r="J321" s="1091"/>
      <c r="K321" s="1091"/>
      <c r="L321" s="1091"/>
      <c r="M321" s="1091"/>
      <c r="N321" s="1091"/>
      <c r="O321" s="1091"/>
      <c r="P321" s="1091"/>
      <c r="Q321" s="1091"/>
      <c r="R321" s="1091"/>
      <c r="T321" s="41" t="s">
        <v>41</v>
      </c>
      <c r="V321" s="41"/>
      <c r="W321" s="41"/>
      <c r="X321" s="41"/>
      <c r="Y321" s="41"/>
      <c r="AA321" s="1091" t="s">
        <v>2434</v>
      </c>
      <c r="AB321" s="1091"/>
      <c r="AC321" s="1091"/>
      <c r="AD321" s="1091"/>
      <c r="AE321" s="1091"/>
      <c r="AF321" s="1091"/>
      <c r="AG321" s="1091"/>
      <c r="AH321" s="1091"/>
      <c r="AI321" s="1091"/>
      <c r="AJ321" s="1091"/>
      <c r="AK321" s="1091"/>
      <c r="BA321" s="43"/>
    </row>
    <row r="322" spans="2:53" ht="12.95" customHeight="1">
      <c r="B322" s="41" t="s">
        <v>735</v>
      </c>
      <c r="C322" s="41"/>
      <c r="D322" s="41"/>
      <c r="E322" s="41"/>
      <c r="F322" s="41"/>
      <c r="H322" s="1092" t="s">
        <v>2428</v>
      </c>
      <c r="I322" s="1092"/>
      <c r="J322" s="1092"/>
      <c r="K322" s="1092"/>
      <c r="L322" s="1092"/>
      <c r="M322" s="1092"/>
      <c r="N322" s="1092"/>
      <c r="O322" s="1092"/>
      <c r="P322" s="1092"/>
      <c r="Q322" s="1092"/>
      <c r="R322" s="1092"/>
      <c r="T322" s="41" t="s">
        <v>735</v>
      </c>
      <c r="V322" s="41"/>
      <c r="W322" s="41"/>
      <c r="X322" s="41"/>
      <c r="Y322" s="41"/>
      <c r="AA322" s="1092" t="s">
        <v>2435</v>
      </c>
      <c r="AB322" s="1092"/>
      <c r="AC322" s="1092"/>
      <c r="AD322" s="1092"/>
      <c r="AE322" s="1092"/>
      <c r="AF322" s="1092"/>
      <c r="AG322" s="1092"/>
      <c r="AH322" s="1092"/>
      <c r="AI322" s="1092"/>
      <c r="AJ322" s="1092"/>
      <c r="AK322" s="1092"/>
      <c r="BA322" s="43"/>
    </row>
    <row r="323" spans="2:53" ht="12.95" customHeight="1">
      <c r="B323" s="41" t="s">
        <v>737</v>
      </c>
      <c r="C323" s="41"/>
      <c r="D323" s="41"/>
      <c r="E323" s="41"/>
      <c r="F323" s="41"/>
      <c r="H323" s="1092" t="s">
        <v>2429</v>
      </c>
      <c r="I323" s="1092"/>
      <c r="J323" s="1092"/>
      <c r="K323" s="1092"/>
      <c r="L323" s="1092"/>
      <c r="M323" s="1092"/>
      <c r="N323" s="1092"/>
      <c r="O323" s="1092"/>
      <c r="P323" s="1092"/>
      <c r="Q323" s="1092"/>
      <c r="R323" s="1092"/>
      <c r="T323" s="41" t="s">
        <v>736</v>
      </c>
      <c r="V323" s="41"/>
      <c r="W323" s="41"/>
      <c r="X323" s="41"/>
      <c r="Y323" s="41"/>
      <c r="AA323" s="1092" t="s">
        <v>2436</v>
      </c>
      <c r="AB323" s="1092"/>
      <c r="AC323" s="1092"/>
      <c r="AD323" s="1092"/>
      <c r="AE323" s="1092"/>
      <c r="AF323" s="1092"/>
      <c r="AG323" s="1092"/>
      <c r="AH323" s="1092"/>
      <c r="AI323" s="1092"/>
      <c r="AJ323" s="1092"/>
      <c r="AK323" s="1092"/>
      <c r="BA323" s="43"/>
    </row>
    <row r="324" spans="2:53" ht="12.95" customHeight="1">
      <c r="B324" s="41" t="s">
        <v>399</v>
      </c>
      <c r="C324" s="41"/>
      <c r="D324" s="41"/>
      <c r="E324" s="41"/>
      <c r="F324" s="41"/>
      <c r="H324" s="1092" t="s">
        <v>2430</v>
      </c>
      <c r="I324" s="1092"/>
      <c r="J324" s="1092"/>
      <c r="K324" s="1092"/>
      <c r="L324" s="1092"/>
      <c r="M324" s="1092"/>
      <c r="N324" s="1092"/>
      <c r="O324" s="1092"/>
      <c r="P324" s="1092"/>
      <c r="Q324" s="1092"/>
      <c r="R324" s="1092"/>
      <c r="T324" s="41" t="s">
        <v>399</v>
      </c>
      <c r="V324" s="41"/>
      <c r="W324" s="41"/>
      <c r="X324" s="41"/>
      <c r="Y324" s="41"/>
      <c r="AA324" s="1092" t="s">
        <v>2437</v>
      </c>
      <c r="AB324" s="1092"/>
      <c r="AC324" s="1092"/>
      <c r="AD324" s="1092"/>
      <c r="AE324" s="1092"/>
      <c r="AF324" s="1092"/>
      <c r="AG324" s="1092"/>
      <c r="AH324" s="1092"/>
      <c r="AI324" s="1092"/>
      <c r="AJ324" s="1092"/>
      <c r="AK324" s="1092"/>
      <c r="BA324" s="43"/>
    </row>
    <row r="325" spans="2:53" ht="12.95" customHeight="1">
      <c r="B325" s="41" t="s">
        <v>400</v>
      </c>
      <c r="C325" s="41"/>
      <c r="D325" s="41"/>
      <c r="E325" s="41"/>
      <c r="F325" s="41"/>
      <c r="G325" s="41"/>
      <c r="H325" s="1114" t="s">
        <v>2431</v>
      </c>
      <c r="I325" s="1115"/>
      <c r="J325" s="1115"/>
      <c r="K325" s="1115"/>
      <c r="L325" s="1115"/>
      <c r="M325" s="1115"/>
      <c r="N325" s="5" t="s">
        <v>859</v>
      </c>
      <c r="O325" s="5"/>
      <c r="P325" s="1119"/>
      <c r="Q325" s="1119"/>
      <c r="R325" s="1119"/>
      <c r="S325" s="41"/>
      <c r="T325" s="41" t="s">
        <v>400</v>
      </c>
      <c r="V325" s="41"/>
      <c r="W325" s="41"/>
      <c r="X325" s="41"/>
      <c r="Y325" s="41"/>
      <c r="AA325" s="1114" t="s">
        <v>2438</v>
      </c>
      <c r="AB325" s="1115"/>
      <c r="AC325" s="1115"/>
      <c r="AD325" s="1115"/>
      <c r="AE325" s="1115"/>
      <c r="AF325" s="1115"/>
      <c r="AG325" s="5" t="s">
        <v>859</v>
      </c>
      <c r="AH325" s="5"/>
      <c r="AI325" s="1119"/>
      <c r="AJ325" s="1119"/>
      <c r="AK325" s="1119"/>
      <c r="BA325" s="43"/>
    </row>
    <row r="326" spans="2:53" ht="12.95" customHeight="1">
      <c r="B326" s="41" t="s">
        <v>401</v>
      </c>
      <c r="C326" s="41"/>
      <c r="D326" s="41"/>
      <c r="E326" s="41"/>
      <c r="F326" s="41"/>
      <c r="G326" s="41"/>
      <c r="H326" s="1117" t="s">
        <v>2432</v>
      </c>
      <c r="I326" s="1116"/>
      <c r="J326" s="1116"/>
      <c r="K326" s="1116"/>
      <c r="L326" s="1116"/>
      <c r="M326" s="1116"/>
      <c r="N326" s="5"/>
      <c r="O326" s="5"/>
      <c r="P326" s="44"/>
      <c r="Q326" s="44"/>
      <c r="R326" s="44"/>
      <c r="S326" s="41"/>
      <c r="T326" s="41" t="s">
        <v>401</v>
      </c>
      <c r="V326" s="41"/>
      <c r="W326" s="41"/>
      <c r="X326" s="41"/>
      <c r="Y326" s="41"/>
      <c r="AA326" s="1116"/>
      <c r="AB326" s="1116"/>
      <c r="AC326" s="1116"/>
      <c r="AD326" s="1116"/>
      <c r="AE326" s="1116"/>
      <c r="AF326" s="1116"/>
      <c r="AG326" s="5"/>
      <c r="AH326" s="5"/>
      <c r="AI326" s="44"/>
      <c r="AJ326" s="44"/>
      <c r="AK326" s="44"/>
      <c r="BA326" s="43"/>
    </row>
    <row r="327" spans="2:53" ht="12.95" customHeight="1">
      <c r="B327" s="41" t="s">
        <v>738</v>
      </c>
      <c r="C327" s="41"/>
      <c r="D327" s="41"/>
      <c r="E327" s="41"/>
      <c r="F327" s="41"/>
      <c r="G327" s="41"/>
      <c r="H327" s="1092" t="s">
        <v>2433</v>
      </c>
      <c r="I327" s="1092"/>
      <c r="J327" s="1092"/>
      <c r="K327" s="1092"/>
      <c r="L327" s="1092"/>
      <c r="M327" s="1092"/>
      <c r="N327" s="1091"/>
      <c r="O327" s="1091"/>
      <c r="P327" s="1091"/>
      <c r="Q327" s="1091"/>
      <c r="R327" s="1091"/>
      <c r="S327" s="41"/>
      <c r="T327" s="41" t="s">
        <v>738</v>
      </c>
      <c r="V327" s="41"/>
      <c r="W327" s="41"/>
      <c r="X327" s="41"/>
      <c r="Y327" s="41"/>
      <c r="AA327" s="1092" t="s">
        <v>2439</v>
      </c>
      <c r="AB327" s="1092"/>
      <c r="AC327" s="1092"/>
      <c r="AD327" s="1092"/>
      <c r="AE327" s="1092"/>
      <c r="AF327" s="1092"/>
      <c r="AG327" s="1091"/>
      <c r="AH327" s="1091"/>
      <c r="AI327" s="1091"/>
      <c r="AJ327" s="1091"/>
      <c r="AK327" s="1091"/>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1" t="s">
        <v>2440</v>
      </c>
      <c r="I329" s="1091"/>
      <c r="J329" s="1091"/>
      <c r="K329" s="1091"/>
      <c r="L329" s="1091"/>
      <c r="M329" s="1091"/>
      <c r="N329" s="1091"/>
      <c r="O329" s="1091"/>
      <c r="P329" s="1091"/>
      <c r="Q329" s="1091"/>
      <c r="R329" s="1091"/>
      <c r="T329" s="5" t="s">
        <v>1153</v>
      </c>
      <c r="V329" s="41"/>
      <c r="W329" s="41"/>
      <c r="X329" s="41"/>
      <c r="Y329" s="41"/>
      <c r="AA329" s="1091" t="s">
        <v>2453</v>
      </c>
      <c r="AB329" s="1091"/>
      <c r="AC329" s="1091"/>
      <c r="AD329" s="1091"/>
      <c r="AE329" s="1091"/>
      <c r="AF329" s="1091"/>
      <c r="AG329" s="1091"/>
      <c r="AH329" s="1091"/>
      <c r="AI329" s="1091"/>
      <c r="AJ329" s="1091"/>
      <c r="AK329" s="1091"/>
      <c r="BA329" s="43"/>
    </row>
    <row r="330" spans="2:53" ht="12.95" customHeight="1">
      <c r="B330" s="41" t="s">
        <v>735</v>
      </c>
      <c r="C330" s="41"/>
      <c r="D330" s="41"/>
      <c r="E330" s="41"/>
      <c r="F330" s="41"/>
      <c r="H330" s="1092" t="s">
        <v>2441</v>
      </c>
      <c r="I330" s="1092"/>
      <c r="J330" s="1092"/>
      <c r="K330" s="1092"/>
      <c r="L330" s="1092"/>
      <c r="M330" s="1092"/>
      <c r="N330" s="1092"/>
      <c r="O330" s="1092"/>
      <c r="P330" s="1092"/>
      <c r="Q330" s="1092"/>
      <c r="R330" s="1092"/>
      <c r="T330" s="41" t="s">
        <v>735</v>
      </c>
      <c r="V330" s="41"/>
      <c r="W330" s="41"/>
      <c r="X330" s="41"/>
      <c r="Y330" s="41"/>
      <c r="AA330" s="1092" t="s">
        <v>2454</v>
      </c>
      <c r="AB330" s="1092"/>
      <c r="AC330" s="1092"/>
      <c r="AD330" s="1092"/>
      <c r="AE330" s="1092"/>
      <c r="AF330" s="1092"/>
      <c r="AG330" s="1092"/>
      <c r="AH330" s="1092"/>
      <c r="AI330" s="1092"/>
      <c r="AJ330" s="1092"/>
      <c r="AK330" s="1092"/>
      <c r="BA330" s="43"/>
    </row>
    <row r="331" spans="2:53" ht="12.95" customHeight="1">
      <c r="B331" s="41" t="s">
        <v>737</v>
      </c>
      <c r="C331" s="41"/>
      <c r="D331" s="41"/>
      <c r="E331" s="41"/>
      <c r="F331" s="41"/>
      <c r="G331" s="41"/>
      <c r="H331" s="1092" t="s">
        <v>2442</v>
      </c>
      <c r="I331" s="1092"/>
      <c r="J331" s="1092"/>
      <c r="K331" s="1092"/>
      <c r="L331" s="1092"/>
      <c r="M331" s="1092"/>
      <c r="N331" s="1092"/>
      <c r="O331" s="1092"/>
      <c r="P331" s="1092"/>
      <c r="Q331" s="1092"/>
      <c r="R331" s="1092"/>
      <c r="T331" s="41" t="s">
        <v>736</v>
      </c>
      <c r="V331" s="41"/>
      <c r="W331" s="41"/>
      <c r="X331" s="41"/>
      <c r="Y331" s="41"/>
      <c r="AA331" s="1092" t="s">
        <v>2455</v>
      </c>
      <c r="AB331" s="1092"/>
      <c r="AC331" s="1092"/>
      <c r="AD331" s="1092"/>
      <c r="AE331" s="1092"/>
      <c r="AF331" s="1092"/>
      <c r="AG331" s="1092"/>
      <c r="AH331" s="1092"/>
      <c r="AI331" s="1092"/>
      <c r="AJ331" s="1092"/>
      <c r="AK331" s="1092"/>
      <c r="BA331" s="43"/>
    </row>
    <row r="332" spans="2:53" ht="12.95" customHeight="1">
      <c r="B332" s="41" t="s">
        <v>399</v>
      </c>
      <c r="C332" s="41"/>
      <c r="D332" s="41"/>
      <c r="E332" s="41"/>
      <c r="F332" s="41"/>
      <c r="H332" s="1092" t="s">
        <v>2443</v>
      </c>
      <c r="I332" s="1092"/>
      <c r="J332" s="1092"/>
      <c r="K332" s="1092"/>
      <c r="L332" s="1092"/>
      <c r="M332" s="1092"/>
      <c r="N332" s="1092"/>
      <c r="O332" s="1092"/>
      <c r="P332" s="1092"/>
      <c r="Q332" s="1092"/>
      <c r="R332" s="1092"/>
      <c r="T332" s="41" t="s">
        <v>399</v>
      </c>
      <c r="V332" s="41"/>
      <c r="W332" s="41"/>
      <c r="X332" s="41"/>
      <c r="Y332" s="41"/>
      <c r="AA332" s="1092" t="s">
        <v>2456</v>
      </c>
      <c r="AB332" s="1092"/>
      <c r="AC332" s="1092"/>
      <c r="AD332" s="1092"/>
      <c r="AE332" s="1092"/>
      <c r="AF332" s="1092"/>
      <c r="AG332" s="1092"/>
      <c r="AH332" s="1092"/>
      <c r="AI332" s="1092"/>
      <c r="AJ332" s="1092"/>
      <c r="AK332" s="1092"/>
      <c r="BA332" s="43"/>
    </row>
    <row r="333" spans="2:53" ht="12.95" customHeight="1">
      <c r="B333" s="41" t="s">
        <v>400</v>
      </c>
      <c r="C333" s="41"/>
      <c r="D333" s="41"/>
      <c r="E333" s="41"/>
      <c r="F333" s="41"/>
      <c r="G333" s="41"/>
      <c r="H333" s="1114" t="s">
        <v>2444</v>
      </c>
      <c r="I333" s="1115"/>
      <c r="J333" s="1115"/>
      <c r="K333" s="1115"/>
      <c r="L333" s="1115"/>
      <c r="M333" s="1115"/>
      <c r="N333" s="5" t="s">
        <v>859</v>
      </c>
      <c r="O333" s="5"/>
      <c r="P333" s="1119"/>
      <c r="Q333" s="1119"/>
      <c r="R333" s="1119"/>
      <c r="T333" s="41" t="s">
        <v>400</v>
      </c>
      <c r="V333" s="41"/>
      <c r="W333" s="41"/>
      <c r="X333" s="41"/>
      <c r="Y333" s="41"/>
      <c r="AA333" s="1114" t="s">
        <v>2457</v>
      </c>
      <c r="AB333" s="1115"/>
      <c r="AC333" s="1115"/>
      <c r="AD333" s="1115"/>
      <c r="AE333" s="1115"/>
      <c r="AF333" s="1115"/>
      <c r="AG333" s="5" t="s">
        <v>859</v>
      </c>
      <c r="AH333" s="5"/>
      <c r="AI333" s="1119"/>
      <c r="AJ333" s="1119"/>
      <c r="AK333" s="1119"/>
      <c r="BA333" s="43"/>
    </row>
    <row r="334" spans="2:53" ht="12.95"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c r="AB334" s="1116"/>
      <c r="AC334" s="1116"/>
      <c r="AD334" s="1116"/>
      <c r="AE334" s="1116"/>
      <c r="AF334" s="1116"/>
      <c r="AG334" s="5"/>
      <c r="AH334" s="5"/>
      <c r="AI334" s="44"/>
      <c r="AJ334" s="44"/>
      <c r="AK334" s="44"/>
      <c r="BA334" s="43"/>
    </row>
    <row r="335" spans="2:53" ht="12.95" customHeight="1">
      <c r="B335" s="41" t="s">
        <v>738</v>
      </c>
      <c r="C335" s="41"/>
      <c r="D335" s="41"/>
      <c r="E335" s="41"/>
      <c r="F335" s="41"/>
      <c r="G335" s="41"/>
      <c r="H335" s="1092" t="s">
        <v>2445</v>
      </c>
      <c r="I335" s="1092"/>
      <c r="J335" s="1092"/>
      <c r="K335" s="1092"/>
      <c r="L335" s="1092"/>
      <c r="M335" s="1092"/>
      <c r="N335" s="1091"/>
      <c r="O335" s="1091"/>
      <c r="P335" s="1091"/>
      <c r="Q335" s="1091"/>
      <c r="R335" s="1091"/>
      <c r="T335" s="41" t="s">
        <v>738</v>
      </c>
      <c r="V335" s="41"/>
      <c r="W335" s="41"/>
      <c r="X335" s="41"/>
      <c r="Y335" s="41"/>
      <c r="AA335" s="1092" t="s">
        <v>2458</v>
      </c>
      <c r="AB335" s="1092"/>
      <c r="AC335" s="1092"/>
      <c r="AD335" s="1092"/>
      <c r="AE335" s="1092"/>
      <c r="AF335" s="1092"/>
      <c r="AG335" s="1091"/>
      <c r="AH335" s="1091"/>
      <c r="AI335" s="1091"/>
      <c r="AJ335" s="1091"/>
      <c r="AK335" s="109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1" t="s">
        <v>2446</v>
      </c>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2.95" customHeight="1">
      <c r="B338" s="365" t="s">
        <v>735</v>
      </c>
      <c r="C338" s="365"/>
      <c r="D338" s="365"/>
      <c r="E338" s="365"/>
      <c r="F338" s="365"/>
      <c r="G338" s="365"/>
      <c r="H338" s="1092" t="s">
        <v>2447</v>
      </c>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2.95" customHeight="1">
      <c r="B339" s="365" t="s">
        <v>737</v>
      </c>
      <c r="C339" s="365"/>
      <c r="D339" s="365"/>
      <c r="E339" s="365"/>
      <c r="F339" s="365"/>
      <c r="G339" s="365"/>
      <c r="H339" s="1092" t="s">
        <v>2448</v>
      </c>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2.95" customHeight="1">
      <c r="B340" s="365" t="s">
        <v>399</v>
      </c>
      <c r="C340" s="365"/>
      <c r="D340" s="365"/>
      <c r="E340" s="365"/>
      <c r="F340" s="365"/>
      <c r="G340" s="365"/>
      <c r="H340" s="1092" t="s">
        <v>2449</v>
      </c>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2.95" customHeight="1">
      <c r="B341" s="365" t="s">
        <v>400</v>
      </c>
      <c r="C341" s="365"/>
      <c r="D341" s="365"/>
      <c r="E341" s="365"/>
      <c r="F341" s="365"/>
      <c r="G341" s="365"/>
      <c r="H341" s="1114" t="s">
        <v>2450</v>
      </c>
      <c r="I341" s="1115"/>
      <c r="J341" s="1115"/>
      <c r="K341" s="1115"/>
      <c r="L341" s="1115"/>
      <c r="M341" s="1115"/>
      <c r="N341" s="5" t="s">
        <v>859</v>
      </c>
      <c r="O341" s="5"/>
      <c r="P341" s="1119"/>
      <c r="Q341" s="1119"/>
      <c r="R341" s="1119"/>
      <c r="T341" s="41" t="s">
        <v>400</v>
      </c>
      <c r="AA341" s="1115"/>
      <c r="AB341" s="1115"/>
      <c r="AC341" s="1115"/>
      <c r="AD341" s="1115"/>
      <c r="AE341" s="1115"/>
      <c r="AF341" s="1115"/>
      <c r="AG341" s="5" t="s">
        <v>859</v>
      </c>
      <c r="AH341" s="5"/>
      <c r="AI341" s="1119"/>
      <c r="AJ341" s="1119"/>
      <c r="AK341" s="1119"/>
    </row>
    <row r="342" spans="1:53" ht="12.95" customHeight="1">
      <c r="B342" s="365" t="s">
        <v>401</v>
      </c>
      <c r="C342" s="365"/>
      <c r="D342" s="365"/>
      <c r="E342" s="365"/>
      <c r="F342" s="365"/>
      <c r="G342" s="365"/>
      <c r="H342" s="1117" t="s">
        <v>2451</v>
      </c>
      <c r="I342" s="1116"/>
      <c r="J342" s="1116"/>
      <c r="K342" s="1116"/>
      <c r="L342" s="1116"/>
      <c r="M342" s="1116"/>
      <c r="N342" s="5"/>
      <c r="O342" s="5"/>
      <c r="P342" s="44"/>
      <c r="Q342" s="44"/>
      <c r="R342" s="44"/>
      <c r="T342" s="41" t="s">
        <v>401</v>
      </c>
      <c r="AA342" s="1116"/>
      <c r="AB342" s="1116"/>
      <c r="AC342" s="1116"/>
      <c r="AD342" s="1116"/>
      <c r="AE342" s="1116"/>
      <c r="AF342" s="1116"/>
      <c r="AG342" s="5"/>
      <c r="AH342" s="5"/>
      <c r="AI342" s="44"/>
      <c r="AJ342" s="44"/>
      <c r="AK342" s="44"/>
    </row>
    <row r="343" spans="1:53" ht="12.95" customHeight="1">
      <c r="B343" s="365" t="s">
        <v>738</v>
      </c>
      <c r="C343" s="365"/>
      <c r="D343" s="365"/>
      <c r="E343" s="365"/>
      <c r="F343" s="365"/>
      <c r="G343" s="365"/>
      <c r="H343" s="1092" t="s">
        <v>2452</v>
      </c>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5"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8" t="s">
        <v>132</v>
      </c>
      <c r="N349" s="1118"/>
      <c r="P349" t="s">
        <v>2061</v>
      </c>
      <c r="AJ349" s="1118" t="s">
        <v>511</v>
      </c>
      <c r="AK349" s="1118"/>
    </row>
    <row r="350" spans="1:53" ht="12.95" customHeight="1">
      <c r="D350" s="41" t="s">
        <v>1984</v>
      </c>
      <c r="M350" s="1118" t="s">
        <v>132</v>
      </c>
      <c r="N350" s="1118"/>
      <c r="P350" s="41" t="s">
        <v>2062</v>
      </c>
      <c r="AJ350" s="1057"/>
      <c r="AK350" s="1057"/>
    </row>
    <row r="351" spans="1:53" ht="12.95" customHeight="1">
      <c r="D351" t="s">
        <v>334</v>
      </c>
      <c r="M351" s="1118" t="s">
        <v>132</v>
      </c>
      <c r="N351" s="1118"/>
      <c r="P351" t="s">
        <v>2063</v>
      </c>
      <c r="AJ351" s="1118" t="s">
        <v>116</v>
      </c>
      <c r="AK351" s="1118"/>
    </row>
    <row r="352" spans="1:53" ht="12.95" customHeight="1">
      <c r="D352" t="s">
        <v>335</v>
      </c>
      <c r="M352" s="1118" t="s">
        <v>116</v>
      </c>
      <c r="N352" s="1118"/>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8" t="s">
        <v>116</v>
      </c>
      <c r="O357" s="1118"/>
      <c r="P357" s="49"/>
      <c r="Q357" s="49"/>
      <c r="R357" s="49"/>
      <c r="S357" s="49"/>
      <c r="T357" s="49"/>
      <c r="U357" s="49"/>
      <c r="V357" s="49"/>
      <c r="W357" s="49"/>
      <c r="X357" s="49"/>
      <c r="Y357" s="49"/>
      <c r="Z357" s="49"/>
      <c r="AC357" s="49"/>
      <c r="AD357" s="49"/>
      <c r="AE357" s="49"/>
    </row>
    <row r="358" spans="1:57" ht="12.95" customHeight="1">
      <c r="E358" t="s">
        <v>769</v>
      </c>
      <c r="Y358" s="1118" t="s">
        <v>132</v>
      </c>
      <c r="Z358" s="1118"/>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8" t="s">
        <v>116</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2.9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2.95" customHeight="1">
      <c r="E363" s="5" t="s">
        <v>626</v>
      </c>
      <c r="F363" s="5"/>
      <c r="G363" s="5"/>
      <c r="H363" s="5"/>
      <c r="I363" s="5"/>
      <c r="J363" s="5"/>
      <c r="K363" s="5"/>
      <c r="L363" s="5"/>
      <c r="N363" s="1120">
        <v>1983</v>
      </c>
      <c r="O363" s="1120"/>
      <c r="P363" s="1120"/>
      <c r="Q363" s="1120"/>
      <c r="R363" s="5"/>
      <c r="U363" s="5" t="s">
        <v>627</v>
      </c>
      <c r="V363" s="5"/>
      <c r="W363" s="5"/>
      <c r="X363" s="5"/>
      <c r="Y363" s="5"/>
      <c r="Z363" s="5"/>
      <c r="AA363" s="5"/>
      <c r="AB363" s="5"/>
      <c r="AC363" s="1120">
        <v>1</v>
      </c>
      <c r="AD363" s="1120"/>
      <c r="AE363" s="1120"/>
      <c r="AF363" s="1120"/>
      <c r="BE363" t="s">
        <v>116</v>
      </c>
    </row>
    <row r="364" spans="1:57" ht="12.95" customHeight="1">
      <c r="E364" s="5" t="s">
        <v>628</v>
      </c>
      <c r="F364" s="5"/>
      <c r="G364" s="5"/>
      <c r="H364" s="5"/>
      <c r="I364" s="5"/>
      <c r="J364" s="5"/>
      <c r="K364" s="5"/>
      <c r="L364" s="5"/>
      <c r="N364" s="1120">
        <v>1</v>
      </c>
      <c r="O364" s="1120"/>
      <c r="P364" s="1120"/>
      <c r="Q364" s="1120"/>
      <c r="R364" s="5"/>
      <c r="U364" s="5" t="s">
        <v>629</v>
      </c>
      <c r="V364" s="5"/>
      <c r="W364" s="5"/>
      <c r="X364" s="5"/>
      <c r="Y364" s="5"/>
      <c r="Z364" s="5"/>
      <c r="AA364" s="5"/>
      <c r="AB364" s="5"/>
      <c r="AC364" s="1120">
        <v>12</v>
      </c>
      <c r="AD364" s="1120"/>
      <c r="AE364" s="1120"/>
      <c r="AF364" s="1120"/>
    </row>
    <row r="365" spans="1:57" ht="12.95" customHeight="1">
      <c r="E365" s="5" t="s">
        <v>68</v>
      </c>
      <c r="F365" s="5"/>
      <c r="G365" s="5"/>
      <c r="H365" s="5"/>
      <c r="I365" s="5"/>
      <c r="J365" s="5"/>
      <c r="K365" s="5"/>
      <c r="L365" s="5"/>
      <c r="N365" s="1120">
        <v>2.5</v>
      </c>
      <c r="O365" s="1120"/>
      <c r="P365" s="1120"/>
      <c r="Q365" s="1120"/>
      <c r="R365" s="5"/>
      <c r="V365" s="5"/>
      <c r="W365" s="5"/>
      <c r="X365" s="5"/>
      <c r="Y365" s="5"/>
      <c r="Z365" s="5"/>
      <c r="AA365" s="5"/>
      <c r="AB365" s="5"/>
    </row>
    <row r="366" spans="1:57" ht="12.95" customHeight="1">
      <c r="E366" s="5" t="s">
        <v>69</v>
      </c>
      <c r="F366" s="5"/>
      <c r="G366" s="5"/>
      <c r="H366" s="5"/>
      <c r="I366" s="5"/>
      <c r="J366" s="5"/>
      <c r="K366" s="5"/>
      <c r="L366" s="5"/>
      <c r="N366" s="1312" t="s">
        <v>2459</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2.95"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122"/>
      <c r="T370" s="1122"/>
      <c r="U370" s="374" t="s">
        <v>247</v>
      </c>
      <c r="V370" s="1122"/>
      <c r="W370" s="1122"/>
      <c r="X370" s="365"/>
      <c r="Z370" s="365"/>
      <c r="AA370" s="960" t="s">
        <v>2229</v>
      </c>
      <c r="AB370" s="365" t="s">
        <v>246</v>
      </c>
      <c r="AC370" s="365"/>
      <c r="AD370" s="1122"/>
      <c r="AE370" s="1122"/>
      <c r="AF370" s="374" t="s">
        <v>247</v>
      </c>
      <c r="AG370" s="1122"/>
      <c r="AH370" s="1122"/>
    </row>
    <row r="371" spans="1:36" ht="12.95" customHeight="1">
      <c r="D371" s="365"/>
      <c r="E371" s="365" t="s">
        <v>1288</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21" t="s">
        <v>132</v>
      </c>
      <c r="W374" s="1121"/>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1" t="s">
        <v>2460</v>
      </c>
      <c r="K378" s="1091"/>
      <c r="L378" s="1091"/>
      <c r="M378" s="1091"/>
      <c r="N378" s="1091"/>
      <c r="O378" s="1091"/>
      <c r="P378" s="1091"/>
      <c r="Q378" s="1091"/>
      <c r="R378" s="1091"/>
      <c r="S378" s="1091"/>
      <c r="T378" s="1091"/>
      <c r="U378" s="1091"/>
      <c r="V378" s="12" t="s">
        <v>746</v>
      </c>
      <c r="W378" s="12"/>
      <c r="X378" s="12"/>
      <c r="Y378" s="12"/>
      <c r="Z378" s="12"/>
      <c r="AA378" s="12"/>
      <c r="AB378" s="12"/>
      <c r="AC378" s="1091" t="s">
        <v>2461</v>
      </c>
      <c r="AD378" s="1091"/>
      <c r="AE378" s="1091"/>
      <c r="AF378" s="1091"/>
      <c r="AG378" s="1091"/>
      <c r="AH378" s="1091"/>
      <c r="AI378" s="1091"/>
      <c r="AJ378" s="1091"/>
    </row>
    <row r="379" spans="1:36" ht="12.95" customHeight="1">
      <c r="D379" s="41" t="s">
        <v>2064</v>
      </c>
      <c r="J379" s="1092" t="s">
        <v>2461</v>
      </c>
      <c r="K379" s="1092"/>
      <c r="L379" s="1092"/>
      <c r="M379" s="1092"/>
      <c r="N379" s="1092"/>
      <c r="O379" s="1092"/>
      <c r="P379" s="1092"/>
      <c r="Q379" s="1092"/>
      <c r="R379" s="1092"/>
      <c r="S379" s="1092"/>
      <c r="T379" s="1092"/>
      <c r="U379" s="1092"/>
      <c r="V379" s="41" t="s">
        <v>2064</v>
      </c>
      <c r="W379" s="12"/>
      <c r="X379" s="12"/>
      <c r="Y379" s="12"/>
      <c r="Z379" s="12"/>
      <c r="AA379" s="12"/>
      <c r="AB379" s="12"/>
      <c r="AC379" s="1091"/>
      <c r="AD379" s="1091"/>
      <c r="AE379" s="1091"/>
      <c r="AF379" s="1091"/>
      <c r="AG379" s="1091"/>
      <c r="AH379" s="1091"/>
      <c r="AI379" s="1091"/>
      <c r="AJ379" s="1091"/>
    </row>
    <row r="380" spans="1:36" ht="12.95" customHeight="1">
      <c r="D380" s="41" t="s">
        <v>575</v>
      </c>
      <c r="J380" s="1092" t="s">
        <v>2462</v>
      </c>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2.95" customHeight="1">
      <c r="D381" t="s">
        <v>2065</v>
      </c>
      <c r="J381" s="1106" t="s">
        <v>2463</v>
      </c>
      <c r="K381" s="1106"/>
      <c r="L381" s="1106"/>
      <c r="M381" s="1106"/>
      <c r="N381" s="1106"/>
      <c r="O381" s="1106"/>
      <c r="P381" s="1106"/>
      <c r="Q381" s="1106"/>
      <c r="R381" s="1106"/>
      <c r="S381" s="1106"/>
      <c r="T381" s="1106"/>
      <c r="U381" s="1106"/>
      <c r="V381" s="1091" t="s">
        <v>2464</v>
      </c>
      <c r="W381" s="1091"/>
      <c r="X381" s="1091"/>
      <c r="Y381" s="1091"/>
      <c r="Z381" s="1091"/>
      <c r="AA381" s="1091"/>
      <c r="AB381" s="1091"/>
      <c r="AC381" s="1091"/>
      <c r="AD381" s="1091"/>
      <c r="AE381" s="1091"/>
      <c r="AF381" s="1091"/>
      <c r="AG381" s="1091"/>
      <c r="AH381" s="1091"/>
      <c r="AI381" s="1091"/>
      <c r="AJ381" s="1091"/>
    </row>
    <row r="382" spans="1:36" ht="12.95" customHeight="1">
      <c r="D382" t="s">
        <v>585</v>
      </c>
      <c r="Q382" s="1419">
        <v>44908</v>
      </c>
      <c r="R382" s="1419"/>
      <c r="S382" s="1419"/>
      <c r="T382" s="1419"/>
      <c r="U382" s="1419"/>
      <c r="V382" t="s">
        <v>179</v>
      </c>
      <c r="AI382" s="1118" t="s">
        <v>511</v>
      </c>
      <c r="AJ382" s="1118"/>
    </row>
    <row r="383" spans="1:36" ht="12.95" customHeight="1">
      <c r="D383" t="s">
        <v>586</v>
      </c>
      <c r="Q383" s="1210">
        <v>44910</v>
      </c>
      <c r="R383" s="1315"/>
      <c r="S383" s="1315"/>
      <c r="T383" s="1315"/>
      <c r="U383" s="1315"/>
      <c r="W383" s="29" t="s">
        <v>20</v>
      </c>
      <c r="AG383" s="1139"/>
      <c r="AH383" s="1139"/>
      <c r="AI383" s="1139"/>
      <c r="AJ383" s="1139"/>
    </row>
    <row r="384" spans="1:36" ht="12.95" customHeight="1">
      <c r="D384" t="s">
        <v>289</v>
      </c>
      <c r="Q384" s="1123">
        <v>5340000</v>
      </c>
      <c r="R384" s="1123"/>
      <c r="S384" s="1123"/>
      <c r="T384" s="1123"/>
      <c r="U384" s="1123"/>
      <c r="V384" s="41" t="s">
        <v>2066</v>
      </c>
      <c r="AG384" s="1251"/>
      <c r="AH384" s="1251"/>
      <c r="AI384" s="1251"/>
      <c r="AJ384" s="1251"/>
    </row>
    <row r="385" spans="4:36" ht="12.95" customHeight="1">
      <c r="D385" t="s">
        <v>400</v>
      </c>
      <c r="I385" s="1114"/>
      <c r="J385" s="1114"/>
      <c r="K385" s="1114"/>
      <c r="L385" s="1114"/>
      <c r="M385" s="1114"/>
      <c r="N385" s="1114"/>
      <c r="Q385" s="41" t="s">
        <v>859</v>
      </c>
      <c r="S385" s="1137"/>
      <c r="T385" s="1137"/>
      <c r="U385" s="1137"/>
      <c r="V385" t="s">
        <v>19</v>
      </c>
      <c r="AI385" s="1118" t="s">
        <v>511</v>
      </c>
      <c r="AJ385" s="1118"/>
    </row>
    <row r="386" spans="4:36" ht="12.95" customHeight="1">
      <c r="D386" t="s">
        <v>180</v>
      </c>
      <c r="Q386" s="1138"/>
      <c r="R386" s="1138"/>
      <c r="S386" s="1138"/>
      <c r="T386" s="1138"/>
      <c r="U386" s="1138"/>
      <c r="V386" t="s">
        <v>181</v>
      </c>
      <c r="AG386" s="1139"/>
      <c r="AH386" s="1139"/>
      <c r="AI386" s="1139"/>
      <c r="AJ386" s="1139"/>
    </row>
    <row r="387" spans="4:36" ht="12.95" customHeight="1">
      <c r="D387" t="s">
        <v>28</v>
      </c>
      <c r="Q387" s="1438">
        <v>1.0800000000000001E-2</v>
      </c>
      <c r="R387" s="1438"/>
      <c r="S387" s="1438"/>
      <c r="T387" s="1438"/>
      <c r="U387" s="1438"/>
      <c r="V387" t="s">
        <v>1757</v>
      </c>
      <c r="AG387" s="1139"/>
      <c r="AH387" s="1139"/>
      <c r="AI387" s="1139"/>
      <c r="AJ387" s="1139"/>
    </row>
    <row r="388" spans="4:36" ht="12.95" customHeight="1">
      <c r="D388" t="s">
        <v>2067</v>
      </c>
      <c r="AG388" s="1139"/>
      <c r="AH388" s="1139"/>
      <c r="AI388" s="1139"/>
      <c r="AJ388" s="1139"/>
    </row>
    <row r="389" spans="4:36" ht="12.95" customHeight="1">
      <c r="AG389" s="852"/>
      <c r="AH389" s="852"/>
      <c r="AI389" s="852"/>
      <c r="AJ389" s="852"/>
    </row>
    <row r="390" spans="4:36" ht="12.95" customHeight="1">
      <c r="D390" s="41" t="s">
        <v>2342</v>
      </c>
      <c r="AG390" s="852"/>
      <c r="AH390" s="852"/>
      <c r="AI390" s="1118" t="s">
        <v>511</v>
      </c>
      <c r="AJ390" s="1118"/>
    </row>
    <row r="391" spans="4:36" ht="12.95" customHeight="1">
      <c r="D391" s="41" t="s">
        <v>2068</v>
      </c>
      <c r="T391" s="1441"/>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2069</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2"/>
      <c r="AH393" s="852"/>
      <c r="AI393" s="852"/>
      <c r="AJ393" s="852"/>
    </row>
    <row r="394" spans="4:36" ht="12.95" customHeight="1">
      <c r="D394" s="41" t="s">
        <v>2070</v>
      </c>
      <c r="S394" s="1441" t="s">
        <v>511</v>
      </c>
      <c r="T394" s="1441"/>
      <c r="U394" s="1441"/>
      <c r="V394" t="s">
        <v>2071</v>
      </c>
      <c r="AG394" s="1472"/>
      <c r="AH394" s="1472"/>
      <c r="AI394" s="1472"/>
      <c r="AJ394" s="1472"/>
    </row>
    <row r="395" spans="4:36" ht="12.95" customHeight="1">
      <c r="D395" s="41" t="s">
        <v>2072</v>
      </c>
      <c r="S395" s="1441" t="s">
        <v>132</v>
      </c>
      <c r="T395" s="1441"/>
      <c r="U395" s="1441"/>
      <c r="V395" t="s">
        <v>2073</v>
      </c>
      <c r="AE395" s="1473"/>
      <c r="AF395" s="1473"/>
      <c r="AG395" s="1473"/>
      <c r="AH395" s="1473"/>
      <c r="AI395" s="1473"/>
      <c r="AJ395" s="1473"/>
    </row>
    <row r="396" spans="4:36" ht="12.95" customHeight="1">
      <c r="D396" s="41" t="s">
        <v>2074</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2.95" customHeight="1">
      <c r="D397" s="41" t="s">
        <v>2075</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2.95" customHeight="1">
      <c r="D398" s="41" t="s">
        <v>2076</v>
      </c>
      <c r="E398" s="833"/>
      <c r="F398" s="833"/>
      <c r="G398" s="833"/>
      <c r="H398" s="833"/>
      <c r="I398" s="833"/>
      <c r="J398" s="833"/>
      <c r="K398" s="833"/>
      <c r="L398" s="833"/>
      <c r="M398" s="833"/>
      <c r="N398" s="833"/>
      <c r="O398" s="833"/>
      <c r="P398" s="833"/>
      <c r="Q398" s="833"/>
      <c r="R398" s="833"/>
      <c r="S398" s="1420" t="s">
        <v>2077</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2.9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2.95" customHeight="1">
      <c r="AG401" s="852"/>
      <c r="AH401" s="852"/>
      <c r="AI401" s="852"/>
      <c r="AJ401" s="852"/>
    </row>
    <row r="402" spans="1:36" ht="12.95" customHeight="1">
      <c r="A402" s="3" t="s">
        <v>130</v>
      </c>
      <c r="B402" s="3"/>
      <c r="C402" s="3" t="s">
        <v>943</v>
      </c>
    </row>
    <row r="403" spans="1:36" ht="12.95" customHeight="1">
      <c r="D403" s="3" t="s">
        <v>1812</v>
      </c>
      <c r="I403" s="1288" t="s">
        <v>2465</v>
      </c>
      <c r="J403" s="1288"/>
      <c r="K403" s="1288"/>
      <c r="L403" s="1288"/>
      <c r="M403" s="1288"/>
      <c r="N403" s="1288"/>
      <c r="O403" s="1288"/>
      <c r="P403" s="1288"/>
      <c r="Q403" s="1288"/>
      <c r="R403" s="1288"/>
      <c r="S403" s="1288"/>
      <c r="T403" s="1288"/>
      <c r="U403" s="1288"/>
      <c r="V403" s="1288"/>
      <c r="W403" s="1288"/>
      <c r="X403" s="1288"/>
      <c r="Y403" s="1288"/>
      <c r="Z403" s="1288"/>
      <c r="AA403" s="1288"/>
      <c r="AB403" s="1288"/>
      <c r="AC403" s="1288"/>
      <c r="AD403" s="1288"/>
    </row>
    <row r="404" spans="1:36" ht="12.95" customHeight="1">
      <c r="E404" t="s">
        <v>896</v>
      </c>
      <c r="R404" s="1118" t="s">
        <v>132</v>
      </c>
      <c r="S404" s="1118"/>
      <c r="T404" t="s">
        <v>306</v>
      </c>
      <c r="AD404" s="1120">
        <v>0</v>
      </c>
      <c r="AE404" s="1120"/>
    </row>
    <row r="405" spans="1:36" ht="12.95" customHeight="1">
      <c r="E405" t="s">
        <v>897</v>
      </c>
      <c r="R405" s="1118" t="s">
        <v>116</v>
      </c>
      <c r="S405" s="1118"/>
      <c r="T405" t="s">
        <v>306</v>
      </c>
      <c r="AD405" s="1120">
        <v>2</v>
      </c>
      <c r="AE405" s="1120"/>
    </row>
    <row r="406" spans="1:36" ht="12.95" customHeight="1">
      <c r="E406" t="s">
        <v>898</v>
      </c>
      <c r="S406" s="1118" t="s">
        <v>116</v>
      </c>
      <c r="T406" s="1118"/>
    </row>
    <row r="407" spans="1:36" ht="12.95" customHeight="1">
      <c r="E407" t="s">
        <v>298</v>
      </c>
      <c r="H407" s="1478" t="s">
        <v>593</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2.9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2.95" customHeight="1"/>
    <row r="410" spans="1:36" ht="12.95" customHeight="1">
      <c r="A410" s="3" t="s">
        <v>131</v>
      </c>
      <c r="B410" s="3"/>
      <c r="C410" s="3"/>
      <c r="D410" s="3" t="s">
        <v>946</v>
      </c>
      <c r="AE410" s="5"/>
      <c r="AF410" s="3" t="s">
        <v>1266</v>
      </c>
    </row>
    <row r="411" spans="1:36" ht="12.95" customHeight="1">
      <c r="E411" s="1480"/>
      <c r="F411" s="1480"/>
      <c r="G411" s="1480"/>
      <c r="H411" s="18" t="s">
        <v>947</v>
      </c>
      <c r="I411" s="1480"/>
      <c r="J411" s="1480"/>
      <c r="K411" s="1480"/>
      <c r="L411" t="s">
        <v>948</v>
      </c>
      <c r="N411" s="34" t="s">
        <v>892</v>
      </c>
      <c r="P411" s="1481">
        <v>0.35</v>
      </c>
      <c r="Q411" s="1481"/>
      <c r="R411" s="1481"/>
      <c r="S411" t="s">
        <v>949</v>
      </c>
      <c r="W411" s="1482">
        <f>IF(E411&gt;0,(E411*I411),(P411*43560))</f>
        <v>15245.999999999998</v>
      </c>
      <c r="X411" s="1482"/>
      <c r="Y411" s="1482"/>
      <c r="Z411" t="s">
        <v>950</v>
      </c>
      <c r="AF411" s="1494">
        <f>IF(P411&gt;0,(AG430/P411),(AG430/(W411/43560)))</f>
        <v>34.285714285714285</v>
      </c>
      <c r="AG411" s="1494"/>
      <c r="AH411" s="1494"/>
    </row>
    <row r="412" spans="1:36" ht="12.95" customHeight="1">
      <c r="E412" t="s">
        <v>215</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2079</v>
      </c>
      <c r="F414" s="29"/>
      <c r="G414" s="29"/>
      <c r="H414" s="29"/>
      <c r="I414" s="1465">
        <v>0.35</v>
      </c>
      <c r="J414" s="1465"/>
      <c r="K414" s="1465"/>
      <c r="L414" s="29"/>
      <c r="M414" s="270"/>
      <c r="N414" s="29"/>
      <c r="O414" s="29"/>
      <c r="P414" s="1493">
        <f>(CQ615+CS620+CQ634)/I414</f>
        <v>80</v>
      </c>
      <c r="Q414" s="1493"/>
      <c r="R414" s="149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8">
        <v>1</v>
      </c>
      <c r="Q417" s="1118"/>
      <c r="S417" t="s">
        <v>144</v>
      </c>
      <c r="AE417" s="1118">
        <v>1</v>
      </c>
      <c r="AF417" s="1118"/>
    </row>
    <row r="418" spans="1:36" ht="12.95" customHeight="1">
      <c r="E418" t="s">
        <v>145</v>
      </c>
      <c r="P418" s="1118">
        <v>0</v>
      </c>
      <c r="Q418" s="1118"/>
      <c r="S418" t="s">
        <v>762</v>
      </c>
      <c r="AE418" s="1118" t="s">
        <v>132</v>
      </c>
      <c r="AF418" s="1118"/>
    </row>
    <row r="419" spans="1:36" ht="12.95" customHeight="1">
      <c r="F419" s="36" t="s">
        <v>236</v>
      </c>
    </row>
    <row r="420" spans="1:36" ht="12.95"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2.95"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2.95" customHeight="1">
      <c r="E422" t="s">
        <v>899</v>
      </c>
      <c r="P422" s="1"/>
      <c r="Q422" s="1118" t="s">
        <v>116</v>
      </c>
      <c r="R422" s="1118"/>
      <c r="AE422" s="1"/>
      <c r="AF422" s="1"/>
    </row>
    <row r="423" spans="1:36" ht="12.95" customHeight="1">
      <c r="F423" t="s">
        <v>900</v>
      </c>
      <c r="P423" s="1"/>
      <c r="Q423" s="1"/>
      <c r="AE423" s="1118" t="s">
        <v>132</v>
      </c>
      <c r="AF423" s="1301"/>
    </row>
    <row r="424" spans="1:36" ht="12.95" customHeight="1"/>
    <row r="425" spans="1:36" ht="12.95" customHeight="1">
      <c r="A425" s="3"/>
      <c r="B425" s="3"/>
      <c r="C425" s="3"/>
      <c r="E425" s="5" t="s">
        <v>85</v>
      </c>
      <c r="Z425" s="1118" t="s">
        <v>511</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8" t="s">
        <v>132</v>
      </c>
      <c r="AA427" s="1118"/>
    </row>
    <row r="428" spans="1:36" ht="12.95" customHeight="1"/>
    <row r="429" spans="1:36" ht="12.95" customHeight="1">
      <c r="A429" s="3" t="s">
        <v>392</v>
      </c>
      <c r="B429" s="3"/>
      <c r="C429" s="3"/>
      <c r="D429" s="3" t="s">
        <v>183</v>
      </c>
      <c r="AF429" s="54"/>
    </row>
    <row r="430" spans="1:36" ht="12.95"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12</v>
      </c>
      <c r="AH430" s="1432"/>
      <c r="AI430" s="1432"/>
      <c r="AJ430" s="1432"/>
    </row>
    <row r="431" spans="1:36" ht="12.95" customHeight="1">
      <c r="D431" s="1402" t="s">
        <v>1432</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c r="AH431" s="1477"/>
      <c r="AI431" s="1477"/>
      <c r="AJ431" s="1477"/>
    </row>
    <row r="432" spans="1:36" ht="12.95" customHeight="1">
      <c r="D432" s="1402" t="s">
        <v>1433</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12</v>
      </c>
      <c r="AH432" s="1432"/>
      <c r="AI432" s="1432"/>
      <c r="AJ432" s="1432"/>
    </row>
    <row r="433" spans="4:36" ht="12.95" customHeight="1">
      <c r="D433" s="1402" t="s">
        <v>1429</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12</v>
      </c>
      <c r="AH433" s="1432"/>
      <c r="AI433" s="1432"/>
      <c r="AJ433" s="1432"/>
    </row>
    <row r="434" spans="4:36" ht="12.95" customHeight="1">
      <c r="D434" s="1402" t="s">
        <v>1434</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2.95" customHeight="1">
      <c r="D435" s="1402" t="s">
        <v>1431</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10256</v>
      </c>
      <c r="AH435" s="1439"/>
      <c r="AI435" s="1439"/>
      <c r="AJ435" s="1439"/>
    </row>
    <row r="436" spans="4:36" ht="12.95" customHeight="1">
      <c r="D436" s="1402" t="s">
        <v>1430</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10256</v>
      </c>
      <c r="AH436" s="1439"/>
      <c r="AI436" s="1439"/>
      <c r="AJ436" s="1439"/>
    </row>
    <row r="437" spans="4:36" ht="12.95" customHeight="1">
      <c r="D437" s="1402" t="s">
        <v>1437</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2.95" customHeight="1">
      <c r="D438" s="1402" t="s">
        <v>1435</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2.95" customHeight="1">
      <c r="D439" s="1489" t="s">
        <v>2236</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431</v>
      </c>
      <c r="AH439" s="1439"/>
      <c r="AI439" s="1439"/>
      <c r="AJ439" s="1439"/>
    </row>
    <row r="440" spans="4:36" ht="12.95"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c r="AH440" s="1439"/>
      <c r="AI440" s="1439"/>
      <c r="AJ440" s="1439"/>
    </row>
    <row r="441" spans="4:36" ht="12.95" customHeight="1">
      <c r="D441" s="1489" t="s">
        <v>1813</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c r="AH441" s="1439"/>
      <c r="AI441" s="1439"/>
      <c r="AJ441" s="1439"/>
    </row>
    <row r="442" spans="4:36" ht="12.95" customHeight="1">
      <c r="D442" s="1402" t="s">
        <v>1436</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c r="AH442" s="1439"/>
      <c r="AI442" s="1439"/>
      <c r="AJ442" s="1439"/>
    </row>
    <row r="443" spans="4:36" ht="12.95" customHeight="1">
      <c r="D443" s="1402" t="s">
        <v>1438</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10687</v>
      </c>
      <c r="AH443" s="1464"/>
      <c r="AI443" s="1464"/>
      <c r="AJ443" s="1464"/>
    </row>
    <row r="444" spans="4:36" ht="12.95" customHeight="1">
      <c r="D444" s="1468" t="s">
        <v>1814</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708717.58333333337</v>
      </c>
      <c r="AD447" s="1443"/>
      <c r="AE447" s="1443"/>
      <c r="AF447" s="1443"/>
      <c r="AG447" s="1430"/>
      <c r="AH447" s="1430"/>
      <c r="AI447" s="1430"/>
      <c r="AJ447" s="143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708717.58333333337</v>
      </c>
      <c r="AD448" s="1443"/>
      <c r="AE448" s="1443"/>
      <c r="AF448" s="1443"/>
      <c r="AG448" s="1430"/>
      <c r="AH448" s="1430"/>
      <c r="AI448" s="1430"/>
      <c r="AJ448" s="143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574204.08333333337</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2209</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2.95"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2.95"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2.95"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2.95"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2.95"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2.95" customHeight="1">
      <c r="A464" s="572"/>
      <c r="B464" s="572"/>
      <c r="C464" s="572"/>
      <c r="D464" s="1431" t="s">
        <v>1361</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2237</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69" t="s">
        <v>2466</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69" t="s">
        <v>2467</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69" t="s">
        <v>2467</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2349</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69" t="s">
        <v>2468</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69" t="s">
        <v>2469</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69">
        <v>22</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056">
        <v>22</v>
      </c>
      <c r="N488" s="1057"/>
      <c r="O488" s="1057"/>
      <c r="P488" s="1058"/>
      <c r="Q488" s="214" t="s">
        <v>2084</v>
      </c>
      <c r="R488" s="9"/>
      <c r="S488" s="9"/>
      <c r="T488" s="9"/>
      <c r="U488" s="9"/>
      <c r="V488" s="9"/>
      <c r="W488" s="9"/>
      <c r="X488" s="9"/>
      <c r="Y488" s="9"/>
      <c r="Z488" s="9"/>
      <c r="AA488" s="9"/>
      <c r="AB488" s="9"/>
      <c r="AC488" s="9"/>
      <c r="AD488" s="9"/>
      <c r="AE488" s="9"/>
      <c r="AF488" s="9"/>
      <c r="AG488" s="9"/>
      <c r="AH488" s="1056"/>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8">
        <v>6</v>
      </c>
      <c r="AD494" s="1120"/>
      <c r="AE494" s="1120"/>
      <c r="AF494" s="1120"/>
      <c r="AG494" s="18" t="s">
        <v>263</v>
      </c>
      <c r="AH494" s="1106">
        <v>2022</v>
      </c>
      <c r="AI494" s="1106"/>
      <c r="AJ494" s="1106"/>
      <c r="AK494" s="11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8">
        <v>12</v>
      </c>
      <c r="AD495" s="1120"/>
      <c r="AE495" s="1120"/>
      <c r="AF495" s="1120"/>
      <c r="AG495" s="47" t="s">
        <v>263</v>
      </c>
      <c r="AH495" s="1106">
        <v>2022</v>
      </c>
      <c r="AI495" s="1106"/>
      <c r="AJ495" s="1106"/>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8" t="s">
        <v>132</v>
      </c>
      <c r="AD496" s="1120"/>
      <c r="AE496" s="1120"/>
      <c r="AF496" s="1120"/>
      <c r="AG496" s="18" t="s">
        <v>263</v>
      </c>
      <c r="AH496" s="1106"/>
      <c r="AI496" s="1106"/>
      <c r="AJ496" s="1106"/>
      <c r="AK496" s="11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0"/>
      <c r="C497" s="1081"/>
      <c r="D497" s="1081"/>
      <c r="E497" s="1081"/>
      <c r="F497" s="1081"/>
      <c r="G497" s="1081"/>
      <c r="H497" s="1082"/>
      <c r="I497" t="s">
        <v>711</v>
      </c>
      <c r="AC497" s="1398" t="s">
        <v>132</v>
      </c>
      <c r="AD497" s="1120"/>
      <c r="AE497" s="1120"/>
      <c r="AF497" s="1120"/>
      <c r="AG497" s="18" t="s">
        <v>263</v>
      </c>
      <c r="AH497" s="1106"/>
      <c r="AI497" s="1106"/>
      <c r="AJ497" s="1106"/>
      <c r="AK497" s="117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0"/>
      <c r="C498" s="1081"/>
      <c r="D498" s="1081"/>
      <c r="E498" s="1081"/>
      <c r="F498" s="1081"/>
      <c r="G498" s="1081"/>
      <c r="H498" s="1082"/>
      <c r="I498" t="s">
        <v>712</v>
      </c>
      <c r="AC498" s="1398" t="s">
        <v>132</v>
      </c>
      <c r="AD498" s="1120"/>
      <c r="AE498" s="1120"/>
      <c r="AF498" s="1120"/>
      <c r="AG498" s="18" t="s">
        <v>263</v>
      </c>
      <c r="AH498" s="1106"/>
      <c r="AI498" s="1106"/>
      <c r="AJ498" s="1106"/>
      <c r="AK498" s="117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0"/>
      <c r="C499" s="1081"/>
      <c r="D499" s="1081"/>
      <c r="E499" s="1081"/>
      <c r="F499" s="1081"/>
      <c r="G499" s="1081"/>
      <c r="H499" s="1082"/>
      <c r="I499" t="s">
        <v>713</v>
      </c>
      <c r="AC499" s="1398" t="s">
        <v>132</v>
      </c>
      <c r="AD499" s="1120"/>
      <c r="AE499" s="1120"/>
      <c r="AF499" s="1120"/>
      <c r="AG499" s="18" t="s">
        <v>263</v>
      </c>
      <c r="AH499" s="1106"/>
      <c r="AI499" s="1106"/>
      <c r="AJ499" s="1106"/>
      <c r="AK499" s="117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0"/>
      <c r="C500" s="1081"/>
      <c r="D500" s="1081"/>
      <c r="E500" s="1081"/>
      <c r="F500" s="1081"/>
      <c r="G500" s="1081"/>
      <c r="H500" s="1082"/>
      <c r="I500" s="41" t="s">
        <v>714</v>
      </c>
      <c r="AC500" s="1227">
        <v>9</v>
      </c>
      <c r="AD500" s="1228"/>
      <c r="AE500" s="1228"/>
      <c r="AF500" s="1228"/>
      <c r="AG500" s="18" t="s">
        <v>263</v>
      </c>
      <c r="AH500" s="1106">
        <v>2023</v>
      </c>
      <c r="AI500" s="1106"/>
      <c r="AJ500" s="1106"/>
      <c r="AK500" s="117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0"/>
      <c r="C501" s="1081"/>
      <c r="D501" s="1081"/>
      <c r="E501" s="1081"/>
      <c r="F501" s="1081"/>
      <c r="G501" s="1081"/>
      <c r="H501" s="1082"/>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296"/>
      <c r="AE501" s="1296"/>
      <c r="AF501" s="1296"/>
      <c r="AG501" s="47" t="s">
        <v>263</v>
      </c>
      <c r="AH501" s="1106"/>
      <c r="AI501" s="1106"/>
      <c r="AJ501" s="1106"/>
      <c r="AK501" s="117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0"/>
      <c r="C502" s="1081"/>
      <c r="D502" s="1081"/>
      <c r="E502" s="1081"/>
      <c r="F502" s="1081"/>
      <c r="G502" s="1081"/>
      <c r="H502" s="1082"/>
      <c r="I502" s="41" t="s">
        <v>2085</v>
      </c>
      <c r="AC502" s="1410" t="s">
        <v>116</v>
      </c>
      <c r="AD502" s="1410"/>
      <c r="AE502" s="1410"/>
      <c r="AF502" s="1410"/>
      <c r="AG502" s="18"/>
      <c r="AH502" s="1024"/>
      <c r="AI502" s="1024"/>
      <c r="AJ502" s="1024"/>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0"/>
      <c r="C503" s="1081"/>
      <c r="D503" s="1081"/>
      <c r="E503" s="1081"/>
      <c r="F503" s="1081"/>
      <c r="G503" s="1081"/>
      <c r="H503" s="1082"/>
      <c r="I503" t="s">
        <v>2086</v>
      </c>
      <c r="AC503" s="1227"/>
      <c r="AD503" s="1228"/>
      <c r="AE503" s="1228"/>
      <c r="AF503" s="1229"/>
      <c r="AG503" s="18"/>
      <c r="AH503" s="1024"/>
      <c r="AI503" s="1024"/>
      <c r="AJ503" s="1024"/>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90">
        <v>1</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8">
        <v>5</v>
      </c>
      <c r="AD506" s="1120"/>
      <c r="AE506" s="1120"/>
      <c r="AF506" s="1120"/>
      <c r="AG506" s="18" t="s">
        <v>263</v>
      </c>
      <c r="AH506" s="1106">
        <v>2023</v>
      </c>
      <c r="AI506" s="1106"/>
      <c r="AJ506" s="1106"/>
      <c r="AK506" s="117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0"/>
      <c r="C507" s="1081"/>
      <c r="D507" s="1081"/>
      <c r="E507" s="1081"/>
      <c r="F507" s="1081"/>
      <c r="G507" s="1081"/>
      <c r="H507" s="1082"/>
      <c r="I507" t="s">
        <v>717</v>
      </c>
      <c r="AC507" s="1398">
        <v>5</v>
      </c>
      <c r="AD507" s="1120"/>
      <c r="AE507" s="1120"/>
      <c r="AF507" s="1120"/>
      <c r="AG507" s="18" t="s">
        <v>263</v>
      </c>
      <c r="AH507" s="1106">
        <v>2023</v>
      </c>
      <c r="AI507" s="1106"/>
      <c r="AJ507" s="1106"/>
      <c r="AK507" s="117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8">
        <v>8</v>
      </c>
      <c r="AD508" s="1120"/>
      <c r="AE508" s="1120"/>
      <c r="AF508" s="1120"/>
      <c r="AG508" s="47" t="s">
        <v>263</v>
      </c>
      <c r="AH508" s="1106">
        <v>2023</v>
      </c>
      <c r="AI508" s="1106"/>
      <c r="AJ508" s="1106"/>
      <c r="AK508" s="11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0">
        <v>5</v>
      </c>
      <c r="AD509" s="1281"/>
      <c r="AE509" s="1281"/>
      <c r="AF509" s="1281"/>
      <c r="AG509" s="230" t="s">
        <v>263</v>
      </c>
      <c r="AH509" s="1106">
        <v>2023</v>
      </c>
      <c r="AI509" s="1106"/>
      <c r="AJ509" s="1106"/>
      <c r="AK509" s="117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0"/>
      <c r="C510" s="1081"/>
      <c r="D510" s="1081"/>
      <c r="E510" s="1081"/>
      <c r="F510" s="1081"/>
      <c r="G510" s="1081"/>
      <c r="H510" s="1082"/>
      <c r="I510" t="s">
        <v>717</v>
      </c>
      <c r="AC510" s="1398">
        <v>6</v>
      </c>
      <c r="AD510" s="1120"/>
      <c r="AE510" s="1120"/>
      <c r="AF510" s="1120"/>
      <c r="AG510" s="18" t="s">
        <v>263</v>
      </c>
      <c r="AH510" s="1106">
        <v>2023</v>
      </c>
      <c r="AI510" s="1106"/>
      <c r="AJ510" s="1106"/>
      <c r="AK510" s="117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8">
        <v>12</v>
      </c>
      <c r="AD511" s="1120"/>
      <c r="AE511" s="1120"/>
      <c r="AF511" s="1120"/>
      <c r="AG511" s="47" t="s">
        <v>263</v>
      </c>
      <c r="AH511" s="1106">
        <v>2023</v>
      </c>
      <c r="AI511" s="1106"/>
      <c r="AJ511" s="1106"/>
      <c r="AK511" s="117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7" t="s">
        <v>720</v>
      </c>
      <c r="C512" s="1078"/>
      <c r="D512" s="1078"/>
      <c r="E512" s="1078"/>
      <c r="F512" s="1078"/>
      <c r="G512" s="1078"/>
      <c r="H512" s="1079"/>
      <c r="I512" s="6" t="s">
        <v>721</v>
      </c>
      <c r="J512" s="7"/>
      <c r="K512" s="7"/>
      <c r="L512" s="7"/>
      <c r="M512" s="7"/>
      <c r="N512" s="7"/>
      <c r="O512" s="1440" t="s">
        <v>593</v>
      </c>
      <c r="P512" s="1441"/>
      <c r="Q512" s="1441"/>
      <c r="R512" s="1441"/>
      <c r="S512" s="1441"/>
      <c r="T512" s="1441"/>
      <c r="U512" s="1441"/>
      <c r="V512" s="1441"/>
      <c r="W512" s="1441"/>
      <c r="X512" s="1441"/>
      <c r="Y512" s="1441"/>
      <c r="Z512" s="1441"/>
      <c r="AA512" s="1441"/>
      <c r="AB512" s="64"/>
      <c r="AC512" s="1280" t="s">
        <v>132</v>
      </c>
      <c r="AD512" s="1281"/>
      <c r="AE512" s="1281"/>
      <c r="AF512" s="1281"/>
      <c r="AG512" s="230" t="s">
        <v>263</v>
      </c>
      <c r="AH512" s="1106"/>
      <c r="AI512" s="1106"/>
      <c r="AJ512" s="1106"/>
      <c r="AK512" s="117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0"/>
      <c r="C513" s="1081"/>
      <c r="D513" s="1081"/>
      <c r="E513" s="1081"/>
      <c r="F513" s="1081"/>
      <c r="G513" s="1081"/>
      <c r="H513" s="1082"/>
      <c r="I513" s="204" t="s">
        <v>722</v>
      </c>
      <c r="AB513" s="71"/>
      <c r="AC513" s="1398" t="s">
        <v>132</v>
      </c>
      <c r="AD513" s="1120"/>
      <c r="AE513" s="1120"/>
      <c r="AF513" s="1120"/>
      <c r="AG513" s="18" t="s">
        <v>263</v>
      </c>
      <c r="AH513" s="1106"/>
      <c r="AI513" s="1106"/>
      <c r="AJ513" s="1106"/>
      <c r="AK513" s="117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8" t="s">
        <v>132</v>
      </c>
      <c r="AD514" s="1120"/>
      <c r="AE514" s="1120"/>
      <c r="AF514" s="1120"/>
      <c r="AG514" s="47" t="s">
        <v>263</v>
      </c>
      <c r="AH514" s="1106"/>
      <c r="AI514" s="1106"/>
      <c r="AJ514" s="1106"/>
      <c r="AK514" s="1172"/>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0"/>
      <c r="C515" s="1081"/>
      <c r="D515" s="1081"/>
      <c r="E515" s="1081"/>
      <c r="F515" s="1081"/>
      <c r="G515" s="1081"/>
      <c r="H515" s="1082"/>
      <c r="I515" s="7" t="s">
        <v>724</v>
      </c>
      <c r="J515" s="7"/>
      <c r="K515" s="7"/>
      <c r="L515" s="7"/>
      <c r="M515" s="7"/>
      <c r="N515" s="7"/>
      <c r="O515" s="1440" t="s">
        <v>593</v>
      </c>
      <c r="P515" s="1441"/>
      <c r="Q515" s="1441"/>
      <c r="R515" s="1441"/>
      <c r="S515" s="1441"/>
      <c r="T515" s="1441"/>
      <c r="U515" s="1441"/>
      <c r="V515" s="1441"/>
      <c r="W515" s="1441"/>
      <c r="X515" s="1441"/>
      <c r="Y515" s="1441"/>
      <c r="Z515" s="1441"/>
      <c r="AA515" s="1441"/>
      <c r="AC515" s="1398" t="s">
        <v>132</v>
      </c>
      <c r="AD515" s="1120"/>
      <c r="AE515" s="1120"/>
      <c r="AF515" s="1120"/>
      <c r="AG515" s="18" t="s">
        <v>263</v>
      </c>
      <c r="AH515" s="1106"/>
      <c r="AI515" s="1106"/>
      <c r="AJ515" s="1106"/>
      <c r="AK515" s="1172"/>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0"/>
      <c r="C516" s="1081"/>
      <c r="D516" s="1081"/>
      <c r="E516" s="1081"/>
      <c r="F516" s="1081"/>
      <c r="G516" s="1081"/>
      <c r="H516" s="1082"/>
      <c r="I516" t="s">
        <v>722</v>
      </c>
      <c r="AC516" s="1398" t="s">
        <v>132</v>
      </c>
      <c r="AD516" s="1120"/>
      <c r="AE516" s="1120"/>
      <c r="AF516" s="1120"/>
      <c r="AG516" s="18" t="s">
        <v>263</v>
      </c>
      <c r="AH516" s="1106"/>
      <c r="AI516" s="1106"/>
      <c r="AJ516" s="1106"/>
      <c r="AK516" s="1172"/>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8" t="s">
        <v>132</v>
      </c>
      <c r="AD517" s="1120"/>
      <c r="AE517" s="1120"/>
      <c r="AF517" s="1120"/>
      <c r="AG517" s="47" t="s">
        <v>263</v>
      </c>
      <c r="AH517" s="1106"/>
      <c r="AI517" s="1106"/>
      <c r="AJ517" s="1106"/>
      <c r="AK517" s="1172"/>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0"/>
      <c r="C518" s="1081"/>
      <c r="D518" s="1081"/>
      <c r="E518" s="1081"/>
      <c r="F518" s="1081"/>
      <c r="G518" s="1081"/>
      <c r="H518" s="1082"/>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8" t="s">
        <v>132</v>
      </c>
      <c r="AD518" s="1120"/>
      <c r="AE518" s="1120"/>
      <c r="AF518" s="1120"/>
      <c r="AG518" s="18" t="s">
        <v>263</v>
      </c>
      <c r="AH518" s="1106"/>
      <c r="AI518" s="1106"/>
      <c r="AJ518" s="1106"/>
      <c r="AK518" s="1172"/>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0"/>
      <c r="C519" s="1081"/>
      <c r="D519" s="1081"/>
      <c r="E519" s="1081"/>
      <c r="F519" s="1081"/>
      <c r="G519" s="1081"/>
      <c r="H519" s="1082"/>
      <c r="I519" t="s">
        <v>722</v>
      </c>
      <c r="AC519" s="1398" t="s">
        <v>132</v>
      </c>
      <c r="AD519" s="1120"/>
      <c r="AE519" s="1120"/>
      <c r="AF519" s="1120"/>
      <c r="AG519" s="18" t="s">
        <v>263</v>
      </c>
      <c r="AH519" s="1106"/>
      <c r="AI519" s="1106"/>
      <c r="AJ519" s="1106"/>
      <c r="AK519" s="1172"/>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8" t="s">
        <v>132</v>
      </c>
      <c r="AD520" s="1120"/>
      <c r="AE520" s="1120"/>
      <c r="AF520" s="1120"/>
      <c r="AG520" s="47" t="s">
        <v>263</v>
      </c>
      <c r="AH520" s="1106"/>
      <c r="AI520" s="1106"/>
      <c r="AJ520" s="1106"/>
      <c r="AK520" s="1172"/>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0"/>
      <c r="C521" s="1081"/>
      <c r="D521" s="1081"/>
      <c r="E521" s="1081"/>
      <c r="F521" s="1081"/>
      <c r="G521" s="1081"/>
      <c r="H521" s="1082"/>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8" t="s">
        <v>132</v>
      </c>
      <c r="AD521" s="1120"/>
      <c r="AE521" s="1120"/>
      <c r="AF521" s="1120"/>
      <c r="AG521" s="18" t="s">
        <v>263</v>
      </c>
      <c r="AH521" s="1106"/>
      <c r="AI521" s="1106"/>
      <c r="AJ521" s="1106"/>
      <c r="AK521" s="1172"/>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0"/>
      <c r="C522" s="1081"/>
      <c r="D522" s="1081"/>
      <c r="E522" s="1081"/>
      <c r="F522" s="1081"/>
      <c r="G522" s="1081"/>
      <c r="H522" s="1082"/>
      <c r="I522" t="s">
        <v>722</v>
      </c>
      <c r="AC522" s="1398" t="s">
        <v>132</v>
      </c>
      <c r="AD522" s="1120"/>
      <c r="AE522" s="1120"/>
      <c r="AF522" s="1120"/>
      <c r="AG522" s="18" t="s">
        <v>263</v>
      </c>
      <c r="AH522" s="1106"/>
      <c r="AI522" s="1106"/>
      <c r="AJ522" s="1106"/>
      <c r="AK522" s="1172"/>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8" t="s">
        <v>132</v>
      </c>
      <c r="AD523" s="1120"/>
      <c r="AE523" s="1120"/>
      <c r="AF523" s="1120"/>
      <c r="AG523" s="47" t="s">
        <v>263</v>
      </c>
      <c r="AH523" s="1106"/>
      <c r="AI523" s="1106"/>
      <c r="AJ523" s="1106"/>
      <c r="AK523" s="1172"/>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0"/>
      <c r="C524" s="1081"/>
      <c r="D524" s="1081"/>
      <c r="E524" s="1081"/>
      <c r="F524" s="1081"/>
      <c r="G524" s="1081"/>
      <c r="H524" s="1082"/>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8" t="s">
        <v>132</v>
      </c>
      <c r="AD524" s="1120"/>
      <c r="AE524" s="1120"/>
      <c r="AF524" s="1120"/>
      <c r="AG524" s="18" t="s">
        <v>263</v>
      </c>
      <c r="AH524" s="1106"/>
      <c r="AI524" s="1106"/>
      <c r="AJ524" s="1106"/>
      <c r="AK524" s="1172"/>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0"/>
      <c r="C525" s="1081"/>
      <c r="D525" s="1081"/>
      <c r="E525" s="1081"/>
      <c r="F525" s="1081"/>
      <c r="G525" s="1081"/>
      <c r="H525" s="1082"/>
      <c r="I525" t="s">
        <v>722</v>
      </c>
      <c r="AC525" s="1398" t="s">
        <v>132</v>
      </c>
      <c r="AD525" s="1120"/>
      <c r="AE525" s="1120"/>
      <c r="AF525" s="1120"/>
      <c r="AG525" s="47" t="s">
        <v>263</v>
      </c>
      <c r="AH525" s="1106"/>
      <c r="AI525" s="1106"/>
      <c r="AJ525" s="1106"/>
      <c r="AK525" s="1172"/>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0"/>
      <c r="AE526" s="1120"/>
      <c r="AF526" s="1120"/>
      <c r="AG526" s="18" t="s">
        <v>263</v>
      </c>
      <c r="AH526" s="1106"/>
      <c r="AI526" s="1106"/>
      <c r="AJ526" s="1106"/>
      <c r="AK526" s="1172"/>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0"/>
      <c r="C527" s="1081"/>
      <c r="D527" s="1081"/>
      <c r="E527" s="1081"/>
      <c r="F527" s="1081"/>
      <c r="G527" s="1081"/>
      <c r="H527" s="1082"/>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8" t="s">
        <v>132</v>
      </c>
      <c r="AD527" s="1120"/>
      <c r="AE527" s="1120"/>
      <c r="AF527" s="1120"/>
      <c r="AG527" s="47" t="s">
        <v>263</v>
      </c>
      <c r="AH527" s="1106"/>
      <c r="AI527" s="1106"/>
      <c r="AJ527" s="1106"/>
      <c r="AK527" s="1172"/>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0"/>
      <c r="C528" s="1081"/>
      <c r="D528" s="1081"/>
      <c r="E528" s="1081"/>
      <c r="F528" s="1081"/>
      <c r="G528" s="1081"/>
      <c r="H528" s="1082"/>
      <c r="I528" t="s">
        <v>722</v>
      </c>
      <c r="AC528" s="1398" t="s">
        <v>132</v>
      </c>
      <c r="AD528" s="1120"/>
      <c r="AE528" s="1120"/>
      <c r="AF528" s="1120"/>
      <c r="AG528" s="18" t="s">
        <v>263</v>
      </c>
      <c r="AH528" s="1106"/>
      <c r="AI528" s="1106"/>
      <c r="AJ528" s="1106"/>
      <c r="AK528" s="1172"/>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0"/>
      <c r="AE529" s="1120"/>
      <c r="AF529" s="1120"/>
      <c r="AG529" s="47" t="s">
        <v>263</v>
      </c>
      <c r="AH529" s="1106"/>
      <c r="AI529" s="1106"/>
      <c r="AJ529" s="1106"/>
      <c r="AK529" s="1172"/>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8">
        <v>12</v>
      </c>
      <c r="AD530" s="1120"/>
      <c r="AE530" s="1120"/>
      <c r="AF530" s="1120"/>
      <c r="AG530" s="47" t="s">
        <v>263</v>
      </c>
      <c r="AH530" s="1106">
        <v>2023</v>
      </c>
      <c r="AI530" s="1106"/>
      <c r="AJ530" s="1106"/>
      <c r="AK530" s="1172"/>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0"/>
      <c r="C531" s="1081"/>
      <c r="D531" s="1081"/>
      <c r="E531" s="1081"/>
      <c r="F531" s="1081"/>
      <c r="G531" s="1081"/>
      <c r="H531" s="1082"/>
      <c r="I531" t="s">
        <v>772</v>
      </c>
      <c r="AC531" s="1398">
        <v>12</v>
      </c>
      <c r="AD531" s="1120"/>
      <c r="AE531" s="1120"/>
      <c r="AF531" s="1120"/>
      <c r="AG531" s="18" t="s">
        <v>263</v>
      </c>
      <c r="AH531" s="1106">
        <v>2023</v>
      </c>
      <c r="AI531" s="1106"/>
      <c r="AJ531" s="1106"/>
      <c r="AK531" s="1172"/>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0"/>
      <c r="C532" s="1081"/>
      <c r="D532" s="1081"/>
      <c r="E532" s="1081"/>
      <c r="F532" s="1081"/>
      <c r="G532" s="1081"/>
      <c r="H532" s="1082"/>
      <c r="I532" t="s">
        <v>773</v>
      </c>
      <c r="AC532" s="1398">
        <v>4</v>
      </c>
      <c r="AD532" s="1120"/>
      <c r="AE532" s="1120"/>
      <c r="AF532" s="1120"/>
      <c r="AG532" s="47" t="s">
        <v>263</v>
      </c>
      <c r="AH532" s="1106">
        <v>2024</v>
      </c>
      <c r="AI532" s="1106"/>
      <c r="AJ532" s="1106"/>
      <c r="AK532" s="1172"/>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0"/>
      <c r="C533" s="1081"/>
      <c r="D533" s="1081"/>
      <c r="E533" s="1081"/>
      <c r="F533" s="1081"/>
      <c r="G533" s="1081"/>
      <c r="H533" s="1082"/>
      <c r="I533" t="s">
        <v>774</v>
      </c>
      <c r="AC533" s="1398">
        <v>4</v>
      </c>
      <c r="AD533" s="1120"/>
      <c r="AE533" s="1120"/>
      <c r="AF533" s="1120"/>
      <c r="AG533" s="47" t="s">
        <v>263</v>
      </c>
      <c r="AH533" s="1106">
        <v>2024</v>
      </c>
      <c r="AI533" s="1106"/>
      <c r="AJ533" s="1106"/>
      <c r="AK533" s="1172"/>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8">
        <v>12</v>
      </c>
      <c r="AD534" s="1120"/>
      <c r="AE534" s="1120"/>
      <c r="AF534" s="1120"/>
      <c r="AG534" s="47" t="s">
        <v>263</v>
      </c>
      <c r="AH534" s="1106">
        <v>2024</v>
      </c>
      <c r="AI534" s="1106"/>
      <c r="AJ534" s="1106"/>
      <c r="AK534" s="1172"/>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7" t="s">
        <v>2325</v>
      </c>
      <c r="C543" s="1078"/>
      <c r="D543" s="1078"/>
      <c r="E543" s="1078"/>
      <c r="F543" s="1078"/>
      <c r="G543" s="1078"/>
      <c r="H543" s="1078"/>
      <c r="I543" s="1078"/>
      <c r="J543" s="1078"/>
      <c r="K543" s="1078"/>
      <c r="L543" s="1078"/>
      <c r="M543" s="1127" t="s">
        <v>2299</v>
      </c>
      <c r="N543" s="1127"/>
      <c r="O543" s="1127"/>
      <c r="P543" s="1127"/>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0"/>
      <c r="C544" s="1081"/>
      <c r="D544" s="1081"/>
      <c r="E544" s="1081"/>
      <c r="F544" s="1081"/>
      <c r="G544" s="1081"/>
      <c r="H544" s="1081"/>
      <c r="I544" s="1081"/>
      <c r="J544" s="1081"/>
      <c r="K544" s="1081"/>
      <c r="L544" s="1081"/>
      <c r="M544" s="1127"/>
      <c r="N544" s="1127"/>
      <c r="O544" s="1127"/>
      <c r="P544" s="1127"/>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3"/>
      <c r="C545" s="1084"/>
      <c r="D545" s="1084"/>
      <c r="E545" s="1084"/>
      <c r="F545" s="1084"/>
      <c r="G545" s="1084"/>
      <c r="H545" s="1084"/>
      <c r="I545" s="1084"/>
      <c r="J545" s="1084"/>
      <c r="K545" s="1084"/>
      <c r="L545" s="1084"/>
      <c r="M545" s="1127"/>
      <c r="N545" s="1127"/>
      <c r="O545" s="1127"/>
      <c r="P545" s="1127"/>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89" t="s">
        <v>2470</v>
      </c>
      <c r="D546" s="1089"/>
      <c r="E546" s="1089"/>
      <c r="F546" s="1089"/>
      <c r="G546" s="1089"/>
      <c r="H546" s="1089"/>
      <c r="I546" s="1089"/>
      <c r="J546" s="1089"/>
      <c r="K546" s="1089"/>
      <c r="L546" s="1089"/>
      <c r="M546" s="1090" t="s">
        <v>2077</v>
      </c>
      <c r="N546" s="1090"/>
      <c r="O546" s="1090"/>
      <c r="P546" s="1090"/>
      <c r="Q546" s="1094">
        <v>480</v>
      </c>
      <c r="R546" s="1094"/>
      <c r="S546" s="1095"/>
      <c r="T546" s="1093">
        <v>480</v>
      </c>
      <c r="U546" s="1094"/>
      <c r="V546" s="1095"/>
      <c r="W546" s="1447">
        <v>5.45E-2</v>
      </c>
      <c r="X546" s="1448"/>
      <c r="Y546" s="1449"/>
      <c r="Z546" s="1450" t="s">
        <v>2542</v>
      </c>
      <c r="AA546" s="1450"/>
      <c r="AB546" s="1450"/>
      <c r="AC546" s="1450"/>
      <c r="AD546" s="1450"/>
      <c r="AE546" s="1451">
        <v>1</v>
      </c>
      <c r="AF546" s="1452"/>
      <c r="AG546" s="1452"/>
      <c r="AH546" s="1453"/>
      <c r="AI546" s="1444"/>
      <c r="AJ546" s="1445"/>
      <c r="AK546" s="1445"/>
      <c r="AL546" s="1446"/>
      <c r="AM546" s="1149">
        <f>AO618</f>
        <v>3790000</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89" t="s">
        <v>2471</v>
      </c>
      <c r="D547" s="1089"/>
      <c r="E547" s="1089"/>
      <c r="F547" s="1089"/>
      <c r="G547" s="1089"/>
      <c r="H547" s="1089"/>
      <c r="I547" s="1089"/>
      <c r="J547" s="1089"/>
      <c r="K547" s="1089"/>
      <c r="L547" s="1089"/>
      <c r="M547" s="1090" t="s">
        <v>2077</v>
      </c>
      <c r="N547" s="1090"/>
      <c r="O547" s="1090"/>
      <c r="P547" s="1090"/>
      <c r="Q547" s="1093">
        <v>0</v>
      </c>
      <c r="R547" s="1094"/>
      <c r="S547" s="1095"/>
      <c r="T547" s="1093">
        <v>0</v>
      </c>
      <c r="U547" s="1094"/>
      <c r="V547" s="1095"/>
      <c r="W547" s="1447">
        <v>0</v>
      </c>
      <c r="X547" s="1448"/>
      <c r="Y547" s="1449"/>
      <c r="Z547" s="1450" t="s">
        <v>132</v>
      </c>
      <c r="AA547" s="1450"/>
      <c r="AB547" s="1450"/>
      <c r="AC547" s="1450"/>
      <c r="AD547" s="1450"/>
      <c r="AE547" s="1451"/>
      <c r="AF547" s="1452"/>
      <c r="AG547" s="1452"/>
      <c r="AH547" s="1453"/>
      <c r="AI547" s="1444"/>
      <c r="AJ547" s="1445"/>
      <c r="AK547" s="1445"/>
      <c r="AL547" s="1446"/>
      <c r="AM547" s="1149">
        <f>0.2*AO631</f>
        <v>897705.8</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89" t="s">
        <v>2472</v>
      </c>
      <c r="D548" s="1089"/>
      <c r="E548" s="1089"/>
      <c r="F548" s="1089"/>
      <c r="G548" s="1089"/>
      <c r="H548" s="1089"/>
      <c r="I548" s="1089"/>
      <c r="J548" s="1089"/>
      <c r="K548" s="1089"/>
      <c r="L548" s="1089"/>
      <c r="M548" s="1090" t="s">
        <v>2077</v>
      </c>
      <c r="N548" s="1090"/>
      <c r="O548" s="1090"/>
      <c r="P548" s="1090"/>
      <c r="Q548" s="1093">
        <v>15</v>
      </c>
      <c r="R548" s="1094"/>
      <c r="S548" s="1095"/>
      <c r="T548" s="1093">
        <v>10000</v>
      </c>
      <c r="U548" s="1094"/>
      <c r="V548" s="1095"/>
      <c r="W548" s="1447">
        <v>0.05</v>
      </c>
      <c r="X548" s="1448"/>
      <c r="Y548" s="1449"/>
      <c r="Z548" s="1450" t="s">
        <v>2542</v>
      </c>
      <c r="AA548" s="1450"/>
      <c r="AB548" s="1450"/>
      <c r="AC548" s="1450"/>
      <c r="AD548" s="1450"/>
      <c r="AE548" s="1451">
        <v>2</v>
      </c>
      <c r="AF548" s="1452"/>
      <c r="AG548" s="1452"/>
      <c r="AH548" s="1453"/>
      <c r="AI548" s="1444"/>
      <c r="AJ548" s="1445"/>
      <c r="AK548" s="1445"/>
      <c r="AL548" s="1446"/>
      <c r="AM548" s="1149">
        <v>3255000</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89"/>
      <c r="D549" s="1089"/>
      <c r="E549" s="1089"/>
      <c r="F549" s="1089"/>
      <c r="G549" s="1089"/>
      <c r="H549" s="1089"/>
      <c r="I549" s="1089"/>
      <c r="J549" s="1089"/>
      <c r="K549" s="1089"/>
      <c r="L549" s="1089"/>
      <c r="M549" s="1090" t="s">
        <v>2077</v>
      </c>
      <c r="N549" s="1090"/>
      <c r="O549" s="1090"/>
      <c r="P549" s="1090"/>
      <c r="Q549" s="1093"/>
      <c r="R549" s="1094"/>
      <c r="S549" s="1095"/>
      <c r="T549" s="1093"/>
      <c r="U549" s="1094"/>
      <c r="V549" s="1095"/>
      <c r="W549" s="1447"/>
      <c r="X549" s="1448"/>
      <c r="Y549" s="1449"/>
      <c r="Z549" s="1450" t="s">
        <v>2077</v>
      </c>
      <c r="AA549" s="1450"/>
      <c r="AB549" s="1450"/>
      <c r="AC549" s="1450"/>
      <c r="AD549" s="1450"/>
      <c r="AE549" s="1451"/>
      <c r="AF549" s="1452"/>
      <c r="AG549" s="1452"/>
      <c r="AH549" s="1453"/>
      <c r="AI549" s="1444"/>
      <c r="AJ549" s="1445"/>
      <c r="AK549" s="1445"/>
      <c r="AL549" s="1446"/>
      <c r="AM549" s="1149"/>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9"/>
      <c r="D550" s="1089"/>
      <c r="E550" s="1089"/>
      <c r="F550" s="1089"/>
      <c r="G550" s="1089"/>
      <c r="H550" s="1089"/>
      <c r="I550" s="1089"/>
      <c r="J550" s="1089"/>
      <c r="K550" s="1089"/>
      <c r="L550" s="1089"/>
      <c r="M550" s="1090" t="s">
        <v>2077</v>
      </c>
      <c r="N550" s="1090"/>
      <c r="O550" s="1090"/>
      <c r="P550" s="1090"/>
      <c r="Q550" s="1093"/>
      <c r="R550" s="1094"/>
      <c r="S550" s="1095"/>
      <c r="T550" s="1093"/>
      <c r="U550" s="1094"/>
      <c r="V550" s="1095"/>
      <c r="W550" s="1447"/>
      <c r="X550" s="1448"/>
      <c r="Y550" s="1449"/>
      <c r="Z550" s="1450" t="s">
        <v>2077</v>
      </c>
      <c r="AA550" s="1450"/>
      <c r="AB550" s="1450"/>
      <c r="AC550" s="1450"/>
      <c r="AD550" s="1450"/>
      <c r="AE550" s="1451"/>
      <c r="AF550" s="1452"/>
      <c r="AG550" s="1452"/>
      <c r="AH550" s="1453"/>
      <c r="AI550" s="1444"/>
      <c r="AJ550" s="1445"/>
      <c r="AK550" s="1445"/>
      <c r="AL550" s="1446"/>
      <c r="AM550" s="1149"/>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89"/>
      <c r="D551" s="1089"/>
      <c r="E551" s="1089"/>
      <c r="F551" s="1089"/>
      <c r="G551" s="1089"/>
      <c r="H551" s="1089"/>
      <c r="I551" s="1089"/>
      <c r="J551" s="1089"/>
      <c r="K551" s="1089"/>
      <c r="L551" s="1089"/>
      <c r="M551" s="1090" t="s">
        <v>2077</v>
      </c>
      <c r="N551" s="1090"/>
      <c r="O551" s="1090"/>
      <c r="P551" s="1090"/>
      <c r="Q551" s="1093"/>
      <c r="R551" s="1094"/>
      <c r="S551" s="1095"/>
      <c r="T551" s="1093"/>
      <c r="U551" s="1094"/>
      <c r="V551" s="1095"/>
      <c r="W551" s="1447"/>
      <c r="X551" s="1448"/>
      <c r="Y551" s="1449"/>
      <c r="Z551" s="1450" t="s">
        <v>2077</v>
      </c>
      <c r="AA551" s="1450"/>
      <c r="AB551" s="1450"/>
      <c r="AC551" s="1450"/>
      <c r="AD551" s="1450"/>
      <c r="AE551" s="1451"/>
      <c r="AF551" s="1452"/>
      <c r="AG551" s="1452"/>
      <c r="AH551" s="1453"/>
      <c r="AI551" s="1444"/>
      <c r="AJ551" s="1445"/>
      <c r="AK551" s="1445"/>
      <c r="AL551" s="1446"/>
      <c r="AM551" s="1149"/>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89"/>
      <c r="D552" s="1089"/>
      <c r="E552" s="1089"/>
      <c r="F552" s="1089"/>
      <c r="G552" s="1089"/>
      <c r="H552" s="1089"/>
      <c r="I552" s="1089"/>
      <c r="J552" s="1089"/>
      <c r="K552" s="1089"/>
      <c r="L552" s="1089"/>
      <c r="M552" s="1090" t="s">
        <v>2077</v>
      </c>
      <c r="N552" s="1090"/>
      <c r="O552" s="1090"/>
      <c r="P552" s="1090"/>
      <c r="Q552" s="1093"/>
      <c r="R552" s="1094"/>
      <c r="S552" s="1095"/>
      <c r="T552" s="1093"/>
      <c r="U552" s="1094"/>
      <c r="V552" s="1095"/>
      <c r="W552" s="1447"/>
      <c r="X552" s="1448"/>
      <c r="Y552" s="1449"/>
      <c r="Z552" s="1450" t="s">
        <v>2077</v>
      </c>
      <c r="AA552" s="1450"/>
      <c r="AB552" s="1450"/>
      <c r="AC552" s="1450"/>
      <c r="AD552" s="1450"/>
      <c r="AE552" s="1451"/>
      <c r="AF552" s="1452"/>
      <c r="AG552" s="1452"/>
      <c r="AH552" s="1453"/>
      <c r="AI552" s="1444"/>
      <c r="AJ552" s="1445"/>
      <c r="AK552" s="1445"/>
      <c r="AL552" s="1446"/>
      <c r="AM552" s="1149"/>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89"/>
      <c r="D553" s="1089"/>
      <c r="E553" s="1089"/>
      <c r="F553" s="1089"/>
      <c r="G553" s="1089"/>
      <c r="H553" s="1089"/>
      <c r="I553" s="1089"/>
      <c r="J553" s="1089"/>
      <c r="K553" s="1089"/>
      <c r="L553" s="1089"/>
      <c r="M553" s="1090" t="s">
        <v>2077</v>
      </c>
      <c r="N553" s="1090"/>
      <c r="O553" s="1090"/>
      <c r="P553" s="1090"/>
      <c r="Q553" s="1093"/>
      <c r="R553" s="1094"/>
      <c r="S553" s="1095"/>
      <c r="T553" s="1093"/>
      <c r="U553" s="1094"/>
      <c r="V553" s="1095"/>
      <c r="W553" s="1447"/>
      <c r="X553" s="1448"/>
      <c r="Y553" s="1449"/>
      <c r="Z553" s="1450" t="s">
        <v>2077</v>
      </c>
      <c r="AA553" s="1450"/>
      <c r="AB553" s="1450"/>
      <c r="AC553" s="1450"/>
      <c r="AD553" s="1450"/>
      <c r="AE553" s="1451"/>
      <c r="AF553" s="1452"/>
      <c r="AG553" s="1452"/>
      <c r="AH553" s="1453"/>
      <c r="AI553" s="1444"/>
      <c r="AJ553" s="1445"/>
      <c r="AK553" s="1445"/>
      <c r="AL553" s="1446"/>
      <c r="AM553" s="1149"/>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7"/>
      <c r="X554" s="1448"/>
      <c r="Y554" s="1449"/>
      <c r="Z554" s="1450" t="s">
        <v>2077</v>
      </c>
      <c r="AA554" s="1450"/>
      <c r="AB554" s="1450"/>
      <c r="AC554" s="1450"/>
      <c r="AD554" s="1450"/>
      <c r="AE554" s="1451"/>
      <c r="AF554" s="1452"/>
      <c r="AG554" s="1452"/>
      <c r="AH554" s="1453"/>
      <c r="AI554" s="1444"/>
      <c r="AJ554" s="1445"/>
      <c r="AK554" s="1445"/>
      <c r="AL554" s="1446"/>
      <c r="AM554" s="1149"/>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7"/>
      <c r="X555" s="1448"/>
      <c r="Y555" s="1449"/>
      <c r="Z555" s="1450" t="s">
        <v>2077</v>
      </c>
      <c r="AA555" s="1450"/>
      <c r="AB555" s="1450"/>
      <c r="AC555" s="1450"/>
      <c r="AD555" s="1450"/>
      <c r="AE555" s="1451"/>
      <c r="AF555" s="1452"/>
      <c r="AG555" s="1452"/>
      <c r="AH555" s="1453"/>
      <c r="AI555" s="1444"/>
      <c r="AJ555" s="1445"/>
      <c r="AK555" s="1445"/>
      <c r="AL555" s="1446"/>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7"/>
      <c r="X556" s="1448"/>
      <c r="Y556" s="1449"/>
      <c r="Z556" s="1450" t="s">
        <v>2077</v>
      </c>
      <c r="AA556" s="1450"/>
      <c r="AB556" s="1450"/>
      <c r="AC556" s="1450"/>
      <c r="AD556" s="1450"/>
      <c r="AE556" s="1451"/>
      <c r="AF556" s="1452"/>
      <c r="AG556" s="1452"/>
      <c r="AH556" s="1453"/>
      <c r="AI556" s="1444"/>
      <c r="AJ556" s="1445"/>
      <c r="AK556" s="1445"/>
      <c r="AL556" s="1446"/>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7"/>
      <c r="X557" s="1448"/>
      <c r="Y557" s="1449"/>
      <c r="Z557" s="1450" t="s">
        <v>2077</v>
      </c>
      <c r="AA557" s="1450"/>
      <c r="AB557" s="1450"/>
      <c r="AC557" s="1450"/>
      <c r="AD557" s="1450"/>
      <c r="AE557" s="1451"/>
      <c r="AF557" s="1452"/>
      <c r="AG557" s="1452"/>
      <c r="AH557" s="1453"/>
      <c r="AI557" s="1444"/>
      <c r="AJ557" s="1445"/>
      <c r="AK557" s="1445"/>
      <c r="AL557" s="1446"/>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7942705.7999999998</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9" t="str">
        <f>C546</f>
        <v>Rockport/HUD 221D4</v>
      </c>
      <c r="H560" s="1299"/>
      <c r="I560" s="1299"/>
      <c r="J560" s="1299"/>
      <c r="K560" s="1299"/>
      <c r="L560" s="1299"/>
      <c r="M560" s="1299"/>
      <c r="N560" s="1299"/>
      <c r="O560" s="1299"/>
      <c r="P560" s="1299"/>
      <c r="Q560" s="1299"/>
      <c r="R560" s="1299"/>
      <c r="S560" s="12"/>
      <c r="T560" s="61" t="s">
        <v>945</v>
      </c>
      <c r="U560" t="s">
        <v>90</v>
      </c>
      <c r="Z560" s="1299" t="str">
        <f>C547</f>
        <v>R4/LIHTC Equity</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1" t="s">
        <v>2473</v>
      </c>
      <c r="H561" s="1091"/>
      <c r="I561" s="1091"/>
      <c r="J561" s="1091"/>
      <c r="K561" s="1091"/>
      <c r="L561" s="1091"/>
      <c r="M561" s="1091"/>
      <c r="N561" s="1091"/>
      <c r="O561" s="1091"/>
      <c r="P561" s="1091"/>
      <c r="Q561" s="1091"/>
      <c r="R561" s="1091"/>
      <c r="S561" s="12"/>
      <c r="T561" s="4"/>
      <c r="U561" t="s">
        <v>397</v>
      </c>
      <c r="Z561" s="1091" t="s">
        <v>2478</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1" t="s">
        <v>2474</v>
      </c>
      <c r="H562" s="1091"/>
      <c r="I562" s="1091"/>
      <c r="J562" s="1091"/>
      <c r="K562" s="1091"/>
      <c r="L562" s="1091"/>
      <c r="M562" s="1091"/>
      <c r="N562" s="1091"/>
      <c r="O562" s="1091"/>
      <c r="P562" s="1091"/>
      <c r="Q562" s="1091"/>
      <c r="R562" s="1091"/>
      <c r="T562" s="4"/>
      <c r="U562" t="s">
        <v>459</v>
      </c>
      <c r="Z562" s="1092" t="s">
        <v>2423</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1" t="s">
        <v>2475</v>
      </c>
      <c r="H563" s="1091"/>
      <c r="I563" s="1091"/>
      <c r="J563" s="1091"/>
      <c r="K563" s="1091"/>
      <c r="L563" s="1091"/>
      <c r="M563" s="1091"/>
      <c r="N563" s="1091"/>
      <c r="O563" s="1091"/>
      <c r="P563" s="1091"/>
      <c r="Q563" s="1091"/>
      <c r="R563" s="1091"/>
      <c r="S563" s="12"/>
      <c r="T563" s="4"/>
      <c r="U563" t="s">
        <v>874</v>
      </c>
      <c r="Z563" s="1092" t="s">
        <v>2424</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7" t="s">
        <v>2476</v>
      </c>
      <c r="H564" s="1116"/>
      <c r="I564" s="1116"/>
      <c r="J564" s="1116"/>
      <c r="K564" s="1116"/>
      <c r="L564" s="1116"/>
      <c r="O564" s="42" t="s">
        <v>859</v>
      </c>
      <c r="P564" s="1287"/>
      <c r="Q564" s="1287"/>
      <c r="R564" s="1287"/>
      <c r="S564" s="14"/>
      <c r="T564" s="4"/>
      <c r="U564" t="s">
        <v>686</v>
      </c>
      <c r="Z564" s="1117" t="s">
        <v>2425</v>
      </c>
      <c r="AA564" s="1116"/>
      <c r="AB564" s="1116"/>
      <c r="AC564" s="1116"/>
      <c r="AD564" s="1116"/>
      <c r="AE564" s="1116"/>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1" t="s">
        <v>2477</v>
      </c>
      <c r="I565" s="1091"/>
      <c r="J565" s="1091"/>
      <c r="K565" s="1091"/>
      <c r="L565" s="1091"/>
      <c r="M565" s="1091"/>
      <c r="N565" s="1091"/>
      <c r="O565" s="1091"/>
      <c r="P565" s="1091"/>
      <c r="Q565" s="1091"/>
      <c r="R565" s="1091"/>
      <c r="S565" s="12"/>
      <c r="T565" s="4"/>
      <c r="U565" t="s">
        <v>875</v>
      </c>
      <c r="AA565" s="1091" t="s">
        <v>2479</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8"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9" t="str">
        <f>C548</f>
        <v>Colliers/Equity Bridge Loan</v>
      </c>
      <c r="H568" s="1299"/>
      <c r="I568" s="1299"/>
      <c r="J568" s="1299"/>
      <c r="K568" s="1299"/>
      <c r="L568" s="1299"/>
      <c r="M568" s="1299"/>
      <c r="N568" s="1299"/>
      <c r="O568" s="1299"/>
      <c r="P568" s="1299"/>
      <c r="Q568" s="1299"/>
      <c r="R568" s="1299"/>
      <c r="T568" s="61" t="s">
        <v>460</v>
      </c>
      <c r="U568" t="s">
        <v>90</v>
      </c>
      <c r="Z568" s="1299">
        <f>C549</f>
        <v>0</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1" t="s">
        <v>2480</v>
      </c>
      <c r="H569" s="1091"/>
      <c r="I569" s="1091"/>
      <c r="J569" s="1091"/>
      <c r="K569" s="1091"/>
      <c r="L569" s="1091"/>
      <c r="M569" s="1091"/>
      <c r="N569" s="1091"/>
      <c r="O569" s="1091"/>
      <c r="P569" s="1091"/>
      <c r="Q569" s="1091"/>
      <c r="R569" s="1091"/>
      <c r="T569" s="4"/>
      <c r="U569" t="s">
        <v>397</v>
      </c>
      <c r="Z569" s="1091"/>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2" t="s">
        <v>2393</v>
      </c>
      <c r="H570" s="1092"/>
      <c r="I570" s="1092"/>
      <c r="J570" s="1092"/>
      <c r="K570" s="1092"/>
      <c r="L570" s="1092"/>
      <c r="M570" s="1092"/>
      <c r="N570" s="1092"/>
      <c r="O570" s="1092"/>
      <c r="P570" s="1092"/>
      <c r="Q570" s="1092"/>
      <c r="R570" s="1092"/>
      <c r="T570" s="4"/>
      <c r="U570" t="s">
        <v>459</v>
      </c>
      <c r="Z570" s="1092"/>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2" t="s">
        <v>2481</v>
      </c>
      <c r="H571" s="1092"/>
      <c r="I571" s="1092"/>
      <c r="J571" s="1092"/>
      <c r="K571" s="1092"/>
      <c r="L571" s="1092"/>
      <c r="M571" s="1092"/>
      <c r="N571" s="1092"/>
      <c r="O571" s="1092"/>
      <c r="P571" s="1092"/>
      <c r="Q571" s="1092"/>
      <c r="R571" s="1092"/>
      <c r="T571" s="4"/>
      <c r="U571" t="s">
        <v>874</v>
      </c>
      <c r="Z571" s="1092"/>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17" t="s">
        <v>2482</v>
      </c>
      <c r="H572" s="1116"/>
      <c r="I572" s="1116"/>
      <c r="J572" s="1116"/>
      <c r="K572" s="1116"/>
      <c r="L572" s="1116"/>
      <c r="O572" s="42" t="s">
        <v>859</v>
      </c>
      <c r="P572" s="1287"/>
      <c r="Q572" s="1287"/>
      <c r="R572" s="1287"/>
      <c r="T572" s="4"/>
      <c r="U572" t="s">
        <v>686</v>
      </c>
      <c r="Z572" s="1116"/>
      <c r="AA572" s="1116"/>
      <c r="AB572" s="1116"/>
      <c r="AC572" s="1116"/>
      <c r="AD572" s="1116"/>
      <c r="AE572" s="1116"/>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1" t="s">
        <v>2483</v>
      </c>
      <c r="I573" s="1091"/>
      <c r="J573" s="1091"/>
      <c r="K573" s="1091"/>
      <c r="L573" s="1091"/>
      <c r="M573" s="1091"/>
      <c r="N573" s="1091"/>
      <c r="O573" s="1091"/>
      <c r="P573" s="1091"/>
      <c r="Q573" s="1091"/>
      <c r="R573" s="1091"/>
      <c r="T573" s="4"/>
      <c r="U573" t="s">
        <v>875</v>
      </c>
      <c r="AA573" s="1091"/>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6" t="s">
        <v>116</v>
      </c>
      <c r="O574" s="1106"/>
      <c r="T574" s="4"/>
      <c r="U574" t="s">
        <v>877</v>
      </c>
      <c r="AG574" s="1106" t="s">
        <v>511</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9">
        <f>C550</f>
        <v>0</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1"/>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1"/>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1"/>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6"/>
      <c r="H580" s="1116"/>
      <c r="I580" s="1116"/>
      <c r="J580" s="1116"/>
      <c r="K580" s="1116"/>
      <c r="L580" s="1116"/>
      <c r="O580" s="42" t="s">
        <v>859</v>
      </c>
      <c r="P580" s="1287"/>
      <c r="Q580" s="1287"/>
      <c r="R580" s="1287"/>
      <c r="T580" s="4"/>
      <c r="U580" t="s">
        <v>686</v>
      </c>
      <c r="Z580" s="1116"/>
      <c r="AA580" s="1116"/>
      <c r="AB580" s="1116"/>
      <c r="AC580" s="1116"/>
      <c r="AD580" s="1116"/>
      <c r="AE580" s="1116"/>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6" t="s">
        <v>511</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6"/>
      <c r="H588" s="1116"/>
      <c r="I588" s="1116"/>
      <c r="J588" s="1116"/>
      <c r="K588" s="1116"/>
      <c r="L588" s="1116"/>
      <c r="M588"/>
      <c r="N588"/>
      <c r="O588" s="42" t="s">
        <v>859</v>
      </c>
      <c r="P588" s="1287"/>
      <c r="Q588" s="1287"/>
      <c r="R588" s="1287"/>
      <c r="S588"/>
      <c r="T588" s="4"/>
      <c r="U588" t="s">
        <v>686</v>
      </c>
      <c r="V588"/>
      <c r="W588"/>
      <c r="X588"/>
      <c r="Y588"/>
      <c r="Z588" s="1116"/>
      <c r="AA588" s="1116"/>
      <c r="AB588" s="1116"/>
      <c r="AC588" s="1116"/>
      <c r="AD588" s="1116"/>
      <c r="AE588" s="1116"/>
      <c r="AF588"/>
      <c r="AG588"/>
      <c r="AH588" s="42" t="s">
        <v>859</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1">IF(B692="SRO/Studio",G692,0)</f>
        <v>0</v>
      </c>
      <c r="BO588" s="1246"/>
      <c r="BP588" s="1246"/>
      <c r="BQ588" s="1246"/>
      <c r="BR588" s="1247"/>
      <c r="BS588" s="1245">
        <f t="shared" ref="BS588:BS612" si="2">IF(B692="1 Bedroom",G692,0)</f>
        <v>0</v>
      </c>
      <c r="BT588" s="1246"/>
      <c r="BU588" s="1246"/>
      <c r="BV588" s="1246"/>
      <c r="BW588" s="1248"/>
      <c r="BX588" s="1245">
        <f t="shared" ref="BX588:BX612" si="3">IF(B692="2 Bedrooms",G692,0)</f>
        <v>3</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1">
        <f t="shared" ref="CM588:CM612" si="6">IF(B692="5 Bedrooms",G692,0)</f>
        <v>0</v>
      </c>
      <c r="CN588" s="1512"/>
      <c r="CO588" s="1512"/>
      <c r="CP588" s="1512"/>
      <c r="CQ588" s="1247"/>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3</v>
      </c>
      <c r="BL589" s="1248"/>
      <c r="BN589" s="1245">
        <f t="shared" si="1"/>
        <v>0</v>
      </c>
      <c r="BO589" s="1246"/>
      <c r="BP589" s="1246"/>
      <c r="BQ589" s="1246"/>
      <c r="BR589" s="1247"/>
      <c r="BS589" s="1245">
        <f t="shared" si="2"/>
        <v>0</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8">
        <f>IF(AND(B692="SRO/Studio",AH692&lt;=0.3),G692,0)</f>
        <v>0</v>
      </c>
      <c r="CT589" s="1509"/>
      <c r="CU589" s="1509"/>
      <c r="CV589" s="1509"/>
      <c r="CW589" s="1510"/>
      <c r="CX589" s="1508">
        <f>IF(AND(B692="1 Bedroom",AH692&lt;=0.3),G692,0)</f>
        <v>0</v>
      </c>
      <c r="CY589" s="1509"/>
      <c r="CZ589" s="1509"/>
      <c r="DA589" s="1509"/>
      <c r="DB589" s="1510"/>
      <c r="DC589" s="1508">
        <f>IF(AND(B692="2 Bedrooms",AH692&lt;=0.3),G692,0)</f>
        <v>3</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9">
        <f t="shared" ref="BE590:BE613" si="9">IF(AND(AH693&lt;=0.5,AH693&gt;=0.36),1,0)</f>
        <v>0</v>
      </c>
      <c r="BF590" s="1250"/>
      <c r="BG590" s="1245">
        <f t="shared" si="7"/>
        <v>0</v>
      </c>
      <c r="BH590" s="1248"/>
      <c r="BI590" s="1249">
        <f t="shared" ref="BI590:BI613" si="10">IF(AND(AH693&lt;=0.35,AH693&gt;0),1,0)</f>
        <v>0</v>
      </c>
      <c r="BJ590" s="1250"/>
      <c r="BK590" s="1245">
        <f t="shared" si="8"/>
        <v>0</v>
      </c>
      <c r="BL590" s="1248"/>
      <c r="BN590" s="1245">
        <f t="shared" si="1"/>
        <v>0</v>
      </c>
      <c r="BO590" s="1246"/>
      <c r="BP590" s="1246"/>
      <c r="BQ590" s="1246"/>
      <c r="BR590" s="1247"/>
      <c r="BS590" s="1245">
        <f t="shared" si="2"/>
        <v>0</v>
      </c>
      <c r="BT590" s="1246"/>
      <c r="BU590" s="1246"/>
      <c r="BV590" s="1246"/>
      <c r="BW590" s="1248"/>
      <c r="BX590" s="1245">
        <f t="shared" si="3"/>
        <v>2</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49">
        <f t="shared" si="9"/>
        <v>1</v>
      </c>
      <c r="BF591" s="1250"/>
      <c r="BG591" s="1245">
        <f t="shared" si="7"/>
        <v>2</v>
      </c>
      <c r="BH591" s="1248"/>
      <c r="BI591" s="1249">
        <f t="shared" si="10"/>
        <v>0</v>
      </c>
      <c r="BJ591" s="1250"/>
      <c r="BK591" s="1245">
        <f t="shared" si="8"/>
        <v>0</v>
      </c>
      <c r="BL591" s="1248"/>
      <c r="BN591" s="1245">
        <f t="shared" si="1"/>
        <v>0</v>
      </c>
      <c r="BO591" s="1246"/>
      <c r="BP591" s="1246"/>
      <c r="BQ591" s="1246"/>
      <c r="BR591" s="1247"/>
      <c r="BS591" s="1245">
        <f t="shared" si="2"/>
        <v>0</v>
      </c>
      <c r="BT591" s="1246"/>
      <c r="BU591" s="1246"/>
      <c r="BV591" s="1246"/>
      <c r="BW591" s="1248"/>
      <c r="BX591" s="1245">
        <f t="shared" si="3"/>
        <v>0</v>
      </c>
      <c r="BY591" s="1246"/>
      <c r="BZ591" s="1246"/>
      <c r="CA591" s="1246"/>
      <c r="CB591" s="1248"/>
      <c r="CC591" s="1245">
        <f t="shared" si="4"/>
        <v>4</v>
      </c>
      <c r="CD591" s="1246"/>
      <c r="CE591" s="1246"/>
      <c r="CF591" s="1246"/>
      <c r="CG591" s="1248"/>
      <c r="CH591" s="1245">
        <f t="shared" si="5"/>
        <v>0</v>
      </c>
      <c r="CI591" s="1246"/>
      <c r="CJ591" s="1246"/>
      <c r="CK591" s="1246"/>
      <c r="CL591" s="1248"/>
      <c r="CM591" s="1245">
        <f t="shared" si="6"/>
        <v>0</v>
      </c>
      <c r="CN591" s="1246"/>
      <c r="CO591" s="1246"/>
      <c r="CP591" s="1246"/>
      <c r="CQ591" s="1248"/>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49">
        <f t="shared" si="9"/>
        <v>1</v>
      </c>
      <c r="BF592" s="1250"/>
      <c r="BG592" s="1245">
        <f t="shared" si="7"/>
        <v>4</v>
      </c>
      <c r="BH592" s="1248"/>
      <c r="BI592" s="1249">
        <f t="shared" si="10"/>
        <v>0</v>
      </c>
      <c r="BJ592" s="1250"/>
      <c r="BK592" s="1245">
        <f t="shared" si="8"/>
        <v>0</v>
      </c>
      <c r="BL592" s="1248"/>
      <c r="BN592" s="1245">
        <f t="shared" si="1"/>
        <v>0</v>
      </c>
      <c r="BO592" s="1246"/>
      <c r="BP592" s="1246"/>
      <c r="BQ592" s="1246"/>
      <c r="BR592" s="1247"/>
      <c r="BS592" s="1245">
        <f t="shared" si="2"/>
        <v>0</v>
      </c>
      <c r="BT592" s="1246"/>
      <c r="BU592" s="1246"/>
      <c r="BV592" s="1246"/>
      <c r="BW592" s="1248"/>
      <c r="BX592" s="1245">
        <f t="shared" si="3"/>
        <v>0</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9"/>
        <v>0</v>
      </c>
      <c r="BF593" s="1250"/>
      <c r="BG593" s="1245">
        <f t="shared" si="7"/>
        <v>0</v>
      </c>
      <c r="BH593" s="1248"/>
      <c r="BI593" s="1249">
        <f t="shared" si="10"/>
        <v>0</v>
      </c>
      <c r="BJ593" s="1250"/>
      <c r="BK593" s="1245">
        <f t="shared" si="8"/>
        <v>0</v>
      </c>
      <c r="BL593" s="1248"/>
      <c r="BN593" s="1245">
        <f t="shared" si="1"/>
        <v>0</v>
      </c>
      <c r="BO593" s="1246"/>
      <c r="BP593" s="1246"/>
      <c r="BQ593" s="1246"/>
      <c r="BR593" s="1247"/>
      <c r="BS593" s="1245">
        <f t="shared" si="2"/>
        <v>0</v>
      </c>
      <c r="BT593" s="1246"/>
      <c r="BU593" s="1246"/>
      <c r="BV593" s="1246"/>
      <c r="BW593" s="1248"/>
      <c r="BX593" s="1245">
        <f t="shared" si="3"/>
        <v>3</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9">
        <f t="shared" si="9"/>
        <v>0</v>
      </c>
      <c r="BF594" s="1250"/>
      <c r="BG594" s="1245">
        <f t="shared" si="7"/>
        <v>0</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6"/>
      <c r="H596" s="1116"/>
      <c r="I596" s="1116"/>
      <c r="J596" s="1116"/>
      <c r="K596" s="1116"/>
      <c r="L596" s="1116"/>
      <c r="O596" s="42" t="s">
        <v>859</v>
      </c>
      <c r="P596" s="1287"/>
      <c r="Q596" s="1287"/>
      <c r="R596" s="1287"/>
      <c r="T596" s="4"/>
      <c r="U596" t="s">
        <v>686</v>
      </c>
      <c r="Z596" s="1116"/>
      <c r="AA596" s="1116"/>
      <c r="AB596" s="1116"/>
      <c r="AC596" s="1116"/>
      <c r="AD596" s="1116"/>
      <c r="AE596" s="1116"/>
      <c r="AH596" s="42" t="s">
        <v>859</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6"/>
      <c r="H604" s="1116"/>
      <c r="I604" s="1116"/>
      <c r="J604" s="1116"/>
      <c r="K604" s="1116"/>
      <c r="L604" s="1116"/>
      <c r="O604" s="42" t="s">
        <v>859</v>
      </c>
      <c r="P604" s="1287"/>
      <c r="Q604" s="1287"/>
      <c r="R604" s="1287"/>
      <c r="U604" t="s">
        <v>686</v>
      </c>
      <c r="Z604" s="1116"/>
      <c r="AA604" s="1116"/>
      <c r="AB604" s="1116"/>
      <c r="AC604" s="1116"/>
      <c r="AD604" s="1116"/>
      <c r="AE604" s="1116"/>
      <c r="AH604" s="42" t="s">
        <v>859</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18" t="s">
        <v>511</v>
      </c>
      <c r="O606" s="1118"/>
      <c r="U606" t="s">
        <v>877</v>
      </c>
      <c r="AG606" s="1118" t="s">
        <v>511</v>
      </c>
      <c r="AH606" s="1118"/>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2255</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0</v>
      </c>
      <c r="BO613" s="1317"/>
      <c r="BP613" s="1317"/>
      <c r="BQ613" s="1317"/>
      <c r="BR613" s="1250"/>
      <c r="BS613" s="1249">
        <f>SUM(BS588:BW612)</f>
        <v>0</v>
      </c>
      <c r="BT613" s="1317"/>
      <c r="BU613" s="1317"/>
      <c r="BV613" s="1317"/>
      <c r="BW613" s="1250"/>
      <c r="BX613" s="1249">
        <f>SUM(BX588:CB612)</f>
        <v>8</v>
      </c>
      <c r="BY613" s="1317"/>
      <c r="BZ613" s="1317"/>
      <c r="CA613" s="1317"/>
      <c r="CB613" s="1250"/>
      <c r="CC613" s="1249">
        <f>SUM(CC588:CG612)</f>
        <v>4</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49">
        <f>SUM(BG589:BH613)</f>
        <v>6</v>
      </c>
      <c r="BH614" s="1250"/>
      <c r="BI614" s="41"/>
      <c r="BJ614" s="41"/>
      <c r="BK614" s="1249">
        <f>SUM(BK589:BL613)</f>
        <v>3</v>
      </c>
      <c r="BL614" s="1250"/>
      <c r="BN614" s="41" t="s">
        <v>1800</v>
      </c>
      <c r="BO614" s="41"/>
      <c r="BP614" s="41"/>
      <c r="BQ614" s="41"/>
      <c r="BR614" s="480">
        <f>BN613*1</f>
        <v>0</v>
      </c>
      <c r="BS614" s="41"/>
      <c r="BT614" s="41"/>
      <c r="BU614" s="41"/>
      <c r="BV614" s="41"/>
      <c r="BW614" s="480">
        <f>BS613*1</f>
        <v>0</v>
      </c>
      <c r="BX614" s="41"/>
      <c r="BY614" s="41"/>
      <c r="BZ614" s="41"/>
      <c r="CA614" s="41"/>
      <c r="CB614" s="480">
        <f>BX613*2</f>
        <v>16</v>
      </c>
      <c r="CC614" s="41"/>
      <c r="CD614" s="41"/>
      <c r="CE614" s="41"/>
      <c r="CF614" s="41"/>
      <c r="CG614" s="480">
        <f>CC613*3</f>
        <v>12</v>
      </c>
      <c r="CH614" s="41"/>
      <c r="CI614" s="41"/>
      <c r="CJ614" s="41"/>
      <c r="CK614" s="41"/>
      <c r="CL614" s="480">
        <f>CH613*4</f>
        <v>0</v>
      </c>
      <c r="CM614" s="41"/>
      <c r="CN614" s="41"/>
      <c r="CO614" s="41"/>
      <c r="CP614" s="41"/>
      <c r="CQ614" s="479">
        <f>CM613*5</f>
        <v>0</v>
      </c>
      <c r="CS614" s="1249">
        <f>SUM(CS589:CW613)</f>
        <v>0</v>
      </c>
      <c r="CT614" s="1317"/>
      <c r="CU614" s="1317"/>
      <c r="CV614" s="1317"/>
      <c r="CW614" s="1250"/>
      <c r="CX614" s="1249">
        <f>SUM(CX589:DB613)</f>
        <v>0</v>
      </c>
      <c r="CY614" s="1317"/>
      <c r="CZ614" s="1317"/>
      <c r="DA614" s="1317"/>
      <c r="DB614" s="1250"/>
      <c r="DC614" s="1249">
        <f>SUM(DC589:DG613)</f>
        <v>3</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2.95" customHeight="1" thickBot="1">
      <c r="B615" s="1100" t="s">
        <v>2325</v>
      </c>
      <c r="C615" s="1101"/>
      <c r="D615" s="1101"/>
      <c r="E615" s="1101"/>
      <c r="F615" s="1101"/>
      <c r="G615" s="1101"/>
      <c r="H615" s="1101"/>
      <c r="I615" s="1101"/>
      <c r="J615" s="1101"/>
      <c r="K615" s="1101"/>
      <c r="L615" s="1101"/>
      <c r="M615" s="1127" t="s">
        <v>2299</v>
      </c>
      <c r="N615" s="1127"/>
      <c r="O615" s="1127"/>
      <c r="P615" s="1127"/>
      <c r="Q615" s="1077" t="s">
        <v>2329</v>
      </c>
      <c r="R615" s="1078"/>
      <c r="S615" s="1079"/>
      <c r="T615" s="1077" t="s">
        <v>2328</v>
      </c>
      <c r="U615" s="1078"/>
      <c r="V615" s="1079"/>
      <c r="W615" s="1107" t="s">
        <v>776</v>
      </c>
      <c r="X615" s="1107"/>
      <c r="Y615" s="1108"/>
      <c r="Z615" s="1127" t="s">
        <v>2326</v>
      </c>
      <c r="AA615" s="1127"/>
      <c r="AB615" s="1127"/>
      <c r="AC615" s="1068" t="s">
        <v>2090</v>
      </c>
      <c r="AD615" s="1069"/>
      <c r="AE615" s="1070"/>
      <c r="AF615" s="1077" t="s">
        <v>2256</v>
      </c>
      <c r="AG615" s="1078"/>
      <c r="AH615" s="1078"/>
      <c r="AI615" s="1078"/>
      <c r="AJ615" s="1079"/>
      <c r="AK615" s="1128" t="s">
        <v>2257</v>
      </c>
      <c r="AL615" s="1129"/>
      <c r="AM615" s="1129"/>
      <c r="AN615" s="1130"/>
      <c r="AO615" s="1127" t="s">
        <v>777</v>
      </c>
      <c r="AP615" s="1127"/>
      <c r="AQ615" s="1127"/>
      <c r="AR615" s="1127"/>
      <c r="AS615" s="11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28</v>
      </c>
      <c r="CR615" s="41"/>
      <c r="CS615" s="41"/>
    </row>
    <row r="616" spans="1:126" ht="12.95" customHeight="1">
      <c r="B616" s="1102"/>
      <c r="C616" s="1103"/>
      <c r="D616" s="1103"/>
      <c r="E616" s="1103"/>
      <c r="F616" s="1103"/>
      <c r="G616" s="1103"/>
      <c r="H616" s="1103"/>
      <c r="I616" s="1103"/>
      <c r="J616" s="1103"/>
      <c r="K616" s="1103"/>
      <c r="L616" s="1103"/>
      <c r="M616" s="1127"/>
      <c r="N616" s="1127"/>
      <c r="O616" s="1127"/>
      <c r="P616" s="1127"/>
      <c r="Q616" s="1080"/>
      <c r="R616" s="1081"/>
      <c r="S616" s="1082"/>
      <c r="T616" s="1080"/>
      <c r="U616" s="1081"/>
      <c r="V616" s="1082"/>
      <c r="W616" s="1109"/>
      <c r="X616" s="1109"/>
      <c r="Y616" s="1110"/>
      <c r="Z616" s="1127"/>
      <c r="AA616" s="1127"/>
      <c r="AB616" s="1127"/>
      <c r="AC616" s="1071"/>
      <c r="AD616" s="1072"/>
      <c r="AE616" s="1073"/>
      <c r="AF616" s="1080"/>
      <c r="AG616" s="1081"/>
      <c r="AH616" s="1081"/>
      <c r="AI616" s="1081"/>
      <c r="AJ616" s="1082"/>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0</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2.95" customHeight="1">
      <c r="B617" s="1104"/>
      <c r="C617" s="1105"/>
      <c r="D617" s="1105"/>
      <c r="E617" s="1105"/>
      <c r="F617" s="1105"/>
      <c r="G617" s="1105"/>
      <c r="H617" s="1105"/>
      <c r="I617" s="1105"/>
      <c r="J617" s="1105"/>
      <c r="K617" s="1105"/>
      <c r="L617" s="1105"/>
      <c r="M617" s="1127"/>
      <c r="N617" s="1127"/>
      <c r="O617" s="1127"/>
      <c r="P617" s="1127"/>
      <c r="Q617" s="1083"/>
      <c r="R617" s="1084"/>
      <c r="S617" s="1085"/>
      <c r="T617" s="1083"/>
      <c r="U617" s="1084"/>
      <c r="V617" s="1085"/>
      <c r="W617" s="1111"/>
      <c r="X617" s="1111"/>
      <c r="Y617" s="1112"/>
      <c r="Z617" s="1127"/>
      <c r="AA617" s="1127"/>
      <c r="AB617" s="1127"/>
      <c r="AC617" s="1074"/>
      <c r="AD617" s="1075"/>
      <c r="AE617" s="1076"/>
      <c r="AF617" s="1083"/>
      <c r="AG617" s="1084"/>
      <c r="AH617" s="1084"/>
      <c r="AI617" s="1084"/>
      <c r="AJ617" s="1085"/>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2.95" customHeight="1">
      <c r="B618" s="57" t="s">
        <v>944</v>
      </c>
      <c r="C618" s="1090" t="s">
        <v>2470</v>
      </c>
      <c r="D618" s="1090"/>
      <c r="E618" s="1090"/>
      <c r="F618" s="1090"/>
      <c r="G618" s="1090"/>
      <c r="H618" s="1090"/>
      <c r="I618" s="1090"/>
      <c r="J618" s="1090"/>
      <c r="K618" s="1090"/>
      <c r="L618" s="1090"/>
      <c r="M618" s="1113" t="s">
        <v>2314</v>
      </c>
      <c r="N618" s="1113"/>
      <c r="O618" s="1113"/>
      <c r="P618" s="1113"/>
      <c r="Q618" s="1062">
        <v>480</v>
      </c>
      <c r="R618" s="1063"/>
      <c r="S618" s="1064"/>
      <c r="T618" s="1059">
        <v>480</v>
      </c>
      <c r="U618" s="1060"/>
      <c r="V618" s="1061"/>
      <c r="W618" s="1086">
        <v>5.45E-2</v>
      </c>
      <c r="X618" s="1087"/>
      <c r="Y618" s="1088"/>
      <c r="Z618" s="1389" t="s">
        <v>2077</v>
      </c>
      <c r="AA618" s="1390"/>
      <c r="AB618" s="1391"/>
      <c r="AC618" s="1056">
        <v>1</v>
      </c>
      <c r="AD618" s="1057"/>
      <c r="AE618" s="1058"/>
      <c r="AF618" s="1065">
        <v>242759</v>
      </c>
      <c r="AG618" s="1066"/>
      <c r="AH618" s="1066"/>
      <c r="AI618" s="1066"/>
      <c r="AJ618" s="1067"/>
      <c r="AK618" s="1124"/>
      <c r="AL618" s="1125"/>
      <c r="AM618" s="1125"/>
      <c r="AN618" s="1126"/>
      <c r="AO618" s="1199">
        <v>3790000</v>
      </c>
      <c r="AP618" s="1199"/>
      <c r="AQ618" s="1199"/>
      <c r="AR618" s="1199"/>
      <c r="AS618" s="1199"/>
      <c r="AT618" s="966" t="str">
        <f t="shared" ref="AT618:AT629" si="17">IF(AND(NOT(C617=""),C618="",NOT(C619="")),"!","")</f>
        <v/>
      </c>
      <c r="AU618" s="43"/>
      <c r="AV618" s="43"/>
      <c r="AW618" s="43"/>
      <c r="AX618" s="43"/>
      <c r="AY618" s="43"/>
      <c r="BA618" s="41" t="s">
        <v>2077</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2.95" customHeight="1">
      <c r="B619" s="58" t="s">
        <v>945</v>
      </c>
      <c r="C619" s="1090" t="s">
        <v>2484</v>
      </c>
      <c r="D619" s="1090"/>
      <c r="E619" s="1090"/>
      <c r="F619" s="1090"/>
      <c r="G619" s="1090"/>
      <c r="H619" s="1090"/>
      <c r="I619" s="1090"/>
      <c r="J619" s="1090"/>
      <c r="K619" s="1090"/>
      <c r="L619" s="1090"/>
      <c r="M619" s="1113" t="s">
        <v>2314</v>
      </c>
      <c r="N619" s="1113"/>
      <c r="O619" s="1113"/>
      <c r="P619" s="1113"/>
      <c r="Q619" s="1062">
        <v>84</v>
      </c>
      <c r="R619" s="1063"/>
      <c r="S619" s="1064"/>
      <c r="T619" s="1059">
        <v>10000</v>
      </c>
      <c r="U619" s="1060"/>
      <c r="V619" s="1061"/>
      <c r="W619" s="1086">
        <v>0.01</v>
      </c>
      <c r="X619" s="1087"/>
      <c r="Y619" s="1088"/>
      <c r="Z619" s="1389" t="s">
        <v>2077</v>
      </c>
      <c r="AA619" s="1390"/>
      <c r="AB619" s="1391"/>
      <c r="AC619" s="1056">
        <v>1</v>
      </c>
      <c r="AD619" s="1057"/>
      <c r="AE619" s="1058"/>
      <c r="AF619" s="1065"/>
      <c r="AG619" s="1066"/>
      <c r="AH619" s="1066"/>
      <c r="AI619" s="1066"/>
      <c r="AJ619" s="1067"/>
      <c r="AK619" s="1124"/>
      <c r="AL619" s="1125"/>
      <c r="AM619" s="1125"/>
      <c r="AN619" s="1126"/>
      <c r="AO619" s="1199">
        <v>226082</v>
      </c>
      <c r="AP619" s="1199"/>
      <c r="AQ619" s="1199"/>
      <c r="AR619" s="1199"/>
      <c r="AS619" s="1199"/>
      <c r="AT619" s="966" t="str">
        <f t="shared" si="17"/>
        <v/>
      </c>
      <c r="AU619" s="43"/>
      <c r="AV619" s="43"/>
      <c r="AW619" s="43"/>
      <c r="AX619" s="43"/>
      <c r="AY619" s="43"/>
      <c r="BA619" s="41" t="s">
        <v>827</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2.95" customHeight="1">
      <c r="B620" s="58" t="s">
        <v>951</v>
      </c>
      <c r="C620" s="1090"/>
      <c r="D620" s="1090"/>
      <c r="E620" s="1090"/>
      <c r="F620" s="1090"/>
      <c r="G620" s="1090"/>
      <c r="H620" s="1090"/>
      <c r="I620" s="1090"/>
      <c r="J620" s="1090"/>
      <c r="K620" s="1090"/>
      <c r="L620" s="1090"/>
      <c r="M620" s="1113" t="s">
        <v>2077</v>
      </c>
      <c r="N620" s="1113"/>
      <c r="O620" s="1113"/>
      <c r="P620" s="1113"/>
      <c r="Q620" s="1062"/>
      <c r="R620" s="1063"/>
      <c r="S620" s="1064"/>
      <c r="T620" s="1059"/>
      <c r="U620" s="1060"/>
      <c r="V620" s="1061"/>
      <c r="W620" s="1086"/>
      <c r="X620" s="1087"/>
      <c r="Y620" s="1088"/>
      <c r="Z620" s="1389" t="s">
        <v>2077</v>
      </c>
      <c r="AA620" s="1390"/>
      <c r="AB620" s="1391"/>
      <c r="AC620" s="1056"/>
      <c r="AD620" s="1057"/>
      <c r="AE620" s="1058"/>
      <c r="AF620" s="1065"/>
      <c r="AG620" s="1066"/>
      <c r="AH620" s="1066"/>
      <c r="AI620" s="1066"/>
      <c r="AJ620" s="1067"/>
      <c r="AK620" s="1124"/>
      <c r="AL620" s="1125"/>
      <c r="AM620" s="1125"/>
      <c r="AN620" s="1126"/>
      <c r="AO620" s="1199"/>
      <c r="AP620" s="1199"/>
      <c r="AQ620" s="1199"/>
      <c r="AR620" s="1199"/>
      <c r="AS620" s="1199"/>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0</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0</v>
      </c>
      <c r="CT620" s="63" t="s">
        <v>2081</v>
      </c>
      <c r="CU620" s="41"/>
    </row>
    <row r="621" spans="1:126" ht="12.95" customHeight="1">
      <c r="B621" s="58" t="s">
        <v>460</v>
      </c>
      <c r="C621" s="1090"/>
      <c r="D621" s="1090"/>
      <c r="E621" s="1090"/>
      <c r="F621" s="1090"/>
      <c r="G621" s="1090"/>
      <c r="H621" s="1090"/>
      <c r="I621" s="1090"/>
      <c r="J621" s="1090"/>
      <c r="K621" s="1090"/>
      <c r="L621" s="1090"/>
      <c r="M621" s="1113" t="s">
        <v>2077</v>
      </c>
      <c r="N621" s="1113"/>
      <c r="O621" s="1113"/>
      <c r="P621" s="1113"/>
      <c r="Q621" s="1062"/>
      <c r="R621" s="1063"/>
      <c r="S621" s="1064"/>
      <c r="T621" s="1059"/>
      <c r="U621" s="1060"/>
      <c r="V621" s="1061"/>
      <c r="W621" s="1086"/>
      <c r="X621" s="1087"/>
      <c r="Y621" s="1088"/>
      <c r="Z621" s="1389" t="s">
        <v>2077</v>
      </c>
      <c r="AA621" s="1390"/>
      <c r="AB621" s="1391"/>
      <c r="AC621" s="1056"/>
      <c r="AD621" s="1057"/>
      <c r="AE621" s="1058"/>
      <c r="AF621" s="1065"/>
      <c r="AG621" s="1066"/>
      <c r="AH621" s="1066"/>
      <c r="AI621" s="1066"/>
      <c r="AJ621" s="1067"/>
      <c r="AK621" s="1124"/>
      <c r="AL621" s="1125"/>
      <c r="AM621" s="1125"/>
      <c r="AN621" s="1126"/>
      <c r="AO621" s="1199"/>
      <c r="AP621" s="1199"/>
      <c r="AQ621" s="1199"/>
      <c r="AR621" s="1199"/>
      <c r="AS621" s="1199"/>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0"/>
      <c r="D622" s="1090"/>
      <c r="E622" s="1090"/>
      <c r="F622" s="1090"/>
      <c r="G622" s="1090"/>
      <c r="H622" s="1090"/>
      <c r="I622" s="1090"/>
      <c r="J622" s="1090"/>
      <c r="K622" s="1090"/>
      <c r="L622" s="1090"/>
      <c r="M622" s="1113" t="s">
        <v>2077</v>
      </c>
      <c r="N622" s="1113"/>
      <c r="O622" s="1113"/>
      <c r="P622" s="1113"/>
      <c r="Q622" s="1062"/>
      <c r="R622" s="1063"/>
      <c r="S622" s="1064"/>
      <c r="T622" s="1059"/>
      <c r="U622" s="1060"/>
      <c r="V622" s="1061"/>
      <c r="W622" s="1086"/>
      <c r="X622" s="1087"/>
      <c r="Y622" s="1088"/>
      <c r="Z622" s="1389" t="s">
        <v>2077</v>
      </c>
      <c r="AA622" s="1390"/>
      <c r="AB622" s="1391"/>
      <c r="AC622" s="1056"/>
      <c r="AD622" s="1057"/>
      <c r="AE622" s="1058"/>
      <c r="AF622" s="1065"/>
      <c r="AG622" s="1066"/>
      <c r="AH622" s="1066"/>
      <c r="AI622" s="1066"/>
      <c r="AJ622" s="1067"/>
      <c r="AK622" s="1124"/>
      <c r="AL622" s="1125"/>
      <c r="AM622" s="1125"/>
      <c r="AN622" s="1126"/>
      <c r="AO622" s="1199"/>
      <c r="AP622" s="1199"/>
      <c r="AQ622" s="1199"/>
      <c r="AR622" s="1199"/>
      <c r="AS622" s="1199"/>
      <c r="AT622" s="966" t="str">
        <f t="shared" si="17"/>
        <v/>
      </c>
      <c r="AU622" s="43"/>
      <c r="AV622" s="43"/>
      <c r="AW622" s="43"/>
      <c r="AX622" s="43"/>
      <c r="AY622" s="43"/>
      <c r="AZ622" s="43"/>
      <c r="BA622" s="41" t="s">
        <v>528</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2.95" customHeight="1">
      <c r="B623" s="58" t="s">
        <v>463</v>
      </c>
      <c r="C623" s="1090"/>
      <c r="D623" s="1090"/>
      <c r="E623" s="1090"/>
      <c r="F623" s="1090"/>
      <c r="G623" s="1090"/>
      <c r="H623" s="1090"/>
      <c r="I623" s="1090"/>
      <c r="J623" s="1090"/>
      <c r="K623" s="1090"/>
      <c r="L623" s="1090"/>
      <c r="M623" s="1113" t="s">
        <v>2077</v>
      </c>
      <c r="N623" s="1113"/>
      <c r="O623" s="1113"/>
      <c r="P623" s="1113"/>
      <c r="Q623" s="1062"/>
      <c r="R623" s="1063"/>
      <c r="S623" s="1064"/>
      <c r="T623" s="1059"/>
      <c r="U623" s="1060"/>
      <c r="V623" s="1061"/>
      <c r="W623" s="1086"/>
      <c r="X623" s="1087"/>
      <c r="Y623" s="1088"/>
      <c r="Z623" s="1389" t="s">
        <v>2077</v>
      </c>
      <c r="AA623" s="1390"/>
      <c r="AB623" s="1391"/>
      <c r="AC623" s="1056"/>
      <c r="AD623" s="1057"/>
      <c r="AE623" s="1058"/>
      <c r="AF623" s="1065"/>
      <c r="AG623" s="1066"/>
      <c r="AH623" s="1066"/>
      <c r="AI623" s="1066"/>
      <c r="AJ623" s="1067"/>
      <c r="AK623" s="1124"/>
      <c r="AL623" s="1125"/>
      <c r="AM623" s="1125"/>
      <c r="AN623" s="1126"/>
      <c r="AO623" s="1199"/>
      <c r="AP623" s="1199"/>
      <c r="AQ623" s="1199"/>
      <c r="AR623" s="1199"/>
      <c r="AS623" s="1199"/>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2.95" customHeight="1">
      <c r="B624" s="58" t="s">
        <v>778</v>
      </c>
      <c r="C624" s="1090"/>
      <c r="D624" s="1090"/>
      <c r="E624" s="1090"/>
      <c r="F624" s="1090"/>
      <c r="G624" s="1090"/>
      <c r="H624" s="1090"/>
      <c r="I624" s="1090"/>
      <c r="J624" s="1090"/>
      <c r="K624" s="1090"/>
      <c r="L624" s="1090"/>
      <c r="M624" s="1113" t="s">
        <v>2077</v>
      </c>
      <c r="N624" s="1113"/>
      <c r="O624" s="1113"/>
      <c r="P624" s="1113"/>
      <c r="Q624" s="1062"/>
      <c r="R624" s="1063"/>
      <c r="S624" s="1064"/>
      <c r="T624" s="1059"/>
      <c r="U624" s="1060"/>
      <c r="V624" s="1061"/>
      <c r="W624" s="1086"/>
      <c r="X624" s="1087"/>
      <c r="Y624" s="1088"/>
      <c r="Z624" s="1389" t="s">
        <v>2077</v>
      </c>
      <c r="AA624" s="1390"/>
      <c r="AB624" s="1391"/>
      <c r="AC624" s="1056"/>
      <c r="AD624" s="1057"/>
      <c r="AE624" s="1058"/>
      <c r="AF624" s="1065"/>
      <c r="AG624" s="1066"/>
      <c r="AH624" s="1066"/>
      <c r="AI624" s="1066"/>
      <c r="AJ624" s="1067"/>
      <c r="AK624" s="1124"/>
      <c r="AL624" s="1125"/>
      <c r="AM624" s="1125"/>
      <c r="AN624" s="1126"/>
      <c r="AO624" s="1199"/>
      <c r="AP624" s="1199"/>
      <c r="AQ624" s="1199"/>
      <c r="AR624" s="1199"/>
      <c r="AS624" s="1199"/>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2.95" customHeight="1">
      <c r="B625" s="58" t="s">
        <v>779</v>
      </c>
      <c r="C625" s="1090"/>
      <c r="D625" s="1090"/>
      <c r="E625" s="1090"/>
      <c r="F625" s="1090"/>
      <c r="G625" s="1090"/>
      <c r="H625" s="1090"/>
      <c r="I625" s="1090"/>
      <c r="J625" s="1090"/>
      <c r="K625" s="1090"/>
      <c r="L625" s="1090"/>
      <c r="M625" s="1113" t="s">
        <v>2077</v>
      </c>
      <c r="N625" s="1113"/>
      <c r="O625" s="1113"/>
      <c r="P625" s="1113"/>
      <c r="Q625" s="1062"/>
      <c r="R625" s="1063"/>
      <c r="S625" s="1064"/>
      <c r="T625" s="1059"/>
      <c r="U625" s="1060"/>
      <c r="V625" s="1061"/>
      <c r="W625" s="1086"/>
      <c r="X625" s="1087"/>
      <c r="Y625" s="1088"/>
      <c r="Z625" s="1389" t="s">
        <v>2077</v>
      </c>
      <c r="AA625" s="1390"/>
      <c r="AB625" s="1391"/>
      <c r="AC625" s="1056"/>
      <c r="AD625" s="1057"/>
      <c r="AE625" s="1058"/>
      <c r="AF625" s="1065"/>
      <c r="AG625" s="1066"/>
      <c r="AH625" s="1066"/>
      <c r="AI625" s="1066"/>
      <c r="AJ625" s="1067"/>
      <c r="AK625" s="1124"/>
      <c r="AL625" s="1125"/>
      <c r="AM625" s="1125"/>
      <c r="AN625" s="1126"/>
      <c r="AO625" s="1199"/>
      <c r="AP625" s="1199"/>
      <c r="AQ625" s="1199"/>
      <c r="AR625" s="1199"/>
      <c r="AS625" s="1199"/>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2.95" customHeight="1">
      <c r="B626" s="58" t="s">
        <v>577</v>
      </c>
      <c r="C626" s="1090"/>
      <c r="D626" s="1090"/>
      <c r="E626" s="1090"/>
      <c r="F626" s="1090"/>
      <c r="G626" s="1090"/>
      <c r="H626" s="1090"/>
      <c r="I626" s="1090"/>
      <c r="J626" s="1090"/>
      <c r="K626" s="1090"/>
      <c r="L626" s="1090"/>
      <c r="M626" s="1113" t="s">
        <v>2077</v>
      </c>
      <c r="N626" s="1113"/>
      <c r="O626" s="1113"/>
      <c r="P626" s="1113"/>
      <c r="Q626" s="1062"/>
      <c r="R626" s="1063"/>
      <c r="S626" s="1064"/>
      <c r="T626" s="1059"/>
      <c r="U626" s="1060"/>
      <c r="V626" s="1061"/>
      <c r="W626" s="1086"/>
      <c r="X626" s="1087"/>
      <c r="Y626" s="1088"/>
      <c r="Z626" s="1389" t="s">
        <v>2077</v>
      </c>
      <c r="AA626" s="1390"/>
      <c r="AB626" s="1391"/>
      <c r="AC626" s="1056"/>
      <c r="AD626" s="1057"/>
      <c r="AE626" s="1058"/>
      <c r="AF626" s="1065"/>
      <c r="AG626" s="1066"/>
      <c r="AH626" s="1066"/>
      <c r="AI626" s="1066"/>
      <c r="AJ626" s="1067"/>
      <c r="AK626" s="1124"/>
      <c r="AL626" s="1125"/>
      <c r="AM626" s="1125"/>
      <c r="AN626" s="1126"/>
      <c r="AO626" s="1199"/>
      <c r="AP626" s="1199"/>
      <c r="AQ626" s="1199"/>
      <c r="AR626" s="1199"/>
      <c r="AS626" s="1199"/>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2.95"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9" t="s">
        <v>2077</v>
      </c>
      <c r="AA627" s="1390"/>
      <c r="AB627" s="1391"/>
      <c r="AC627" s="1056"/>
      <c r="AD627" s="1057"/>
      <c r="AE627" s="1058"/>
      <c r="AF627" s="1065"/>
      <c r="AG627" s="1066"/>
      <c r="AH627" s="1066"/>
      <c r="AI627" s="1066"/>
      <c r="AJ627" s="1067"/>
      <c r="AK627" s="1124"/>
      <c r="AL627" s="1125"/>
      <c r="AM627" s="1125"/>
      <c r="AN627" s="1126"/>
      <c r="AO627" s="1199"/>
      <c r="AP627" s="1199"/>
      <c r="AQ627" s="1199"/>
      <c r="AR627" s="1199"/>
      <c r="AS627" s="1199"/>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2.95"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9" t="s">
        <v>2077</v>
      </c>
      <c r="AA628" s="1390"/>
      <c r="AB628" s="1391"/>
      <c r="AC628" s="1056"/>
      <c r="AD628" s="1057"/>
      <c r="AE628" s="1058"/>
      <c r="AF628" s="1065"/>
      <c r="AG628" s="1066"/>
      <c r="AH628" s="1066"/>
      <c r="AI628" s="1066"/>
      <c r="AJ628" s="1067"/>
      <c r="AK628" s="1124"/>
      <c r="AL628" s="1125"/>
      <c r="AM628" s="1125"/>
      <c r="AN628" s="1126"/>
      <c r="AO628" s="1199"/>
      <c r="AP628" s="1199"/>
      <c r="AQ628" s="1199"/>
      <c r="AR628" s="1199"/>
      <c r="AS628" s="1199"/>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2.95"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9" t="s">
        <v>2077</v>
      </c>
      <c r="AA629" s="1390"/>
      <c r="AB629" s="1391"/>
      <c r="AC629" s="1056"/>
      <c r="AD629" s="1057"/>
      <c r="AE629" s="1058"/>
      <c r="AF629" s="1065"/>
      <c r="AG629" s="1066"/>
      <c r="AH629" s="1066"/>
      <c r="AI629" s="1066"/>
      <c r="AJ629" s="1067"/>
      <c r="AK629" s="1124"/>
      <c r="AL629" s="1125"/>
      <c r="AM629" s="1125"/>
      <c r="AN629" s="1126"/>
      <c r="AO629" s="1199"/>
      <c r="AP629" s="1199"/>
      <c r="AQ629" s="1199"/>
      <c r="AR629" s="1199"/>
      <c r="AS629" s="1199"/>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2.9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4016082</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2.9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v>4488529</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2.95" customHeight="1">
      <c r="B632" s="1387"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8"/>
      <c r="AO632" s="1155">
        <f>AO630+AO631</f>
        <v>8504611</v>
      </c>
      <c r="AP632" s="1156"/>
      <c r="AQ632" s="1156"/>
      <c r="AR632" s="1156"/>
      <c r="AS632" s="1157"/>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9" t="str">
        <f>C618</f>
        <v>Rockport/HUD 221D4</v>
      </c>
      <c r="H634" s="1299"/>
      <c r="I634" s="1299"/>
      <c r="J634" s="1299"/>
      <c r="K634" s="1299"/>
      <c r="L634" s="1299"/>
      <c r="M634" s="1299"/>
      <c r="N634" s="1299"/>
      <c r="O634" s="1299"/>
      <c r="P634" s="1299"/>
      <c r="Q634" s="1299"/>
      <c r="R634" s="1299"/>
      <c r="S634" s="12"/>
      <c r="T634" s="61" t="s">
        <v>945</v>
      </c>
      <c r="U634" t="s">
        <v>90</v>
      </c>
      <c r="Z634" s="1299" t="str">
        <f>C619</f>
        <v>Deferred Developer Fee</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1" t="s">
        <v>2473</v>
      </c>
      <c r="H635" s="1091"/>
      <c r="I635" s="1091"/>
      <c r="J635" s="1091"/>
      <c r="K635" s="1091"/>
      <c r="L635" s="1091"/>
      <c r="M635" s="1091"/>
      <c r="N635" s="1091"/>
      <c r="O635" s="1091"/>
      <c r="P635" s="1091"/>
      <c r="Q635" s="1091"/>
      <c r="R635" s="1091"/>
      <c r="S635" s="12"/>
      <c r="T635" s="4"/>
      <c r="U635" t="s">
        <v>397</v>
      </c>
      <c r="Z635" s="1091" t="s">
        <v>2485</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1" t="s">
        <v>2474</v>
      </c>
      <c r="H636" s="1091"/>
      <c r="I636" s="1091"/>
      <c r="J636" s="1091"/>
      <c r="K636" s="1091"/>
      <c r="L636" s="1091"/>
      <c r="M636" s="1091"/>
      <c r="N636" s="1091"/>
      <c r="O636" s="1091"/>
      <c r="P636" s="1091"/>
      <c r="Q636" s="1091"/>
      <c r="R636" s="1091"/>
      <c r="T636" s="4"/>
      <c r="U636" t="s">
        <v>459</v>
      </c>
      <c r="Z636" s="1092" t="s">
        <v>2390</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28</v>
      </c>
      <c r="CR636" s="41"/>
      <c r="CS636" s="41"/>
    </row>
    <row r="637" spans="1:97" ht="12.95" customHeight="1">
      <c r="A637" s="4"/>
      <c r="B637" t="s">
        <v>874</v>
      </c>
      <c r="G637" s="1091" t="s">
        <v>2475</v>
      </c>
      <c r="H637" s="1091"/>
      <c r="I637" s="1091"/>
      <c r="J637" s="1091"/>
      <c r="K637" s="1091"/>
      <c r="L637" s="1091"/>
      <c r="M637" s="1091"/>
      <c r="N637" s="1091"/>
      <c r="O637" s="1091"/>
      <c r="P637" s="1091"/>
      <c r="Q637" s="1091"/>
      <c r="R637" s="1091"/>
      <c r="S637" s="12"/>
      <c r="T637" s="4"/>
      <c r="U637" t="s">
        <v>874</v>
      </c>
      <c r="Z637" s="1092" t="s">
        <v>2373</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7" t="s">
        <v>2476</v>
      </c>
      <c r="H638" s="1116"/>
      <c r="I638" s="1116"/>
      <c r="J638" s="1116"/>
      <c r="K638" s="1116"/>
      <c r="L638" s="1116"/>
      <c r="O638" s="42" t="s">
        <v>859</v>
      </c>
      <c r="P638" s="1287"/>
      <c r="Q638" s="1287"/>
      <c r="R638" s="1287"/>
      <c r="S638" s="14"/>
      <c r="T638" s="4"/>
      <c r="U638" t="s">
        <v>686</v>
      </c>
      <c r="Z638" s="1117" t="s">
        <v>2374</v>
      </c>
      <c r="AA638" s="1116"/>
      <c r="AB638" s="1116"/>
      <c r="AC638" s="1116"/>
      <c r="AD638" s="1116"/>
      <c r="AE638" s="1116"/>
      <c r="AH638" s="42" t="s">
        <v>859</v>
      </c>
      <c r="AI638" s="1287"/>
      <c r="AJ638" s="1287"/>
      <c r="AK638" s="1287"/>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0</v>
      </c>
      <c r="BT638" s="1514"/>
      <c r="BU638" s="1514"/>
      <c r="BV638" s="1514"/>
      <c r="BW638" s="1515"/>
      <c r="BX638" s="1513">
        <f>BX613+BX620+BX632</f>
        <v>8</v>
      </c>
      <c r="BY638" s="1514"/>
      <c r="BZ638" s="1514"/>
      <c r="CA638" s="1514"/>
      <c r="CB638" s="1515"/>
      <c r="CC638" s="1513">
        <f>CC613+CC620+CC632</f>
        <v>4</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2.95" customHeight="1">
      <c r="A639" s="4"/>
      <c r="B639" t="s">
        <v>875</v>
      </c>
      <c r="H639" s="1091" t="s">
        <v>2477</v>
      </c>
      <c r="I639" s="1091"/>
      <c r="J639" s="1091"/>
      <c r="K639" s="1091"/>
      <c r="L639" s="1091"/>
      <c r="M639" s="1091"/>
      <c r="N639" s="1091"/>
      <c r="O639" s="1091"/>
      <c r="P639" s="1091"/>
      <c r="Q639" s="1091"/>
      <c r="R639" s="1091"/>
      <c r="S639" s="12"/>
      <c r="T639" s="4"/>
      <c r="U639" t="s">
        <v>875</v>
      </c>
      <c r="AA639" s="1091" t="s">
        <v>2484</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8" t="s">
        <v>116</v>
      </c>
      <c r="O640" s="1118"/>
      <c r="T640" s="4"/>
      <c r="U640" t="s">
        <v>877</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9">
        <f>C620</f>
        <v>0</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1"/>
      <c r="H643" s="1091"/>
      <c r="I643" s="1091"/>
      <c r="J643" s="1091"/>
      <c r="K643" s="1091"/>
      <c r="L643" s="1091"/>
      <c r="M643" s="1091"/>
      <c r="N643" s="1091"/>
      <c r="O643" s="1091"/>
      <c r="P643" s="1091"/>
      <c r="Q643" s="1091"/>
      <c r="R643" s="1091"/>
      <c r="T643" s="4"/>
      <c r="U643" t="s">
        <v>397</v>
      </c>
      <c r="Z643" s="1091"/>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2"/>
      <c r="H644" s="1092"/>
      <c r="I644" s="1092"/>
      <c r="J644" s="1092"/>
      <c r="K644" s="1092"/>
      <c r="L644" s="1092"/>
      <c r="M644" s="1092"/>
      <c r="N644" s="1092"/>
      <c r="O644" s="1092"/>
      <c r="P644" s="1092"/>
      <c r="Q644" s="1092"/>
      <c r="R644" s="1092"/>
      <c r="T644" s="4"/>
      <c r="U644" t="s">
        <v>459</v>
      </c>
      <c r="Z644" s="1092"/>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2"/>
      <c r="H645" s="1092"/>
      <c r="I645" s="1092"/>
      <c r="J645" s="1092"/>
      <c r="K645" s="1092"/>
      <c r="L645" s="1092"/>
      <c r="M645" s="1092"/>
      <c r="N645" s="1092"/>
      <c r="O645" s="1092"/>
      <c r="P645" s="1092"/>
      <c r="Q645" s="1092"/>
      <c r="R645" s="1092"/>
      <c r="T645" s="4"/>
      <c r="U645" t="s">
        <v>874</v>
      </c>
      <c r="Z645" s="1092"/>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6"/>
      <c r="H646" s="1116"/>
      <c r="I646" s="1116"/>
      <c r="J646" s="1116"/>
      <c r="K646" s="1116"/>
      <c r="L646" s="1116"/>
      <c r="O646" s="42" t="s">
        <v>859</v>
      </c>
      <c r="P646" s="1287"/>
      <c r="Q646" s="1287"/>
      <c r="R646" s="1287"/>
      <c r="T646" s="4"/>
      <c r="U646" t="s">
        <v>686</v>
      </c>
      <c r="Z646" s="1116"/>
      <c r="AA646" s="1116"/>
      <c r="AB646" s="1116"/>
      <c r="AC646" s="1116"/>
      <c r="AD646" s="1116"/>
      <c r="AE646" s="1116"/>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1"/>
      <c r="I647" s="1091"/>
      <c r="J647" s="1091"/>
      <c r="K647" s="1091"/>
      <c r="L647" s="1091"/>
      <c r="M647" s="1091"/>
      <c r="N647" s="1091"/>
      <c r="O647" s="1091"/>
      <c r="P647" s="1091"/>
      <c r="Q647" s="1091"/>
      <c r="R647" s="1091"/>
      <c r="T647" s="4"/>
      <c r="U647" t="s">
        <v>875</v>
      </c>
      <c r="AA647" s="1091"/>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8" t="s">
        <v>511</v>
      </c>
      <c r="O648" s="1118"/>
      <c r="T648" s="4"/>
      <c r="U648" t="s">
        <v>877</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1"/>
      <c r="H653" s="1091"/>
      <c r="I653" s="1091"/>
      <c r="J653" s="1091"/>
      <c r="K653" s="1091"/>
      <c r="L653" s="1091"/>
      <c r="M653" s="1091"/>
      <c r="N653" s="1091"/>
      <c r="O653" s="1091"/>
      <c r="P653" s="1091"/>
      <c r="Q653" s="1091"/>
      <c r="R653" s="1091"/>
      <c r="T653" s="4"/>
      <c r="U653" t="s">
        <v>874</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6"/>
      <c r="H654" s="1116"/>
      <c r="I654" s="1116"/>
      <c r="J654" s="1116"/>
      <c r="K654" s="1116"/>
      <c r="L654" s="1116"/>
      <c r="O654" s="42" t="s">
        <v>859</v>
      </c>
      <c r="P654" s="1287"/>
      <c r="Q654" s="1287"/>
      <c r="R654" s="1287"/>
      <c r="T654" s="4"/>
      <c r="U654" t="s">
        <v>686</v>
      </c>
      <c r="Z654" s="1116"/>
      <c r="AA654" s="1116"/>
      <c r="AB654" s="1116"/>
      <c r="AC654" s="1116"/>
      <c r="AD654" s="1116"/>
      <c r="AE654" s="1116"/>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8" t="s">
        <v>511</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9">
        <f>C624</f>
        <v>0</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6"/>
      <c r="H662" s="1116"/>
      <c r="I662" s="1116"/>
      <c r="J662" s="1116"/>
      <c r="K662" s="1116"/>
      <c r="L662" s="1116"/>
      <c r="O662" s="42" t="s">
        <v>859</v>
      </c>
      <c r="P662" s="1287"/>
      <c r="Q662" s="1287"/>
      <c r="R662" s="1287"/>
      <c r="T662" s="4"/>
      <c r="U662" t="s">
        <v>686</v>
      </c>
      <c r="Z662" s="1116"/>
      <c r="AA662" s="1116"/>
      <c r="AB662" s="1116"/>
      <c r="AC662" s="1116"/>
      <c r="AD662" s="1116"/>
      <c r="AE662" s="1116"/>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6"/>
      <c r="H670" s="1116"/>
      <c r="I670" s="1116"/>
      <c r="J670" s="1116"/>
      <c r="K670" s="1116"/>
      <c r="L670" s="1116"/>
      <c r="O670" s="42" t="s">
        <v>859</v>
      </c>
      <c r="P670" s="1287"/>
      <c r="Q670" s="1287"/>
      <c r="R670" s="1287"/>
      <c r="T670" s="4"/>
      <c r="U670" t="s">
        <v>686</v>
      </c>
      <c r="Z670" s="1116"/>
      <c r="AA670" s="1116"/>
      <c r="AB670" s="1116"/>
      <c r="AC670" s="1116"/>
      <c r="AD670" s="1116"/>
      <c r="AE670" s="1116"/>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2680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t="str">
        <f t="shared" ref="BA676:BA699" si="24">IF($G693=0,"N/A",VLOOKUP($T$189,TC_Rent,(MATCH($B693,bedrooms,FALSE))))</f>
        <v>N/A</v>
      </c>
      <c r="BB676" s="43"/>
      <c r="BC676" s="43"/>
      <c r="BD676" s="43"/>
      <c r="BE676" s="43"/>
      <c r="BF676" s="43"/>
      <c r="BG676" s="457">
        <f>G692</f>
        <v>3</v>
      </c>
      <c r="BH676" s="464">
        <f>BG676/$BG$701</f>
        <v>0.25</v>
      </c>
      <c r="BI676" s="466">
        <f>IF(BH676=0," ",BH676*AH692)</f>
        <v>7.4999999999999997E-2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2680</v>
      </c>
      <c r="BB677" s="43"/>
      <c r="BC677" s="43"/>
      <c r="BD677" s="43"/>
      <c r="BE677" s="43"/>
      <c r="BF677" s="43"/>
      <c r="BG677" s="458">
        <f t="shared" ref="BG677:BG700" si="25">G693</f>
        <v>0</v>
      </c>
      <c r="BH677" s="464">
        <f t="shared" ref="BH677:BH700" si="26">BG677/$BG$701</f>
        <v>0</v>
      </c>
      <c r="BI677" s="466" t="str">
        <f t="shared" ref="BI677:BI700" si="27">IF(BH677=0," ",BH677*AH693)</f>
        <v xml:space="preserve"> </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6"/>
      <c r="H678" s="1116"/>
      <c r="I678" s="1116"/>
      <c r="J678" s="1116"/>
      <c r="K678" s="1116"/>
      <c r="L678" s="1116"/>
      <c r="O678" s="42" t="s">
        <v>859</v>
      </c>
      <c r="P678" s="1287"/>
      <c r="Q678" s="1287"/>
      <c r="R678" s="1287"/>
      <c r="U678" t="s">
        <v>686</v>
      </c>
      <c r="Z678" s="1116"/>
      <c r="AA678" s="1116"/>
      <c r="AB678" s="1116"/>
      <c r="AC678" s="1116"/>
      <c r="AD678" s="1116"/>
      <c r="AE678" s="1116"/>
      <c r="AH678" s="42" t="s">
        <v>859</v>
      </c>
      <c r="AI678" s="1287"/>
      <c r="AJ678" s="1287"/>
      <c r="AK678" s="1287"/>
      <c r="AM678" s="43"/>
      <c r="BA678" s="43">
        <f t="shared" si="24"/>
        <v>3096</v>
      </c>
      <c r="BB678" s="41"/>
      <c r="BC678" s="41"/>
      <c r="BD678" s="41"/>
      <c r="BE678" s="41"/>
      <c r="BF678" s="41"/>
      <c r="BG678" s="458">
        <f t="shared" si="25"/>
        <v>2</v>
      </c>
      <c r="BH678" s="464">
        <f t="shared" si="26"/>
        <v>0.16666666666666666</v>
      </c>
      <c r="BI678" s="466">
        <f t="shared" si="27"/>
        <v>8.3333333333333329E-2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t="str">
        <f t="shared" si="24"/>
        <v>N/A</v>
      </c>
      <c r="BB679" s="41"/>
      <c r="BC679" s="41"/>
      <c r="BD679" s="41"/>
      <c r="BE679" s="41"/>
      <c r="BF679" s="41"/>
      <c r="BG679" s="458">
        <f t="shared" si="25"/>
        <v>4</v>
      </c>
      <c r="BH679" s="464">
        <f t="shared" si="26"/>
        <v>0.33333333333333331</v>
      </c>
      <c r="BI679" s="466">
        <f t="shared" si="27"/>
        <v>0.16666666666666666</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8" t="s">
        <v>511</v>
      </c>
      <c r="O680" s="1118"/>
      <c r="U680" t="s">
        <v>877</v>
      </c>
      <c r="AG680" s="1118" t="s">
        <v>511</v>
      </c>
      <c r="AH680" s="1118"/>
      <c r="AM680" s="41"/>
      <c r="BA680" s="43">
        <f t="shared" si="24"/>
        <v>2680</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8">
        <f t="shared" si="25"/>
        <v>3</v>
      </c>
      <c r="BH681" s="464">
        <f t="shared" si="26"/>
        <v>0.25</v>
      </c>
      <c r="BI681" s="466">
        <f t="shared" si="27"/>
        <v>0.15</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5" t="s">
        <v>58</v>
      </c>
      <c r="C688" s="1256"/>
      <c r="D688" s="1256"/>
      <c r="E688" s="1256"/>
      <c r="F688" s="1257"/>
      <c r="G688" s="1255" t="s">
        <v>271</v>
      </c>
      <c r="H688" s="1256"/>
      <c r="I688" s="1256"/>
      <c r="J688" s="1257"/>
      <c r="K688" s="1516" t="s">
        <v>2093</v>
      </c>
      <c r="L688" s="1517"/>
      <c r="M688" s="1517"/>
      <c r="N688" s="1518"/>
      <c r="O688" s="1255" t="s">
        <v>625</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2094</v>
      </c>
      <c r="AI688" s="1256"/>
      <c r="AJ688" s="1256"/>
      <c r="AK688" s="1256"/>
      <c r="AL688" s="1257"/>
      <c r="AM688" s="1255" t="s">
        <v>2095</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7" t="s">
        <v>817</v>
      </c>
      <c r="C692" s="1228"/>
      <c r="D692" s="1228"/>
      <c r="E692" s="1228"/>
      <c r="F692" s="1229"/>
      <c r="G692" s="1224">
        <v>3</v>
      </c>
      <c r="H692" s="1225"/>
      <c r="I692" s="1225"/>
      <c r="J692" s="1226"/>
      <c r="K692" s="1232">
        <v>858</v>
      </c>
      <c r="L692" s="1233"/>
      <c r="M692" s="1233"/>
      <c r="N692" s="1234"/>
      <c r="O692" s="1235">
        <v>722</v>
      </c>
      <c r="P692" s="1236"/>
      <c r="Q692" s="1236"/>
      <c r="R692" s="1236"/>
      <c r="S692" s="1237"/>
      <c r="T692" s="1238">
        <f t="shared" ref="T692:T716" si="28">G692*O692</f>
        <v>2166</v>
      </c>
      <c r="U692" s="1239"/>
      <c r="V692" s="1239"/>
      <c r="W692" s="1239"/>
      <c r="X692" s="1240"/>
      <c r="Y692" s="1235">
        <v>82</v>
      </c>
      <c r="Z692" s="1236"/>
      <c r="AA692" s="1236"/>
      <c r="AB692" s="1237"/>
      <c r="AC692" s="1238">
        <f t="shared" ref="AC692:AC716" si="29">O692+Y692</f>
        <v>804</v>
      </c>
      <c r="AD692" s="1239"/>
      <c r="AE692" s="1239"/>
      <c r="AF692" s="1239"/>
      <c r="AG692" s="1240"/>
      <c r="AH692" s="1309">
        <v>0.3</v>
      </c>
      <c r="AI692" s="1310"/>
      <c r="AJ692" s="1310"/>
      <c r="AK692" s="1310"/>
      <c r="AL692" s="1311"/>
      <c r="AM692" s="1459">
        <f>IF($AH692&gt;0,($AC692/$BA675)," ")</f>
        <v>0.3</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7"/>
      <c r="C693" s="1228"/>
      <c r="D693" s="1228"/>
      <c r="E693" s="1228"/>
      <c r="F693" s="1229"/>
      <c r="G693" s="1224"/>
      <c r="H693" s="1225"/>
      <c r="I693" s="1225"/>
      <c r="J693" s="1226"/>
      <c r="K693" s="1232"/>
      <c r="L693" s="1233"/>
      <c r="M693" s="1233"/>
      <c r="N693" s="1234"/>
      <c r="O693" s="1235"/>
      <c r="P693" s="1236"/>
      <c r="Q693" s="1236"/>
      <c r="R693" s="1236"/>
      <c r="S693" s="1237"/>
      <c r="T693" s="1238">
        <f t="shared" si="28"/>
        <v>0</v>
      </c>
      <c r="U693" s="1239"/>
      <c r="V693" s="1239"/>
      <c r="W693" s="1239"/>
      <c r="X693" s="1240"/>
      <c r="Y693" s="1235"/>
      <c r="Z693" s="1236"/>
      <c r="AA693" s="1236"/>
      <c r="AB693" s="1237"/>
      <c r="AC693" s="1238">
        <f t="shared" si="29"/>
        <v>0</v>
      </c>
      <c r="AD693" s="1239"/>
      <c r="AE693" s="1239"/>
      <c r="AF693" s="1239"/>
      <c r="AG693" s="1240"/>
      <c r="AH693" s="1252"/>
      <c r="AI693" s="1253"/>
      <c r="AJ693" s="1253"/>
      <c r="AK693" s="1253"/>
      <c r="AL693" s="1254"/>
      <c r="AM693" s="1459" t="str">
        <f t="shared" ref="AM693:AM716" si="30">IF($AH693&gt;0,($AC693/$BA676), " ")</f>
        <v xml:space="preserve"> </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7" t="s">
        <v>817</v>
      </c>
      <c r="C694" s="1228"/>
      <c r="D694" s="1228"/>
      <c r="E694" s="1228"/>
      <c r="F694" s="1229"/>
      <c r="G694" s="1224">
        <v>2</v>
      </c>
      <c r="H694" s="1225"/>
      <c r="I694" s="1225"/>
      <c r="J694" s="1226"/>
      <c r="K694" s="1232">
        <v>858</v>
      </c>
      <c r="L694" s="1233"/>
      <c r="M694" s="1233"/>
      <c r="N694" s="1234"/>
      <c r="O694" s="1235">
        <v>1258</v>
      </c>
      <c r="P694" s="1236"/>
      <c r="Q694" s="1236"/>
      <c r="R694" s="1236"/>
      <c r="S694" s="1237"/>
      <c r="T694" s="1238">
        <f t="shared" si="28"/>
        <v>2516</v>
      </c>
      <c r="U694" s="1239"/>
      <c r="V694" s="1239"/>
      <c r="W694" s="1239"/>
      <c r="X694" s="1240"/>
      <c r="Y694" s="1235">
        <v>82</v>
      </c>
      <c r="Z694" s="1236"/>
      <c r="AA694" s="1236"/>
      <c r="AB694" s="1237"/>
      <c r="AC694" s="1238">
        <f t="shared" si="29"/>
        <v>1340</v>
      </c>
      <c r="AD694" s="1239"/>
      <c r="AE694" s="1239"/>
      <c r="AF694" s="1239"/>
      <c r="AG694" s="1240"/>
      <c r="AH694" s="1252">
        <v>0.5</v>
      </c>
      <c r="AI694" s="1253"/>
      <c r="AJ694" s="1253"/>
      <c r="AK694" s="1253"/>
      <c r="AL694" s="1254"/>
      <c r="AM694" s="1459">
        <f t="shared" si="30"/>
        <v>0.5</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7" t="s">
        <v>818</v>
      </c>
      <c r="C695" s="1228"/>
      <c r="D695" s="1228"/>
      <c r="E695" s="1228"/>
      <c r="F695" s="1229"/>
      <c r="G695" s="1224">
        <v>4</v>
      </c>
      <c r="H695" s="1225"/>
      <c r="I695" s="1225"/>
      <c r="J695" s="1226"/>
      <c r="K695" s="1232">
        <v>1014</v>
      </c>
      <c r="L695" s="1233"/>
      <c r="M695" s="1233"/>
      <c r="N695" s="1234"/>
      <c r="O695" s="1235">
        <v>1435</v>
      </c>
      <c r="P695" s="1236"/>
      <c r="Q695" s="1236"/>
      <c r="R695" s="1236"/>
      <c r="S695" s="1237"/>
      <c r="T695" s="1238">
        <f t="shared" si="28"/>
        <v>5740</v>
      </c>
      <c r="U695" s="1239"/>
      <c r="V695" s="1239"/>
      <c r="W695" s="1239"/>
      <c r="X695" s="1240"/>
      <c r="Y695" s="1235">
        <v>113</v>
      </c>
      <c r="Z695" s="1236"/>
      <c r="AA695" s="1236"/>
      <c r="AB695" s="1237"/>
      <c r="AC695" s="1238">
        <f t="shared" si="29"/>
        <v>1548</v>
      </c>
      <c r="AD695" s="1239"/>
      <c r="AE695" s="1239"/>
      <c r="AF695" s="1239"/>
      <c r="AG695" s="1240"/>
      <c r="AH695" s="1252">
        <v>0.5</v>
      </c>
      <c r="AI695" s="1253"/>
      <c r="AJ695" s="1253"/>
      <c r="AK695" s="1253"/>
      <c r="AL695" s="1254"/>
      <c r="AM695" s="1459">
        <f t="shared" si="30"/>
        <v>0.5</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7"/>
      <c r="C696" s="1228"/>
      <c r="D696" s="1228"/>
      <c r="E696" s="1228"/>
      <c r="F696" s="1229"/>
      <c r="G696" s="1224"/>
      <c r="H696" s="1225"/>
      <c r="I696" s="1225"/>
      <c r="J696" s="1226"/>
      <c r="K696" s="1232"/>
      <c r="L696" s="1233"/>
      <c r="M696" s="1233"/>
      <c r="N696" s="1234"/>
      <c r="O696" s="1235"/>
      <c r="P696" s="1236"/>
      <c r="Q696" s="1236"/>
      <c r="R696" s="1236"/>
      <c r="S696" s="1237"/>
      <c r="T696" s="1238">
        <f t="shared" si="28"/>
        <v>0</v>
      </c>
      <c r="U696" s="1239"/>
      <c r="V696" s="1239"/>
      <c r="W696" s="1239"/>
      <c r="X696" s="1240"/>
      <c r="Y696" s="1235"/>
      <c r="Z696" s="1236"/>
      <c r="AA696" s="1236"/>
      <c r="AB696" s="1237"/>
      <c r="AC696" s="1238">
        <f t="shared" si="29"/>
        <v>0</v>
      </c>
      <c r="AD696" s="1239"/>
      <c r="AE696" s="1239"/>
      <c r="AF696" s="1239"/>
      <c r="AG696" s="1240"/>
      <c r="AH696" s="1252"/>
      <c r="AI696" s="1253"/>
      <c r="AJ696" s="1253"/>
      <c r="AK696" s="1253"/>
      <c r="AL696" s="1254"/>
      <c r="AM696" s="1459" t="str">
        <f t="shared" si="30"/>
        <v xml:space="preserve"> </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7" t="s">
        <v>817</v>
      </c>
      <c r="C697" s="1228"/>
      <c r="D697" s="1228"/>
      <c r="E697" s="1228"/>
      <c r="F697" s="1229"/>
      <c r="G697" s="1224">
        <v>3</v>
      </c>
      <c r="H697" s="1225"/>
      <c r="I697" s="1225"/>
      <c r="J697" s="1226"/>
      <c r="K697" s="1232">
        <v>858</v>
      </c>
      <c r="L697" s="1233"/>
      <c r="M697" s="1233"/>
      <c r="N697" s="1234"/>
      <c r="O697" s="1235">
        <v>1526</v>
      </c>
      <c r="P697" s="1236"/>
      <c r="Q697" s="1236"/>
      <c r="R697" s="1236"/>
      <c r="S697" s="1237"/>
      <c r="T697" s="1238">
        <f t="shared" si="28"/>
        <v>4578</v>
      </c>
      <c r="U697" s="1239"/>
      <c r="V697" s="1239"/>
      <c r="W697" s="1239"/>
      <c r="X697" s="1240"/>
      <c r="Y697" s="1235">
        <v>82</v>
      </c>
      <c r="Z697" s="1236"/>
      <c r="AA697" s="1236"/>
      <c r="AB697" s="1237"/>
      <c r="AC697" s="1238">
        <f t="shared" si="29"/>
        <v>1608</v>
      </c>
      <c r="AD697" s="1239"/>
      <c r="AE697" s="1239"/>
      <c r="AF697" s="1239"/>
      <c r="AG697" s="1240"/>
      <c r="AH697" s="1252">
        <v>0.6</v>
      </c>
      <c r="AI697" s="1253"/>
      <c r="AJ697" s="1253"/>
      <c r="AK697" s="1253"/>
      <c r="AL697" s="1254"/>
      <c r="AM697" s="1459">
        <f t="shared" si="30"/>
        <v>0.6</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59" t="str">
        <f t="shared" si="30"/>
        <v xml:space="preserve"> </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9" t="str">
        <f t="shared" si="30"/>
        <v xml:space="preserve"> </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9" t="str">
        <f t="shared" si="30"/>
        <v xml:space="preserve"> </v>
      </c>
      <c r="AN701" s="1460"/>
      <c r="AO701" s="1461"/>
      <c r="BA701" s="41"/>
      <c r="BB701" s="41"/>
      <c r="BC701" s="41"/>
      <c r="BD701" s="41"/>
      <c r="BE701" s="42"/>
      <c r="BF701" s="62" t="s">
        <v>916</v>
      </c>
      <c r="BG701" s="467">
        <f>SUM(BG676:BG700)</f>
        <v>12</v>
      </c>
      <c r="BH701" s="468">
        <f>SUM(BH676:BH700)</f>
        <v>1</v>
      </c>
      <c r="BI701" s="468">
        <f>SUM(BI676:BI700)</f>
        <v>0.47499999999999998</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9" t="str">
        <f t="shared" si="30"/>
        <v xml:space="preserve"> </v>
      </c>
      <c r="AN705" s="1460"/>
      <c r="AO705" s="1461"/>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9" t="str">
        <f t="shared" si="30"/>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9" t="str">
        <f t="shared" si="30"/>
        <v xml:space="preserve"> </v>
      </c>
      <c r="AN707" s="1460"/>
      <c r="AO707" s="1461"/>
      <c r="BA707" s="41"/>
      <c r="BB707" s="41"/>
      <c r="BC707" s="41"/>
      <c r="BD707" s="41"/>
      <c r="BE707" s="41"/>
      <c r="BF707" s="41"/>
      <c r="BG707" s="871">
        <f>G692</f>
        <v>3</v>
      </c>
      <c r="BH707" s="875">
        <f>BG707/$BG$732</f>
        <v>0.25</v>
      </c>
      <c r="BI707" s="876">
        <f>IF(BH707=0," ",BH707*AM692)</f>
        <v>7.4999999999999997E-2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9" t="str">
        <f t="shared" si="30"/>
        <v xml:space="preserve"> </v>
      </c>
      <c r="AN708" s="1460"/>
      <c r="AO708" s="1461"/>
      <c r="BA708" s="41"/>
      <c r="BB708" s="41"/>
      <c r="BC708" s="41"/>
      <c r="BD708" s="41"/>
      <c r="BE708" s="41"/>
      <c r="BF708" s="41"/>
      <c r="BG708" s="871">
        <f t="shared" ref="BG708:BG731" si="31">G693</f>
        <v>0</v>
      </c>
      <c r="BH708" s="875">
        <f t="shared" ref="BH708:BH731" si="32">BG708/$BG$732</f>
        <v>0</v>
      </c>
      <c r="BI708" s="876" t="str">
        <f t="shared" ref="BI708:BI731" si="33">IF(BH708=0," ",BH708*AM693)</f>
        <v xml:space="preserve"> </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9" t="str">
        <f t="shared" si="30"/>
        <v xml:space="preserve"> </v>
      </c>
      <c r="AN709" s="1460"/>
      <c r="AO709" s="1461"/>
      <c r="BA709" s="43"/>
      <c r="BB709" s="43"/>
      <c r="BC709" s="43"/>
      <c r="BD709" s="43"/>
      <c r="BE709" s="43"/>
      <c r="BF709" s="43"/>
      <c r="BG709" s="871">
        <f t="shared" si="31"/>
        <v>2</v>
      </c>
      <c r="BH709" s="875">
        <f t="shared" si="32"/>
        <v>0.16666666666666666</v>
      </c>
      <c r="BI709" s="876">
        <f t="shared" si="33"/>
        <v>8.3333333333333329E-2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9" t="str">
        <f t="shared" si="30"/>
        <v xml:space="preserve"> </v>
      </c>
      <c r="AN710" s="1460"/>
      <c r="AO710" s="1461"/>
      <c r="BA710" s="43"/>
      <c r="BB710" s="43"/>
      <c r="BC710" s="43"/>
      <c r="BD710" s="43"/>
      <c r="BE710" s="43"/>
      <c r="BF710" s="43"/>
      <c r="BG710" s="871">
        <f t="shared" si="31"/>
        <v>4</v>
      </c>
      <c r="BH710" s="875">
        <f t="shared" si="32"/>
        <v>0.33333333333333331</v>
      </c>
      <c r="BI710" s="876">
        <f t="shared" si="33"/>
        <v>0.16666666666666666</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9" t="str">
        <f t="shared" si="30"/>
        <v xml:space="preserve"> </v>
      </c>
      <c r="AN711" s="1460"/>
      <c r="AO711" s="1461"/>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9" t="str">
        <f t="shared" si="30"/>
        <v xml:space="preserve"> </v>
      </c>
      <c r="AN712" s="1460"/>
      <c r="AO712" s="1461"/>
      <c r="BA712" s="43"/>
      <c r="BB712" s="43"/>
      <c r="BC712" s="43"/>
      <c r="BD712" s="43"/>
      <c r="BE712" s="43"/>
      <c r="BF712" s="43"/>
      <c r="BG712" s="871">
        <f t="shared" si="31"/>
        <v>3</v>
      </c>
      <c r="BH712" s="875">
        <f t="shared" si="32"/>
        <v>0.25</v>
      </c>
      <c r="BI712" s="876">
        <f t="shared" si="33"/>
        <v>0.15</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9" t="str">
        <f t="shared" si="30"/>
        <v xml:space="preserve"> </v>
      </c>
      <c r="AN713" s="1460"/>
      <c r="AO713" s="1461"/>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9" t="str">
        <f t="shared" si="30"/>
        <v xml:space="preserve"> </v>
      </c>
      <c r="AN714" s="1460"/>
      <c r="AO714" s="1461"/>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6" t="s">
        <v>918</v>
      </c>
      <c r="C717" s="1097"/>
      <c r="D717" s="1097"/>
      <c r="E717" s="1097"/>
      <c r="F717" s="1099"/>
      <c r="G717" s="1264">
        <f>SUM(G692:J716)</f>
        <v>12</v>
      </c>
      <c r="H717" s="1265"/>
      <c r="I717" s="1265"/>
      <c r="J717" s="1266"/>
      <c r="O717" s="441" t="s">
        <v>917</v>
      </c>
      <c r="P717" s="168"/>
      <c r="Q717" s="168"/>
      <c r="R717" s="168"/>
      <c r="S717" s="862"/>
      <c r="T717" s="1238">
        <f>SUM(T692:X716)</f>
        <v>15000</v>
      </c>
      <c r="U717" s="1239"/>
      <c r="V717" s="1239"/>
      <c r="W717" s="1239"/>
      <c r="X717" s="1240"/>
      <c r="AC717" s="863" t="s">
        <v>1187</v>
      </c>
      <c r="AD717" s="864"/>
      <c r="AE717" s="864"/>
      <c r="AF717" s="864"/>
      <c r="AG717" s="865"/>
      <c r="AH717" s="1522">
        <f>BI701</f>
        <v>0.47499999999999998</v>
      </c>
      <c r="AI717" s="1523"/>
      <c r="AJ717" s="1523"/>
      <c r="AK717" s="1523"/>
      <c r="AL717" s="1524"/>
      <c r="AM717" s="1522">
        <f>BI732</f>
        <v>0.47499999999999998</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3">
        <f>CQ615</f>
        <v>28</v>
      </c>
      <c r="P720" s="1243"/>
      <c r="Q720" s="1243"/>
      <c r="R720" s="1243"/>
      <c r="S720" s="944"/>
      <c r="T720" s="944"/>
      <c r="U720" s="270" t="s">
        <v>2164</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12</v>
      </c>
      <c r="BH732" s="873">
        <f>SUM(BH707:BH731)</f>
        <v>1</v>
      </c>
      <c r="BI732" s="873">
        <f>SUM(BI707:BI731)</f>
        <v>0.47499999999999998</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5" t="s">
        <v>58</v>
      </c>
      <c r="K734" s="1256"/>
      <c r="L734" s="1256"/>
      <c r="M734" s="1256"/>
      <c r="N734" s="1257"/>
      <c r="O734" s="1270" t="s">
        <v>271</v>
      </c>
      <c r="P734" s="1270"/>
      <c r="Q734" s="1270"/>
      <c r="R734" s="1270"/>
      <c r="S734" s="1270"/>
      <c r="T734" s="1516" t="s">
        <v>2093</v>
      </c>
      <c r="U734" s="1517"/>
      <c r="V734" s="1517"/>
      <c r="W734" s="1518"/>
      <c r="X734" s="1255" t="s">
        <v>625</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7"/>
      <c r="K738" s="1228"/>
      <c r="L738" s="1228"/>
      <c r="M738" s="1228"/>
      <c r="N738" s="1229"/>
      <c r="O738" s="1231"/>
      <c r="P738" s="1231"/>
      <c r="Q738" s="1231"/>
      <c r="R738" s="1231"/>
      <c r="S738" s="1231"/>
      <c r="T738" s="1232"/>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6" t="s">
        <v>918</v>
      </c>
      <c r="K742" s="1097"/>
      <c r="L742" s="1097"/>
      <c r="M742" s="1097"/>
      <c r="N742" s="1099"/>
      <c r="O742" s="1249">
        <f>SUM(O738:S741)</f>
        <v>0</v>
      </c>
      <c r="P742" s="1317"/>
      <c r="Q742" s="1317"/>
      <c r="R742" s="1317"/>
      <c r="S742" s="1250"/>
      <c r="X742" s="1096" t="s">
        <v>917</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0" t="s">
        <v>511</v>
      </c>
      <c r="K744" s="112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5" t="s">
        <v>58</v>
      </c>
      <c r="K748" s="1256"/>
      <c r="L748" s="1256"/>
      <c r="M748" s="1256"/>
      <c r="N748" s="1257"/>
      <c r="O748" s="1270" t="s">
        <v>271</v>
      </c>
      <c r="P748" s="1270"/>
      <c r="Q748" s="1270"/>
      <c r="R748" s="1270"/>
      <c r="S748" s="1270"/>
      <c r="T748" s="1516" t="s">
        <v>2093</v>
      </c>
      <c r="U748" s="1517"/>
      <c r="V748" s="1517"/>
      <c r="W748" s="1518"/>
      <c r="X748" s="1255" t="s">
        <v>625</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6" t="s">
        <v>918</v>
      </c>
      <c r="K762" s="1097"/>
      <c r="L762" s="1097"/>
      <c r="M762" s="1097"/>
      <c r="N762" s="1099"/>
      <c r="O762" s="1243">
        <f>SUM(O752:S761)</f>
        <v>0</v>
      </c>
      <c r="P762" s="1243"/>
      <c r="Q762" s="1243"/>
      <c r="R762" s="1243"/>
      <c r="S762" s="1243"/>
      <c r="X762" s="441" t="s">
        <v>917</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1">
        <f>T717+AC742+AC762</f>
        <v>15000</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1">
        <f>(T717+AC742+AC762)*12</f>
        <v>180000</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7">
        <v>12</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7">
        <v>20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8">
        <v>52412</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58">
        <f>'Subsidy Contract Calculation'!I30</f>
        <v>228000</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49">
        <v>720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6" t="s">
        <v>593</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5">
        <f>SUM(Z777:AE780)</f>
        <v>720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5">
        <f>Z781+Y765+Z773</f>
        <v>408720</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7" t="s">
        <v>919</v>
      </c>
      <c r="N787" s="1177"/>
      <c r="O787" s="1177"/>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1"/>
      <c r="N788" s="1181"/>
      <c r="O788" s="1181"/>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0" t="s">
        <v>730</v>
      </c>
      <c r="D789" s="1299"/>
      <c r="E789" s="1299"/>
      <c r="F789" s="1299"/>
      <c r="G789" s="1299"/>
      <c r="H789" s="1299"/>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1" t="s">
        <v>731</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1" t="s">
        <v>828</v>
      </c>
      <c r="D793" s="1242"/>
      <c r="E793" s="1242"/>
      <c r="F793" s="1242"/>
      <c r="G793" s="1242"/>
      <c r="H793" s="1242"/>
      <c r="I793" s="66"/>
      <c r="J793" s="66"/>
      <c r="K793" s="66"/>
      <c r="L793" s="67"/>
      <c r="M793" s="1244"/>
      <c r="N793" s="1244"/>
      <c r="O793" s="1244"/>
      <c r="P793" s="1244"/>
      <c r="Q793" s="1244"/>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2" t="s">
        <v>987</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200" t="s">
        <v>2486</v>
      </c>
      <c r="G795" s="1147"/>
      <c r="H795" s="1147"/>
      <c r="I795" s="1147"/>
      <c r="J795" s="1147"/>
      <c r="K795" s="1147"/>
      <c r="L795" s="1147"/>
      <c r="M795" s="1244"/>
      <c r="N795" s="1244"/>
      <c r="O795" s="1244"/>
      <c r="P795" s="1244"/>
      <c r="Q795" s="1244"/>
      <c r="R795" s="1244"/>
      <c r="S795" s="1244"/>
      <c r="T795" s="1244"/>
      <c r="U795" s="1244">
        <v>82</v>
      </c>
      <c r="V795" s="1244"/>
      <c r="W795" s="1244"/>
      <c r="X795" s="1244"/>
      <c r="Y795" s="1244">
        <v>113</v>
      </c>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6" t="s">
        <v>917</v>
      </c>
      <c r="D796" s="1097"/>
      <c r="E796" s="1097"/>
      <c r="F796" s="1097"/>
      <c r="G796" s="1097"/>
      <c r="H796" s="1097"/>
      <c r="I796" s="1097"/>
      <c r="J796" s="1097"/>
      <c r="K796" s="1097"/>
      <c r="L796" s="1099"/>
      <c r="M796" s="1316">
        <f>SUM(M789:P795)</f>
        <v>0</v>
      </c>
      <c r="N796" s="1316"/>
      <c r="O796" s="1316"/>
      <c r="P796" s="1316"/>
      <c r="Q796" s="1316">
        <f>SUM(Q789:T795)</f>
        <v>0</v>
      </c>
      <c r="R796" s="1316"/>
      <c r="S796" s="1316"/>
      <c r="T796" s="1316"/>
      <c r="U796" s="1316">
        <f>SUM(U789:X795)</f>
        <v>82</v>
      </c>
      <c r="V796" s="1316"/>
      <c r="W796" s="1316"/>
      <c r="X796" s="1316"/>
      <c r="Y796" s="1316">
        <f>SUM(Y789:AB795)</f>
        <v>113</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2545</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5" t="s">
        <v>393</v>
      </c>
      <c r="BB805" s="1186"/>
      <c r="BC805" s="41"/>
      <c r="BD805" s="41"/>
      <c r="BE805" s="41"/>
      <c r="BF805" s="21" t="s">
        <v>449</v>
      </c>
      <c r="BG805" s="21"/>
      <c r="BH805" s="21"/>
      <c r="BI805" s="21"/>
      <c r="BJ805" s="21"/>
      <c r="BK805" s="21"/>
      <c r="BL805" s="21"/>
      <c r="BM805" s="21"/>
      <c r="BN805" s="21"/>
      <c r="BO805" s="1182" t="str">
        <f>T189</f>
        <v>Los Angeles</v>
      </c>
      <c r="BP805" s="1183"/>
      <c r="BQ805" s="1183"/>
      <c r="BR805" s="1183"/>
      <c r="BS805" s="1183"/>
      <c r="BT805" s="1183"/>
      <c r="BU805" s="118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99">
        <v>320</v>
      </c>
      <c r="X806" s="1199"/>
      <c r="Y806" s="1199"/>
      <c r="Z806" s="1199"/>
      <c r="AA806" s="1199"/>
      <c r="AB806" s="1199"/>
      <c r="AC806" s="119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99">
        <v>1000</v>
      </c>
      <c r="X807" s="1199"/>
      <c r="Y807" s="1199"/>
      <c r="Z807" s="1199"/>
      <c r="AA807" s="1199"/>
      <c r="AB807" s="1199"/>
      <c r="AC807" s="119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99">
        <f>8000-3000-1000</f>
        <v>4000</v>
      </c>
      <c r="X808" s="1199"/>
      <c r="Y808" s="1199"/>
      <c r="Z808" s="1199"/>
      <c r="AA808" s="1199"/>
      <c r="AB808" s="1199"/>
      <c r="AC808" s="119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99">
        <v>1566</v>
      </c>
      <c r="X809" s="1199"/>
      <c r="Y809" s="1199"/>
      <c r="Z809" s="1199"/>
      <c r="AA809" s="1199"/>
      <c r="AB809" s="1199"/>
      <c r="AC809" s="1199"/>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200" t="s">
        <v>2549</v>
      </c>
      <c r="N810" s="1147"/>
      <c r="O810" s="1147"/>
      <c r="P810" s="1147"/>
      <c r="Q810" s="1147"/>
      <c r="R810" s="1147"/>
      <c r="S810" s="1147"/>
      <c r="T810" s="1147"/>
      <c r="U810" s="1147"/>
      <c r="V810" s="1148"/>
      <c r="W810" s="1199">
        <v>0</v>
      </c>
      <c r="X810" s="1199"/>
      <c r="Y810" s="1199"/>
      <c r="Z810" s="1199"/>
      <c r="AA810" s="1199"/>
      <c r="AB810" s="1199"/>
      <c r="AC810" s="119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5">
        <f>SUM(W806:AC810)</f>
        <v>6886</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9">
        <v>9785</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3">
        <v>748</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3">
        <v>2773</v>
      </c>
      <c r="X817" s="1223"/>
      <c r="Y817" s="1223"/>
      <c r="Z817" s="1223"/>
      <c r="AA817" s="1223"/>
      <c r="AB817" s="1223"/>
      <c r="AC817" s="1223"/>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3">
        <v>8363</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11884</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f>8637</f>
        <v>8637</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2">
        <f>12096-2038-640</f>
        <v>9418</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1"/>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200" t="s">
        <v>908</v>
      </c>
      <c r="N825" s="1147"/>
      <c r="O825" s="1147"/>
      <c r="P825" s="1147"/>
      <c r="Q825" s="1147"/>
      <c r="R825" s="1147"/>
      <c r="S825" s="1147"/>
      <c r="T825" s="1147"/>
      <c r="U825" s="1147"/>
      <c r="V825" s="1148"/>
      <c r="W825" s="1532">
        <f>6056-500</f>
        <v>5556</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7">
        <f>SUM(W821:AC825)</f>
        <v>23611</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v>8074</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99"/>
      <c r="X829" s="1199"/>
      <c r="Y829" s="1199"/>
      <c r="Z829" s="1199"/>
      <c r="AA829" s="1199"/>
      <c r="AB829" s="1199"/>
      <c r="AC829" s="119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99">
        <f>14310-1200</f>
        <v>13110</v>
      </c>
      <c r="X830" s="1199"/>
      <c r="Y830" s="1199"/>
      <c r="Z830" s="1199"/>
      <c r="AA830" s="1199"/>
      <c r="AB830" s="1199"/>
      <c r="AC830" s="119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99">
        <v>3218</v>
      </c>
      <c r="X831" s="1199"/>
      <c r="Y831" s="1199"/>
      <c r="Z831" s="1199"/>
      <c r="AA831" s="1199"/>
      <c r="AB831" s="1199"/>
      <c r="AC831" s="119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99"/>
      <c r="X832" s="1199"/>
      <c r="Y832" s="1199"/>
      <c r="Z832" s="1199"/>
      <c r="AA832" s="1199"/>
      <c r="AB832" s="1199"/>
      <c r="AC832" s="119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99"/>
      <c r="X833" s="1199"/>
      <c r="Y833" s="1199"/>
      <c r="Z833" s="1199"/>
      <c r="AA833" s="1199"/>
      <c r="AB833" s="1199"/>
      <c r="AC833" s="119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99"/>
      <c r="X834" s="1199"/>
      <c r="Y834" s="1199"/>
      <c r="Z834" s="1199"/>
      <c r="AA834" s="1199"/>
      <c r="AB834" s="1199"/>
      <c r="AC834" s="119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46" t="s">
        <v>593</v>
      </c>
      <c r="N835" s="1147"/>
      <c r="O835" s="1147"/>
      <c r="P835" s="1147"/>
      <c r="Q835" s="1147"/>
      <c r="R835" s="1147"/>
      <c r="S835" s="1147"/>
      <c r="T835" s="1147"/>
      <c r="U835" s="1147"/>
      <c r="V835" s="1148"/>
      <c r="W835" s="1199"/>
      <c r="X835" s="1199"/>
      <c r="Y835" s="1199"/>
      <c r="Z835" s="1199"/>
      <c r="AA835" s="1199"/>
      <c r="AB835" s="1199"/>
      <c r="AC835" s="119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1">
        <f>SUM(W829:AC835)</f>
        <v>16328</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6" t="s">
        <v>593</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6" t="s">
        <v>593</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6" t="s">
        <v>593</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6" t="s">
        <v>593</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6" t="s">
        <v>593</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76568</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12</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6380</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8">
        <v>120000</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1"/>
      <c r="AD851" s="1199"/>
      <c r="AE851" s="1199"/>
      <c r="AF851" s="1199"/>
      <c r="AG851" s="1199"/>
      <c r="AH851" s="119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f>22800+3340</f>
        <v>26140</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9">
        <v>3600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49"/>
      <c r="AD854" s="1150"/>
      <c r="AE854" s="1150"/>
      <c r="AF854" s="1150"/>
      <c r="AG854" s="1150"/>
      <c r="AH854" s="115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9">
        <v>2879</v>
      </c>
      <c r="AD855" s="1150"/>
      <c r="AE855" s="1150"/>
      <c r="AF855" s="1150"/>
      <c r="AG855" s="1150"/>
      <c r="AH855" s="115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4"/>
      <c r="AD856" s="1199"/>
      <c r="AE856" s="1199"/>
      <c r="AF856" s="1199"/>
      <c r="AG856" s="1199"/>
      <c r="AH856" s="119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1261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199"/>
      <c r="AD857" s="1199"/>
      <c r="AE857" s="1199"/>
      <c r="AF857" s="1199"/>
      <c r="AG857" s="1199"/>
      <c r="AH857" s="119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199"/>
      <c r="AD858" s="1199"/>
      <c r="AE858" s="1199"/>
      <c r="AF858" s="1199"/>
      <c r="AG858" s="1199"/>
      <c r="AH858" s="119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5">
        <f>Z862-(Z863+Z864)</f>
        <v>0</v>
      </c>
      <c r="AA865" s="1156"/>
      <c r="AB865" s="1156"/>
      <c r="AC865" s="1156"/>
      <c r="AD865" s="1156"/>
      <c r="AE865" s="1157"/>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2" t="s">
        <v>1005</v>
      </c>
      <c r="G877" s="1543"/>
      <c r="H877" s="1543"/>
      <c r="I877" s="1543"/>
      <c r="J877" s="1543"/>
      <c r="K877" s="1543"/>
      <c r="L877" s="1543"/>
      <c r="M877" s="1543"/>
      <c r="N877" s="1543"/>
      <c r="O877" s="1543"/>
      <c r="P877" s="1543"/>
      <c r="Q877" s="1543"/>
      <c r="R877" s="1543"/>
      <c r="S877" s="1543"/>
      <c r="T877" s="1544"/>
      <c r="U877" s="1176" t="s">
        <v>367</v>
      </c>
      <c r="V877" s="1177"/>
      <c r="W877" s="1177"/>
      <c r="X877" s="1177"/>
      <c r="Y877" s="1177"/>
      <c r="Z877" s="117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8" t="s">
        <v>1086</v>
      </c>
      <c r="G878" s="1179"/>
      <c r="H878" s="1179"/>
      <c r="I878" s="1179"/>
      <c r="J878" s="1179"/>
      <c r="K878" s="1179"/>
      <c r="L878" s="1179"/>
      <c r="M878" s="1179"/>
      <c r="N878" s="1179"/>
      <c r="O878" s="1179"/>
      <c r="P878" s="1179"/>
      <c r="Q878" s="1179"/>
      <c r="R878" s="1179"/>
      <c r="S878" s="1179"/>
      <c r="T878" s="1274"/>
      <c r="U878" s="1178"/>
      <c r="V878" s="1179"/>
      <c r="W878" s="1179"/>
      <c r="X878" s="1179"/>
      <c r="Y878" s="1179"/>
      <c r="Z878" s="117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0"/>
      <c r="G879" s="1181"/>
      <c r="H879" s="1181"/>
      <c r="I879" s="1181"/>
      <c r="J879" s="1181"/>
      <c r="K879" s="1181"/>
      <c r="L879" s="1181"/>
      <c r="M879" s="1181"/>
      <c r="N879" s="1181"/>
      <c r="O879" s="1181"/>
      <c r="P879" s="1181"/>
      <c r="Q879" s="1181"/>
      <c r="R879" s="1181"/>
      <c r="S879" s="1181"/>
      <c r="T879" s="1275"/>
      <c r="U879" s="1180"/>
      <c r="V879" s="1181"/>
      <c r="W879" s="1181"/>
      <c r="X879" s="1181"/>
      <c r="Y879" s="1181"/>
      <c r="Z879" s="1181"/>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1" t="s">
        <v>132</v>
      </c>
      <c r="V880" s="1106"/>
      <c r="W880" s="1106"/>
      <c r="X880" s="1106"/>
      <c r="Y880" s="1106"/>
      <c r="Z880" s="1172"/>
      <c r="AA880" s="1197"/>
      <c r="AB880" s="1138"/>
      <c r="AC880" s="1138"/>
      <c r="AD880" s="1138"/>
      <c r="AE880" s="1138"/>
      <c r="AF880" s="119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1" t="s">
        <v>132</v>
      </c>
      <c r="V881" s="1106"/>
      <c r="W881" s="1106"/>
      <c r="X881" s="1106"/>
      <c r="Y881" s="1106"/>
      <c r="Z881" s="1172"/>
      <c r="AA881" s="1197"/>
      <c r="AB881" s="1138"/>
      <c r="AC881" s="1138"/>
      <c r="AD881" s="1138"/>
      <c r="AE881" s="1138"/>
      <c r="AF881" s="119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1" t="s">
        <v>132</v>
      </c>
      <c r="V882" s="1106"/>
      <c r="W882" s="1106"/>
      <c r="X882" s="1106"/>
      <c r="Y882" s="1106"/>
      <c r="Z882" s="1172"/>
      <c r="AA882" s="1197"/>
      <c r="AB882" s="1138"/>
      <c r="AC882" s="1138"/>
      <c r="AD882" s="1138"/>
      <c r="AE882" s="1138"/>
      <c r="AF882" s="119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1" t="s">
        <v>132</v>
      </c>
      <c r="V883" s="1106"/>
      <c r="W883" s="1106"/>
      <c r="X883" s="1106"/>
      <c r="Y883" s="1106"/>
      <c r="Z883" s="1172"/>
      <c r="AA883" s="1197"/>
      <c r="AB883" s="1138"/>
      <c r="AC883" s="1138"/>
      <c r="AD883" s="1138"/>
      <c r="AE883" s="1138"/>
      <c r="AF883" s="119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1" t="s">
        <v>132</v>
      </c>
      <c r="V884" s="1106"/>
      <c r="W884" s="1106"/>
      <c r="X884" s="1106"/>
      <c r="Y884" s="1106"/>
      <c r="Z884" s="1172"/>
      <c r="AA884" s="1197"/>
      <c r="AB884" s="1138"/>
      <c r="AC884" s="1138"/>
      <c r="AD884" s="1138"/>
      <c r="AE884" s="1138"/>
      <c r="AF884" s="119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1" t="s">
        <v>132</v>
      </c>
      <c r="V885" s="1106"/>
      <c r="W885" s="1106"/>
      <c r="X885" s="1106"/>
      <c r="Y885" s="1106"/>
      <c r="Z885" s="1172"/>
      <c r="AA885" s="1197"/>
      <c r="AB885" s="1138"/>
      <c r="AC885" s="1138"/>
      <c r="AD885" s="1138"/>
      <c r="AE885" s="1138"/>
      <c r="AF885" s="119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1" t="s">
        <v>132</v>
      </c>
      <c r="V886" s="1106"/>
      <c r="W886" s="1106"/>
      <c r="X886" s="1106"/>
      <c r="Y886" s="1106"/>
      <c r="Z886" s="1172"/>
      <c r="AA886" s="1197"/>
      <c r="AB886" s="1138"/>
      <c r="AC886" s="1138"/>
      <c r="AD886" s="1138"/>
      <c r="AE886" s="1138"/>
      <c r="AF886" s="119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1" t="s">
        <v>132</v>
      </c>
      <c r="V887" s="1106"/>
      <c r="W887" s="1106"/>
      <c r="X887" s="1106"/>
      <c r="Y887" s="1106"/>
      <c r="Z887" s="1172"/>
      <c r="AA887" s="1197"/>
      <c r="AB887" s="1138"/>
      <c r="AC887" s="1138"/>
      <c r="AD887" s="1138"/>
      <c r="AE887" s="1138"/>
      <c r="AF887" s="119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1" t="s">
        <v>132</v>
      </c>
      <c r="V888" s="1106"/>
      <c r="W888" s="1106"/>
      <c r="X888" s="1106"/>
      <c r="Y888" s="1106"/>
      <c r="Z888" s="1172"/>
      <c r="AA888" s="1197"/>
      <c r="AB888" s="1138"/>
      <c r="AC888" s="1138"/>
      <c r="AD888" s="1138"/>
      <c r="AE888" s="1138"/>
      <c r="AF888" s="119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1" t="s">
        <v>132</v>
      </c>
      <c r="V889" s="1106"/>
      <c r="W889" s="1106"/>
      <c r="X889" s="1106"/>
      <c r="Y889" s="1106"/>
      <c r="Z889" s="1172"/>
      <c r="AA889" s="1197"/>
      <c r="AB889" s="1138"/>
      <c r="AC889" s="1138"/>
      <c r="AD889" s="1138"/>
      <c r="AE889" s="1138"/>
      <c r="AF889" s="119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1" t="s">
        <v>132</v>
      </c>
      <c r="V891" s="1106"/>
      <c r="W891" s="1106"/>
      <c r="X891" s="1106"/>
      <c r="Y891" s="1106"/>
      <c r="Z891" s="1172"/>
      <c r="AA891" s="1197"/>
      <c r="AB891" s="1138"/>
      <c r="AC891" s="1138"/>
      <c r="AD891" s="1138"/>
      <c r="AE891" s="1138"/>
      <c r="AF891" s="119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1" t="s">
        <v>132</v>
      </c>
      <c r="V892" s="1106"/>
      <c r="W892" s="1106"/>
      <c r="X892" s="1106"/>
      <c r="Y892" s="1106"/>
      <c r="Z892" s="1172"/>
      <c r="AA892" s="1197"/>
      <c r="AB892" s="1138"/>
      <c r="AC892" s="1138"/>
      <c r="AD892" s="1138"/>
      <c r="AE892" s="1138"/>
      <c r="AF892" s="119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1" t="s">
        <v>132</v>
      </c>
      <c r="V893" s="1106"/>
      <c r="W893" s="1106"/>
      <c r="X893" s="1106"/>
      <c r="Y893" s="1106"/>
      <c r="Z893" s="1172"/>
      <c r="AA893" s="1197"/>
      <c r="AB893" s="1138"/>
      <c r="AC893" s="1138"/>
      <c r="AD893" s="1138"/>
      <c r="AE893" s="1138"/>
      <c r="AF893" s="119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7" t="s">
        <v>511</v>
      </c>
      <c r="Q894" s="1106"/>
      <c r="R894" s="1106"/>
      <c r="S894" s="1106"/>
      <c r="T894" s="1172"/>
      <c r="U894" s="1171" t="s">
        <v>132</v>
      </c>
      <c r="V894" s="1106"/>
      <c r="W894" s="1106"/>
      <c r="X894" s="1106"/>
      <c r="Y894" s="1106"/>
      <c r="Z894" s="1172"/>
      <c r="AA894" s="1197"/>
      <c r="AB894" s="1138"/>
      <c r="AC894" s="1138"/>
      <c r="AD894" s="1138"/>
      <c r="AE894" s="1138"/>
      <c r="AF894" s="119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200" t="s">
        <v>593</v>
      </c>
      <c r="J895" s="1201"/>
      <c r="K895" s="1201"/>
      <c r="L895" s="1201"/>
      <c r="M895" s="1201"/>
      <c r="N895" s="1201"/>
      <c r="O895" s="1201"/>
      <c r="P895" s="1201"/>
      <c r="Q895" s="1201"/>
      <c r="R895" s="1201"/>
      <c r="S895" s="1201"/>
      <c r="T895" s="1202"/>
      <c r="U895" s="1171" t="s">
        <v>132</v>
      </c>
      <c r="V895" s="1106"/>
      <c r="W895" s="1106"/>
      <c r="X895" s="1106"/>
      <c r="Y895" s="1106"/>
      <c r="Z895" s="1172"/>
      <c r="AA895" s="1197"/>
      <c r="AB895" s="1138"/>
      <c r="AC895" s="1138"/>
      <c r="AD895" s="1138"/>
      <c r="AE895" s="1138"/>
      <c r="AF895" s="119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200" t="s">
        <v>593</v>
      </c>
      <c r="J896" s="1201"/>
      <c r="K896" s="1201"/>
      <c r="L896" s="1201"/>
      <c r="M896" s="1201"/>
      <c r="N896" s="1201"/>
      <c r="O896" s="1201"/>
      <c r="P896" s="1201"/>
      <c r="Q896" s="1201"/>
      <c r="R896" s="1201"/>
      <c r="S896" s="1201"/>
      <c r="T896" s="1202"/>
      <c r="U896" s="1171" t="s">
        <v>132</v>
      </c>
      <c r="V896" s="1106"/>
      <c r="W896" s="1106"/>
      <c r="X896" s="1106"/>
      <c r="Y896" s="1106"/>
      <c r="Z896" s="1172"/>
      <c r="AA896" s="1197"/>
      <c r="AB896" s="1138"/>
      <c r="AC896" s="1138"/>
      <c r="AD896" s="1138"/>
      <c r="AE896" s="1138"/>
      <c r="AF896" s="119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200" t="s">
        <v>593</v>
      </c>
      <c r="J897" s="1201"/>
      <c r="K897" s="1201"/>
      <c r="L897" s="1201"/>
      <c r="M897" s="1201"/>
      <c r="N897" s="1201"/>
      <c r="O897" s="1201"/>
      <c r="P897" s="1201"/>
      <c r="Q897" s="1201"/>
      <c r="R897" s="1201"/>
      <c r="S897" s="1201"/>
      <c r="T897" s="1202"/>
      <c r="U897" s="1171" t="s">
        <v>132</v>
      </c>
      <c r="V897" s="1106"/>
      <c r="W897" s="1106"/>
      <c r="X897" s="1106"/>
      <c r="Y897" s="1106"/>
      <c r="Z897" s="1172"/>
      <c r="AA897" s="1197"/>
      <c r="AB897" s="1138"/>
      <c r="AC897" s="1138"/>
      <c r="AD897" s="1138"/>
      <c r="AE897" s="1138"/>
      <c r="AF897" s="119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200" t="s">
        <v>593</v>
      </c>
      <c r="J898" s="1201"/>
      <c r="K898" s="1201"/>
      <c r="L898" s="1201"/>
      <c r="M898" s="1201"/>
      <c r="N898" s="1201"/>
      <c r="O898" s="1201"/>
      <c r="P898" s="1201"/>
      <c r="Q898" s="1201"/>
      <c r="R898" s="1201"/>
      <c r="S898" s="1201"/>
      <c r="T898" s="1202"/>
      <c r="U898" s="1171" t="s">
        <v>132</v>
      </c>
      <c r="V898" s="1106"/>
      <c r="W898" s="1106"/>
      <c r="X898" s="1106"/>
      <c r="Y898" s="1106"/>
      <c r="Z898" s="1172"/>
      <c r="AA898" s="1197"/>
      <c r="AB898" s="1138"/>
      <c r="AC898" s="1138"/>
      <c r="AD898" s="1138"/>
      <c r="AE898" s="1138"/>
      <c r="AF898" s="119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209">
        <v>45061</v>
      </c>
      <c r="M903" s="1315"/>
      <c r="N903" s="1315"/>
      <c r="O903" s="1315"/>
      <c r="P903" s="1315"/>
      <c r="Q903" s="1315"/>
      <c r="R903" s="1315"/>
      <c r="S903" s="1353"/>
      <c r="U903" s="72" t="s">
        <v>868</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2" t="s">
        <v>2487</v>
      </c>
      <c r="M904" s="1315"/>
      <c r="N904" s="1315"/>
      <c r="O904" s="1315"/>
      <c r="P904" s="1315"/>
      <c r="Q904" s="1315"/>
      <c r="R904" s="1315"/>
      <c r="S904" s="1353"/>
      <c r="U904" s="72" t="s">
        <v>869</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9" t="s">
        <v>2488</v>
      </c>
      <c r="M905" s="1350"/>
      <c r="N905" s="1350"/>
      <c r="O905" s="1350"/>
      <c r="P905" s="1350"/>
      <c r="Q905" s="1350"/>
      <c r="R905" s="1350"/>
      <c r="S905" s="1351"/>
      <c r="U905" s="72" t="s">
        <v>1155</v>
      </c>
      <c r="V905" s="9"/>
      <c r="W905" s="9"/>
      <c r="AE905" s="1173" t="s">
        <v>84</v>
      </c>
      <c r="AF905" s="1174"/>
      <c r="AG905" s="1174"/>
      <c r="AH905" s="1174"/>
      <c r="AI905" s="1174"/>
      <c r="AJ905" s="1174"/>
      <c r="AK905" s="1175"/>
      <c r="AL905" s="74"/>
      <c r="AM905" s="43"/>
      <c r="AN905" s="43"/>
      <c r="AO905" s="43"/>
      <c r="AP905" s="43"/>
      <c r="AQ905" s="43"/>
      <c r="AR905" s="43"/>
      <c r="AS905" s="43"/>
      <c r="AT905" s="43"/>
      <c r="AU905" s="43"/>
      <c r="AV905" s="43"/>
      <c r="AW905" s="38" t="s">
        <v>620</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6">
        <v>1</v>
      </c>
      <c r="M906" s="1207"/>
      <c r="N906" s="1207"/>
      <c r="O906" s="1207"/>
      <c r="P906" s="1207"/>
      <c r="Q906" s="1207"/>
      <c r="R906" s="1207"/>
      <c r="S906" s="1208"/>
      <c r="U906" s="72" t="s">
        <v>870</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1">
        <v>12</v>
      </c>
      <c r="M907" s="1342"/>
      <c r="N907" s="1342"/>
      <c r="O907" s="1342"/>
      <c r="P907" s="1342"/>
      <c r="Q907" s="1342"/>
      <c r="R907" s="1342"/>
      <c r="S907" s="1343"/>
      <c r="U907" s="72" t="s">
        <v>871</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621</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49">
        <v>408000</v>
      </c>
      <c r="M908" s="1150"/>
      <c r="N908" s="1150"/>
      <c r="O908" s="1150"/>
      <c r="P908" s="1150"/>
      <c r="Q908" s="1150"/>
      <c r="R908" s="1150"/>
      <c r="S908" s="1151"/>
      <c r="U908" s="72" t="s">
        <v>872</v>
      </c>
      <c r="V908" s="9"/>
      <c r="W908" s="9"/>
      <c r="X908" s="9"/>
      <c r="Y908" s="9"/>
      <c r="Z908" s="9"/>
      <c r="AA908" s="9"/>
      <c r="AB908" s="9"/>
      <c r="AC908" s="9"/>
      <c r="AD908" s="52"/>
      <c r="AE908" s="1197"/>
      <c r="AF908" s="1138"/>
      <c r="AG908" s="1138"/>
      <c r="AH908" s="1138"/>
      <c r="AI908" s="1138"/>
      <c r="AJ908" s="1138"/>
      <c r="AK908" s="1198"/>
      <c r="AL908" s="74"/>
      <c r="AM908" s="43"/>
      <c r="AN908" s="43"/>
      <c r="AO908" s="43"/>
      <c r="AP908" s="43"/>
      <c r="AQ908" s="43"/>
      <c r="AR908" s="43"/>
      <c r="AS908" s="43"/>
      <c r="AT908" s="43"/>
      <c r="AU908" s="43"/>
      <c r="AV908" s="43"/>
      <c r="AW908" s="38" t="s">
        <v>158</v>
      </c>
      <c r="AX908" s="206">
        <v>2</v>
      </c>
      <c r="AY908" s="1193">
        <f>IF(AD952&gt;0,0.02,0)</f>
        <v>0</v>
      </c>
      <c r="AZ908" s="1195"/>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49">
        <v>8160000</v>
      </c>
      <c r="M909" s="1150"/>
      <c r="N909" s="1150"/>
      <c r="O909" s="1150"/>
      <c r="P909" s="1150"/>
      <c r="Q909" s="1150"/>
      <c r="R909" s="1150"/>
      <c r="S909" s="1151"/>
      <c r="U909" s="72" t="s">
        <v>873</v>
      </c>
      <c r="V909" s="9"/>
      <c r="W909" s="9"/>
      <c r="X909" s="9"/>
      <c r="Y909" s="9"/>
      <c r="Z909" s="9"/>
      <c r="AA909" s="9"/>
      <c r="AB909" s="9"/>
      <c r="AC909" s="9"/>
      <c r="AD909" s="52"/>
      <c r="AE909" s="1197"/>
      <c r="AF909" s="1138"/>
      <c r="AG909" s="1138"/>
      <c r="AH909" s="1138"/>
      <c r="AI909" s="1138"/>
      <c r="AJ909" s="1138"/>
      <c r="AK909" s="1198"/>
      <c r="AL909" s="74"/>
      <c r="AM909" s="43"/>
      <c r="AN909" s="43"/>
      <c r="AO909" s="43"/>
      <c r="AP909" s="43"/>
      <c r="AQ909" s="43"/>
      <c r="AR909" s="43"/>
      <c r="AS909" s="43"/>
      <c r="AT909" s="43"/>
      <c r="AU909" s="43"/>
      <c r="AV909" s="43"/>
      <c r="AW909" s="38" t="s">
        <v>622</v>
      </c>
      <c r="AX909" s="206">
        <v>2</v>
      </c>
      <c r="AY909" s="1193">
        <f>IF(AD954&gt;0,0.02,0)</f>
        <v>0</v>
      </c>
      <c r="AZ909" s="1195"/>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7"/>
      <c r="M910" s="1338"/>
      <c r="N910" s="1338"/>
      <c r="O910" s="1338"/>
      <c r="P910" s="1338"/>
      <c r="Q910" s="1338"/>
      <c r="R910" s="1338"/>
      <c r="S910" s="1339"/>
      <c r="U910" s="214" t="s">
        <v>2071</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623</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3"/>
      <c r="AZ911" s="1195"/>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3">
        <f>IF(AD971&gt;0,0.1,0)</f>
        <v>0</v>
      </c>
      <c r="AZ913" s="1195"/>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3"/>
      <c r="N915" s="1123"/>
      <c r="O915" s="1123"/>
      <c r="P915" s="1123"/>
      <c r="Q915" s="1123"/>
      <c r="R915" s="1123"/>
      <c r="S915" s="1154"/>
      <c r="T915" s="72" t="s">
        <v>994</v>
      </c>
      <c r="U915" s="9"/>
      <c r="V915" s="9"/>
      <c r="W915" s="9"/>
      <c r="X915" s="9"/>
      <c r="Y915" s="9"/>
      <c r="Z915" s="52"/>
      <c r="AA915" s="1153"/>
      <c r="AB915" s="1123"/>
      <c r="AC915" s="1123"/>
      <c r="AD915" s="1123"/>
      <c r="AE915" s="1123"/>
      <c r="AF915" s="1123"/>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3"/>
      <c r="N916" s="1123"/>
      <c r="O916" s="1123"/>
      <c r="P916" s="1123"/>
      <c r="Q916" s="1123"/>
      <c r="R916" s="1123"/>
      <c r="S916" s="1154"/>
      <c r="T916" s="72" t="s">
        <v>993</v>
      </c>
      <c r="U916" s="9"/>
      <c r="V916" s="9"/>
      <c r="W916" s="9"/>
      <c r="X916" s="9"/>
      <c r="Y916" s="9"/>
      <c r="Z916" s="52"/>
      <c r="AA916" s="1153"/>
      <c r="AB916" s="1123"/>
      <c r="AC916" s="1123"/>
      <c r="AD916" s="1123"/>
      <c r="AE916" s="1123"/>
      <c r="AF916" s="1123"/>
      <c r="AG916" s="1154"/>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69" t="s">
        <v>132</v>
      </c>
      <c r="N917" s="1092"/>
      <c r="O917" s="1092"/>
      <c r="P917" s="1092"/>
      <c r="Q917" s="1092"/>
      <c r="R917" s="1092"/>
      <c r="S917" s="1170"/>
      <c r="T917" s="8" t="s">
        <v>597</v>
      </c>
      <c r="U917" s="9"/>
      <c r="V917" s="9"/>
      <c r="W917" s="9"/>
      <c r="X917" s="9"/>
      <c r="Y917" s="9"/>
      <c r="Z917" s="52"/>
      <c r="AA917" s="1153"/>
      <c r="AB917" s="1123"/>
      <c r="AC917" s="1123"/>
      <c r="AD917" s="1123"/>
      <c r="AE917" s="1123"/>
      <c r="AF917" s="1123"/>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3"/>
      <c r="N918" s="1123"/>
      <c r="O918" s="1123"/>
      <c r="P918" s="1123"/>
      <c r="Q918" s="1123"/>
      <c r="R918" s="1123"/>
      <c r="S918" s="1154"/>
      <c r="T918" s="8" t="s">
        <v>598</v>
      </c>
      <c r="U918" s="9"/>
      <c r="V918" s="9"/>
      <c r="W918" s="9"/>
      <c r="X918" s="9"/>
      <c r="Y918" s="9"/>
      <c r="Z918" s="52"/>
      <c r="AA918" s="1153"/>
      <c r="AB918" s="1123"/>
      <c r="AC918" s="1123"/>
      <c r="AD918" s="1123"/>
      <c r="AE918" s="1123"/>
      <c r="AF918" s="1123"/>
      <c r="AG918" s="1154"/>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3"/>
      <c r="N919" s="1123"/>
      <c r="O919" s="1123"/>
      <c r="P919" s="1123"/>
      <c r="Q919" s="1123"/>
      <c r="R919" s="1123"/>
      <c r="S919" s="1154"/>
      <c r="T919" s="8" t="s">
        <v>522</v>
      </c>
      <c r="U919" s="9"/>
      <c r="V919" s="9"/>
      <c r="W919" s="9"/>
      <c r="X919" s="9"/>
      <c r="Y919" s="9"/>
      <c r="Z919" s="52"/>
      <c r="AA919" s="1153"/>
      <c r="AB919" s="1123"/>
      <c r="AC919" s="1123"/>
      <c r="AD919" s="1123"/>
      <c r="AE919" s="1123"/>
      <c r="AF919" s="1123"/>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3" t="s">
        <v>84</v>
      </c>
      <c r="N920" s="1174"/>
      <c r="O920" s="1174"/>
      <c r="P920" s="1174"/>
      <c r="Q920" s="1174"/>
      <c r="R920" s="1174"/>
      <c r="S920" s="1175"/>
      <c r="T920" s="1334"/>
      <c r="U920" s="1335"/>
      <c r="V920" s="1335"/>
      <c r="W920" s="1335"/>
      <c r="X920" s="1335"/>
      <c r="Y920" s="1335"/>
      <c r="Z920" s="1336"/>
      <c r="AA920" s="1153"/>
      <c r="AB920" s="1123"/>
      <c r="AC920" s="1123"/>
      <c r="AD920" s="1123"/>
      <c r="AE920" s="1123"/>
      <c r="AF920" s="1123"/>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3"/>
      <c r="N921" s="1123"/>
      <c r="O921" s="1123"/>
      <c r="P921" s="1123"/>
      <c r="Q921" s="1123"/>
      <c r="R921" s="1123"/>
      <c r="S921" s="1154"/>
      <c r="T921" s="1334"/>
      <c r="U921" s="1335"/>
      <c r="V921" s="1335"/>
      <c r="W921" s="1335"/>
      <c r="X921" s="1335"/>
      <c r="Y921" s="1335"/>
      <c r="Z921" s="1336"/>
      <c r="AA921" s="1153"/>
      <c r="AB921" s="1123"/>
      <c r="AC921" s="1123"/>
      <c r="AD921" s="1123"/>
      <c r="AE921" s="1123"/>
      <c r="AF921" s="1123"/>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69" t="s">
        <v>511</v>
      </c>
      <c r="P922" s="1170"/>
      <c r="Q922" s="146"/>
      <c r="R922" s="146"/>
      <c r="S922" s="147"/>
      <c r="T922" s="6" t="s">
        <v>298</v>
      </c>
      <c r="U922" s="7"/>
      <c r="V922" s="7"/>
      <c r="W922" s="1329" t="s">
        <v>593</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0" t="s">
        <v>241</v>
      </c>
      <c r="G923" s="1299"/>
      <c r="H923" s="1299"/>
      <c r="I923" s="1299"/>
      <c r="J923" s="1299"/>
      <c r="K923" s="1299"/>
      <c r="L923" s="1299"/>
      <c r="M923" s="1153"/>
      <c r="N923" s="1123"/>
      <c r="O923" s="1123"/>
      <c r="P923" s="1123"/>
      <c r="Q923" s="1123"/>
      <c r="R923" s="1123"/>
      <c r="S923" s="1154"/>
      <c r="T923" s="53"/>
      <c r="U923" s="54"/>
      <c r="V923" s="54"/>
      <c r="W923" s="54"/>
      <c r="X923" s="54"/>
      <c r="Y923" s="54"/>
      <c r="Z923" s="226" t="s">
        <v>242</v>
      </c>
      <c r="AA923" s="1332"/>
      <c r="AB923" s="1295"/>
      <c r="AC923" s="1295"/>
      <c r="AD923" s="1295"/>
      <c r="AE923" s="1295"/>
      <c r="AF923" s="1295"/>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3" t="s">
        <v>448</v>
      </c>
      <c r="E933" s="1194"/>
      <c r="F933" s="1194"/>
      <c r="G933" s="1194"/>
      <c r="H933" s="1194"/>
      <c r="I933" s="1194"/>
      <c r="J933" s="1194"/>
      <c r="K933" s="1194"/>
      <c r="L933" s="1194"/>
      <c r="M933" s="1194"/>
      <c r="N933" s="1194"/>
      <c r="O933" s="1194"/>
      <c r="P933" s="1194"/>
      <c r="Q933" s="1195"/>
      <c r="R933" s="1196">
        <f>IF(ISNA(IF($BA$805="4%",(INDEX($BC$819:$BG$876,MATCH($BO$805,$BB$819:$BB$876,0),MATCH(D933,$BC$817:$BG$817,0))),(INDEX($BJ$819:$BN$876,MATCH($BO$805,$BI$819:$BI$876,0),MATCH(D933,$BJ$817:$BN$817,0))))),0,IF($BA$805="4%",(INDEX($BC$819:$BG$876,MATCH($BO$805,$BB$819:$BB$876,0),MATCH(D933,$BC$817:$BG$817,0))),(INDEX($BJ$819:$BN$876,MATCH($BO$805,$BI$819:$BI$876,0),MATCH(D933,$BJ$817:$BN$817,0)))))</f>
        <v>437727</v>
      </c>
      <c r="S933" s="1196"/>
      <c r="T933" s="1196"/>
      <c r="U933" s="1196"/>
      <c r="V933" s="1196"/>
      <c r="W933" s="1196"/>
      <c r="X933" s="1196"/>
      <c r="Y933" s="1196"/>
      <c r="Z933" s="1196"/>
      <c r="AA933" s="1196"/>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3" t="s">
        <v>471</v>
      </c>
      <c r="E934" s="1194"/>
      <c r="F934" s="1194"/>
      <c r="G934" s="1194"/>
      <c r="H934" s="1194"/>
      <c r="I934" s="1194"/>
      <c r="J934" s="1194"/>
      <c r="K934" s="1194"/>
      <c r="L934" s="1194"/>
      <c r="M934" s="1194"/>
      <c r="N934" s="1194"/>
      <c r="O934" s="1194"/>
      <c r="P934" s="1194"/>
      <c r="Q934" s="1195"/>
      <c r="R934" s="1196">
        <f>IF(ISNA(IF($BA$805="4%",(INDEX($BC$819:$BG$876,MATCH($BO$805,$BB$819:$BB$876,0),MATCH(D934,$BC$817:$BG$817,0))),(INDEX($BJ$819:$BN$876,MATCH($BO$805,$BI$819:$BI$876,0),MATCH(D934,$BJ$817:$BN$817,0))))),0,IF($BA$805="4%",(INDEX($BC$819:$BG$876,MATCH($BO$805,$BB$819:$BB$876,0),MATCH(D934,$BC$817:$BG$817,0))),(INDEX($BJ$819:$BN$876,MATCH($BO$805,$BI$819:$BI$876,0),MATCH(D934,$BJ$817:$BN$817,0)))))</f>
        <v>504695</v>
      </c>
      <c r="S934" s="1196"/>
      <c r="T934" s="1196"/>
      <c r="U934" s="1196"/>
      <c r="V934" s="1196"/>
      <c r="W934" s="1196"/>
      <c r="X934" s="1196"/>
      <c r="Y934" s="1196"/>
      <c r="Z934" s="1196"/>
      <c r="AA934" s="1196"/>
      <c r="AB934" s="1321">
        <f>BS638</f>
        <v>0</v>
      </c>
      <c r="AC934" s="1322"/>
      <c r="AD934" s="1322"/>
      <c r="AE934" s="1322"/>
      <c r="AF934" s="1322"/>
      <c r="AG934" s="1322"/>
      <c r="AH934" s="1322"/>
      <c r="AI934" s="1323"/>
      <c r="AJ934" s="1324">
        <f>IF(ISERROR((R934*AB934)),0,(R934*AB934))</f>
        <v>0</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3" t="s">
        <v>817</v>
      </c>
      <c r="E935" s="1194"/>
      <c r="F935" s="1194"/>
      <c r="G935" s="1194"/>
      <c r="H935" s="1194"/>
      <c r="I935" s="1194"/>
      <c r="J935" s="1194"/>
      <c r="K935" s="1194"/>
      <c r="L935" s="1194"/>
      <c r="M935" s="1194"/>
      <c r="N935" s="1194"/>
      <c r="O935" s="1194"/>
      <c r="P935" s="1194"/>
      <c r="Q935" s="1195"/>
      <c r="R935" s="1196">
        <f>IF(ISNA(IF($BA$805="4%",(INDEX($BC$819:$BG$876,MATCH($BO$805,$BB$819:$BB$876,0),MATCH(D935,$BC$817:$BG$817,0))),(INDEX($BJ$819:$BN$876,MATCH($BO$805,$BI$819:$BI$876,0),MATCH(D935,$BJ$817:$BN$817,0))))),0,IF($BA$805="4%",(INDEX($BC$819:$BG$876,MATCH($BO$805,$BB$819:$BB$876,0),MATCH(D935,$BC$817:$BG$817,0))),(INDEX($BJ$819:$BN$876,MATCH($BO$805,$BI$819:$BI$876,0),MATCH(D935,$BJ$817:$BN$817,0)))))</f>
        <v>608800</v>
      </c>
      <c r="S935" s="1196"/>
      <c r="T935" s="1196"/>
      <c r="U935" s="1196"/>
      <c r="V935" s="1196"/>
      <c r="W935" s="1196"/>
      <c r="X935" s="1196"/>
      <c r="Y935" s="1196"/>
      <c r="Z935" s="1196"/>
      <c r="AA935" s="1196"/>
      <c r="AB935" s="1321">
        <f>BX638</f>
        <v>8</v>
      </c>
      <c r="AC935" s="1322"/>
      <c r="AD935" s="1322"/>
      <c r="AE935" s="1322"/>
      <c r="AF935" s="1322"/>
      <c r="AG935" s="1322"/>
      <c r="AH935" s="1322"/>
      <c r="AI935" s="1323"/>
      <c r="AJ935" s="1324">
        <f>IF(ISERROR((R935*AB935)),0,(R935*AB935))</f>
        <v>4870400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3" t="s">
        <v>818</v>
      </c>
      <c r="E936" s="1194"/>
      <c r="F936" s="1194"/>
      <c r="G936" s="1194"/>
      <c r="H936" s="1194"/>
      <c r="I936" s="1194"/>
      <c r="J936" s="1194"/>
      <c r="K936" s="1194"/>
      <c r="L936" s="1194"/>
      <c r="M936" s="1194"/>
      <c r="N936" s="1194"/>
      <c r="O936" s="1194"/>
      <c r="P936" s="1194"/>
      <c r="Q936" s="1195"/>
      <c r="R936" s="1196">
        <f>IF(ISNA(IF($BA$805="4%",(INDEX($BC$819:$BG$876,MATCH($BO$805,$BB$819:$BB$876,0),MATCH(D936,$BC$817:$BG$817,0))),(INDEX($BJ$819:$BN$876,MATCH($BO$805,$BI$819:$BI$876,0),MATCH(D936,$BJ$817:$BN$817,0))))),0,IF($BA$805="4%",(INDEX($BC$819:$BG$876,MATCH($BO$805,$BB$819:$BB$876,0),MATCH(D936,$BC$817:$BG$817,0))),(INDEX($BJ$819:$BN$876,MATCH($BO$805,$BI$819:$BI$876,0),MATCH(D936,$BJ$817:$BN$817,0)))))</f>
        <v>779264</v>
      </c>
      <c r="S936" s="1196"/>
      <c r="T936" s="1196"/>
      <c r="U936" s="1196"/>
      <c r="V936" s="1196"/>
      <c r="W936" s="1196"/>
      <c r="X936" s="1196"/>
      <c r="Y936" s="1196"/>
      <c r="Z936" s="1196"/>
      <c r="AA936" s="1196"/>
      <c r="AB936" s="1321">
        <f>CC638</f>
        <v>4</v>
      </c>
      <c r="AC936" s="1322"/>
      <c r="AD936" s="1322"/>
      <c r="AE936" s="1322"/>
      <c r="AF936" s="1322"/>
      <c r="AG936" s="1322"/>
      <c r="AH936" s="1322"/>
      <c r="AI936" s="1323"/>
      <c r="AJ936" s="1324">
        <f>IF(ISERROR((R936*AB936)),0,(R936*AB936))</f>
        <v>3117056</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3" t="s">
        <v>829</v>
      </c>
      <c r="E937" s="1194"/>
      <c r="F937" s="1194"/>
      <c r="G937" s="1194"/>
      <c r="H937" s="1194"/>
      <c r="I937" s="1194"/>
      <c r="J937" s="1194"/>
      <c r="K937" s="1194"/>
      <c r="L937" s="1194"/>
      <c r="M937" s="1194"/>
      <c r="N937" s="1194"/>
      <c r="O937" s="1194"/>
      <c r="P937" s="1194"/>
      <c r="Q937" s="1195"/>
      <c r="R937" s="1196">
        <f>IF(ISNA(IF($BA$805="4%",(INDEX($BC$819:$BG$876,MATCH($BO$805,$BB$819:$BB$876,0),MATCH(D937,$BC$817:$BG$817,0))),(INDEX($BJ$819:$BN$876,MATCH($BO$805,$BI$819:$BI$876,0),MATCH(D937,$BJ$817:$BN$817,0))))),0,IF($BA$805="4%",(INDEX($BC$819:$BG$876,MATCH($BO$805,$BB$819:$BB$876,0),MATCH(D937,$BC$817:$BG$817,0))),(INDEX($BJ$819:$BN$876,MATCH($BO$805,$BI$819:$BI$876,0),MATCH(D937,$BJ$817:$BN$817,0)))))</f>
        <v>868149</v>
      </c>
      <c r="S937" s="1196"/>
      <c r="T937" s="1196"/>
      <c r="U937" s="1196"/>
      <c r="V937" s="1196"/>
      <c r="W937" s="1196"/>
      <c r="X937" s="1196"/>
      <c r="Y937" s="1196"/>
      <c r="Z937" s="1196"/>
      <c r="AA937" s="1196"/>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12</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7987456</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1" t="s">
        <v>1985</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511</v>
      </c>
      <c r="AH941" s="1566"/>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7" t="s">
        <v>2097</v>
      </c>
      <c r="E942" s="1188"/>
      <c r="F942" s="1188"/>
      <c r="G942" s="1188"/>
      <c r="H942" s="1188"/>
      <c r="I942" s="1188"/>
      <c r="J942" s="1188"/>
      <c r="K942" s="1188"/>
      <c r="L942" s="1188"/>
      <c r="M942" s="1188"/>
      <c r="N942" s="1188"/>
      <c r="O942" s="1188"/>
      <c r="P942" s="1188"/>
      <c r="Q942" s="1188"/>
      <c r="R942" s="1188"/>
      <c r="S942" s="1188"/>
      <c r="T942" s="1188"/>
      <c r="U942" s="1188"/>
      <c r="V942" s="1188"/>
      <c r="W942" s="1188"/>
      <c r="X942" s="1188"/>
      <c r="Y942" s="1188"/>
      <c r="Z942" s="1188"/>
      <c r="AA942" s="1188"/>
      <c r="AB942" s="1188"/>
      <c r="AC942" s="1188"/>
      <c r="AD942" s="1188"/>
      <c r="AE942" s="1189"/>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4" t="s">
        <v>2098</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7" t="s">
        <v>1986</v>
      </c>
      <c r="E945" s="1188"/>
      <c r="F945" s="1188"/>
      <c r="G945" s="1188"/>
      <c r="H945" s="1188"/>
      <c r="I945" s="1188"/>
      <c r="J945" s="1188"/>
      <c r="K945" s="1188"/>
      <c r="L945" s="1188"/>
      <c r="M945" s="1188"/>
      <c r="N945" s="1188"/>
      <c r="O945" s="1188"/>
      <c r="P945" s="1188"/>
      <c r="Q945" s="1188"/>
      <c r="R945" s="1188"/>
      <c r="S945" s="1188"/>
      <c r="T945" s="1188"/>
      <c r="U945" s="1188"/>
      <c r="V945" s="1188"/>
      <c r="W945" s="1188"/>
      <c r="X945" s="1188"/>
      <c r="Y945" s="1188"/>
      <c r="Z945" s="1188"/>
      <c r="AA945" s="1188"/>
      <c r="AB945" s="1188"/>
      <c r="AC945" s="1188"/>
      <c r="AD945" s="1188"/>
      <c r="AE945" s="1189"/>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7"/>
      <c r="E946" s="1188"/>
      <c r="F946" s="1188"/>
      <c r="G946" s="1188"/>
      <c r="H946" s="1188"/>
      <c r="I946" s="1188"/>
      <c r="J946" s="1188"/>
      <c r="K946" s="1188"/>
      <c r="L946" s="1188"/>
      <c r="M946" s="1188"/>
      <c r="N946" s="1188"/>
      <c r="O946" s="1188"/>
      <c r="P946" s="1188"/>
      <c r="Q946" s="1188"/>
      <c r="R946" s="1188"/>
      <c r="S946" s="1188"/>
      <c r="T946" s="1188"/>
      <c r="U946" s="1188"/>
      <c r="V946" s="1188"/>
      <c r="W946" s="1188"/>
      <c r="X946" s="1188"/>
      <c r="Y946" s="1188"/>
      <c r="Z946" s="1188"/>
      <c r="AA946" s="1188"/>
      <c r="AB946" s="1188"/>
      <c r="AC946" s="1188"/>
      <c r="AD946" s="1188"/>
      <c r="AE946" s="1189"/>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7"/>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9"/>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7"/>
      <c r="E948" s="1188"/>
      <c r="F948" s="1188"/>
      <c r="G948" s="1188"/>
      <c r="H948" s="1188"/>
      <c r="I948" s="1188"/>
      <c r="J948" s="1188"/>
      <c r="K948" s="1188"/>
      <c r="L948" s="1188"/>
      <c r="M948" s="1188"/>
      <c r="N948" s="1188"/>
      <c r="O948" s="1188"/>
      <c r="P948" s="1188"/>
      <c r="Q948" s="1188"/>
      <c r="R948" s="1188"/>
      <c r="S948" s="1188"/>
      <c r="T948" s="1188"/>
      <c r="U948" s="1188"/>
      <c r="V948" s="1188"/>
      <c r="W948" s="1188"/>
      <c r="X948" s="1188"/>
      <c r="Y948" s="1188"/>
      <c r="Z948" s="1188"/>
      <c r="AA948" s="1188"/>
      <c r="AB948" s="1188"/>
      <c r="AC948" s="1188"/>
      <c r="AD948" s="1188"/>
      <c r="AE948" s="1189"/>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0"/>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2"/>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4" t="s">
        <v>2099</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7" t="s">
        <v>2100</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4" t="s">
        <v>1987</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70" t="s">
        <v>1988</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4" t="s">
        <v>1989</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7" t="s">
        <v>1990</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81" t="s">
        <v>1991</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7" t="s">
        <v>2101</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6" t="s">
        <v>1992</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2" t="str">
        <f>IF(AG963="yes","Please Select Type and Enter Amount:","")</f>
        <v/>
      </c>
      <c r="AG964" s="1163"/>
      <c r="AH964" s="1163"/>
      <c r="AI964" s="1164"/>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7" t="s">
        <v>1993</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2"/>
      <c r="AG965" s="1163"/>
      <c r="AH965" s="1163"/>
      <c r="AI965" s="1164"/>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5"/>
      <c r="AG966" s="1165"/>
      <c r="AH966" s="1165"/>
      <c r="AI966" s="1165"/>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5"/>
      <c r="AG967" s="1165"/>
      <c r="AH967" s="1165"/>
      <c r="AI967" s="1165"/>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4" t="s">
        <v>1994</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7" t="s">
        <v>2102</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6" t="str">
        <f>IF(AG968="yes","Please Enter Amount:","")</f>
        <v/>
      </c>
      <c r="AG969" s="1167"/>
      <c r="AH969" s="1167"/>
      <c r="AI969" s="1168"/>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5"/>
      <c r="AG970" s="1165"/>
      <c r="AH970" s="1165"/>
      <c r="AI970" s="1165"/>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5"/>
      <c r="AG971" s="1165"/>
      <c r="AH971" s="1165"/>
      <c r="AI971" s="1165"/>
      <c r="AJ971" s="1361"/>
      <c r="AK971" s="1362"/>
      <c r="AL971" s="1362"/>
      <c r="AM971" s="1362"/>
      <c r="AN971" s="1362"/>
      <c r="AO971" s="1362"/>
      <c r="AP971" s="1362"/>
      <c r="AQ971" s="1363"/>
    </row>
    <row r="972" spans="1:97" ht="12.95" customHeight="1">
      <c r="A972" s="21"/>
      <c r="B972" s="82"/>
      <c r="C972" s="570" t="s">
        <v>609</v>
      </c>
      <c r="D972" s="1381" t="s">
        <v>1995</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2.95" customHeight="1">
      <c r="A973" s="21"/>
      <c r="B973" s="79"/>
      <c r="C973" s="571"/>
      <c r="D973" s="1367" t="s">
        <v>1996</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2.95"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2.95" customHeight="1">
      <c r="A975" s="569"/>
      <c r="B975" s="79"/>
      <c r="C975" s="570" t="s">
        <v>612</v>
      </c>
      <c r="D975" s="1354" t="s">
        <v>2103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5"/>
      <c r="AF975" s="82"/>
      <c r="AG975" s="1356" t="s">
        <v>511</v>
      </c>
      <c r="AH975" s="1357"/>
      <c r="AI975" s="85"/>
      <c r="AJ975" s="1358">
        <f>ROUND(IF(AG975="yes",(AJ939*0.15),0),0)</f>
        <v>0</v>
      </c>
      <c r="AK975" s="1359"/>
      <c r="AL975" s="1359"/>
      <c r="AM975" s="1359"/>
      <c r="AN975" s="1359"/>
      <c r="AO975" s="1359"/>
      <c r="AP975" s="1359"/>
      <c r="AQ975" s="1360"/>
    </row>
    <row r="976" spans="1:97" ht="12.95" customHeight="1">
      <c r="A976" s="569"/>
      <c r="B976" s="79"/>
      <c r="C976" s="571"/>
      <c r="D976" s="1551"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81" t="s">
        <v>2105</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511</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1"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4" t="s">
        <v>1997</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7" t="s">
        <v>2239</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6" t="s">
        <v>785</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7987456</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6890449</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4">
        <f>IFERROR(X992/AJ988,"")</f>
        <v>0.86265877395756552</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5" t="s">
        <v>1033</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8" t="s">
        <v>132</v>
      </c>
      <c r="B1004" s="1118"/>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8" t="s">
        <v>132</v>
      </c>
      <c r="B1010" s="1118"/>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8" t="s">
        <v>132</v>
      </c>
      <c r="B1016" s="1118"/>
      <c r="C1016" s="12">
        <v>3</v>
      </c>
      <c r="D1016" s="976" t="s">
        <v>2351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8" t="s">
        <v>132</v>
      </c>
      <c r="B1023" s="1118"/>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8" t="s">
        <v>132</v>
      </c>
      <c r="B1026" s="1118"/>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8" t="s">
        <v>132</v>
      </c>
      <c r="B1031" s="1118"/>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8" t="s">
        <v>132</v>
      </c>
      <c r="B1034" s="1118"/>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8" t="s">
        <v>132</v>
      </c>
      <c r="B1038" s="1118"/>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2.9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2.9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2.9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2.95" customHeight="1">
      <c r="A1042" s="1143" t="s">
        <v>132</v>
      </c>
      <c r="B1042" s="1143"/>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2.9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2.9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2" workbookViewId="0">
      <selection activeCell="B104" sqref="B104"/>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1)Rockport/HUD 221D4</v>
      </c>
      <c r="G2" s="233" t="str">
        <f>Application!B619&amp;Application!C619</f>
        <v>2)Deferred Developer Fee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1080000</v>
      </c>
      <c r="C4" s="241">
        <v>1080000</v>
      </c>
      <c r="D4" s="241"/>
      <c r="E4" s="241">
        <v>1080000</v>
      </c>
      <c r="F4" s="241"/>
      <c r="G4" s="241"/>
      <c r="H4" s="241"/>
      <c r="I4" s="241"/>
      <c r="J4" s="241"/>
      <c r="K4" s="241"/>
      <c r="L4" s="241"/>
      <c r="M4" s="241"/>
      <c r="N4" s="241"/>
      <c r="O4" s="241"/>
      <c r="P4" s="241"/>
      <c r="Q4" s="241"/>
      <c r="R4" s="241">
        <f>C4</f>
        <v>1080000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1080000</v>
      </c>
      <c r="C8" s="240">
        <f t="shared" ref="C8:R8" si="0">SUM(C4:C7)</f>
        <v>1080000</v>
      </c>
      <c r="D8" s="240">
        <f t="shared" si="0"/>
        <v>0</v>
      </c>
      <c r="E8" s="240">
        <f t="shared" si="0"/>
        <v>1080000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1080000</v>
      </c>
      <c r="S8" s="242"/>
      <c r="T8" s="242"/>
      <c r="U8" s="237"/>
    </row>
    <row r="9" spans="1:21" s="238" customFormat="1">
      <c r="A9" s="239" t="s">
        <v>1797</v>
      </c>
      <c r="B9" s="240">
        <f>SUM(C9+D9)</f>
        <v>4260000</v>
      </c>
      <c r="C9" s="241">
        <v>4260000</v>
      </c>
      <c r="D9" s="241"/>
      <c r="E9" s="241">
        <f>C9-F9</f>
        <v>470000</v>
      </c>
      <c r="F9" s="241">
        <v>3790000</v>
      </c>
      <c r="G9" s="241"/>
      <c r="H9" s="241"/>
      <c r="I9" s="241"/>
      <c r="J9" s="241"/>
      <c r="K9" s="241"/>
      <c r="L9" s="241"/>
      <c r="M9" s="241"/>
      <c r="N9" s="241"/>
      <c r="O9" s="241"/>
      <c r="P9" s="241"/>
      <c r="Q9" s="241"/>
      <c r="R9" s="241">
        <f>C9</f>
        <v>4260000</v>
      </c>
      <c r="S9" s="242"/>
      <c r="T9" s="241">
        <f>R9</f>
        <v>4260000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4260000</v>
      </c>
      <c r="C11" s="240">
        <f t="shared" ref="C11:T11" si="1">SUM(C9:C10)</f>
        <v>4260000</v>
      </c>
      <c r="D11" s="240">
        <f t="shared" si="1"/>
        <v>0</v>
      </c>
      <c r="E11" s="240">
        <f t="shared" si="1"/>
        <v>470000</v>
      </c>
      <c r="F11" s="240">
        <f t="shared" si="1"/>
        <v>3790000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4260000</v>
      </c>
      <c r="S11" s="242"/>
      <c r="T11" s="240">
        <f t="shared" si="1"/>
        <v>4260000</v>
      </c>
      <c r="U11" s="237"/>
    </row>
    <row r="12" spans="1:21" s="238" customFormat="1">
      <c r="A12" s="243" t="s">
        <v>747</v>
      </c>
      <c r="B12" s="240">
        <f t="shared" ref="B12:R12" si="2">SUM(B8+B11)</f>
        <v>5340000</v>
      </c>
      <c r="C12" s="240">
        <f t="shared" si="2"/>
        <v>5340000</v>
      </c>
      <c r="D12" s="240">
        <f t="shared" si="2"/>
        <v>0</v>
      </c>
      <c r="E12" s="240">
        <f t="shared" si="2"/>
        <v>1550000</v>
      </c>
      <c r="F12" s="240">
        <f t="shared" si="2"/>
        <v>3790000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5340000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131901</v>
      </c>
      <c r="C17" s="241">
        <v>131901</v>
      </c>
      <c r="D17" s="241"/>
      <c r="E17" s="241">
        <f>C17</f>
        <v>131901</v>
      </c>
      <c r="F17" s="241"/>
      <c r="G17" s="241"/>
      <c r="H17" s="241"/>
      <c r="I17" s="241"/>
      <c r="J17" s="241"/>
      <c r="K17" s="241"/>
      <c r="L17" s="241"/>
      <c r="M17" s="241"/>
      <c r="N17" s="241"/>
      <c r="O17" s="241"/>
      <c r="P17" s="241"/>
      <c r="Q17" s="241"/>
      <c r="R17" s="241">
        <f>C17</f>
        <v>131901</v>
      </c>
      <c r="S17" s="241">
        <f>R17</f>
        <v>131901</v>
      </c>
      <c r="T17" s="241"/>
      <c r="U17" s="237"/>
    </row>
    <row r="18" spans="1:21" s="238" customFormat="1">
      <c r="A18" s="239" t="s">
        <v>955</v>
      </c>
      <c r="B18" s="240">
        <f>SUM(C18:D18)</f>
        <v>1013830</v>
      </c>
      <c r="C18" s="241">
        <f>1145731-C17</f>
        <v>1013830</v>
      </c>
      <c r="D18" s="241"/>
      <c r="E18" s="241">
        <f>C18</f>
        <v>1013830</v>
      </c>
      <c r="F18" s="241"/>
      <c r="G18" s="241"/>
      <c r="H18" s="241"/>
      <c r="I18" s="241"/>
      <c r="J18" s="241"/>
      <c r="K18" s="241"/>
      <c r="L18" s="241"/>
      <c r="M18" s="241"/>
      <c r="N18" s="241"/>
      <c r="O18" s="241"/>
      <c r="P18" s="241"/>
      <c r="Q18" s="241"/>
      <c r="R18" s="241">
        <f>SUM(E18:Q18)</f>
        <v>1013830</v>
      </c>
      <c r="S18" s="241">
        <f t="shared" ref="S18:S25" si="4">R18</f>
        <v>1013830</v>
      </c>
      <c r="T18" s="241"/>
      <c r="U18" s="237"/>
    </row>
    <row r="19" spans="1:21" s="238" customFormat="1">
      <c r="A19" s="239" t="s">
        <v>956</v>
      </c>
      <c r="B19" s="240">
        <f t="shared" si="3"/>
        <v>68744</v>
      </c>
      <c r="C19" s="241">
        <v>68744</v>
      </c>
      <c r="D19" s="241"/>
      <c r="E19" s="241">
        <f t="shared" ref="E19:E23" si="5">C19</f>
        <v>68744</v>
      </c>
      <c r="F19" s="241"/>
      <c r="G19" s="241"/>
      <c r="H19" s="241"/>
      <c r="I19" s="241"/>
      <c r="J19" s="241"/>
      <c r="K19" s="241"/>
      <c r="L19" s="241"/>
      <c r="M19" s="241"/>
      <c r="N19" s="241"/>
      <c r="O19" s="241"/>
      <c r="P19" s="241"/>
      <c r="Q19" s="241"/>
      <c r="R19" s="241">
        <f>SUM(E19:Q19)</f>
        <v>68744</v>
      </c>
      <c r="S19" s="241">
        <f t="shared" si="4"/>
        <v>68744</v>
      </c>
      <c r="T19" s="241"/>
      <c r="U19" s="237"/>
    </row>
    <row r="20" spans="1:21" s="238" customFormat="1">
      <c r="A20" s="239" t="s">
        <v>957</v>
      </c>
      <c r="B20" s="240">
        <f t="shared" si="3"/>
        <v>24290</v>
      </c>
      <c r="C20" s="241">
        <v>24290</v>
      </c>
      <c r="D20" s="241"/>
      <c r="E20" s="241">
        <f t="shared" si="5"/>
        <v>24290</v>
      </c>
      <c r="F20" s="241"/>
      <c r="G20" s="241"/>
      <c r="H20" s="241"/>
      <c r="I20" s="241"/>
      <c r="J20" s="241"/>
      <c r="K20" s="241"/>
      <c r="L20" s="241"/>
      <c r="M20" s="241"/>
      <c r="N20" s="241"/>
      <c r="O20" s="241"/>
      <c r="P20" s="241"/>
      <c r="Q20" s="241"/>
      <c r="R20" s="241">
        <f t="shared" ref="R20:R27" si="6">SUM(E20:Q20)</f>
        <v>24290</v>
      </c>
      <c r="S20" s="241">
        <f t="shared" si="4"/>
        <v>24290</v>
      </c>
      <c r="T20" s="241"/>
      <c r="U20" s="237"/>
    </row>
    <row r="21" spans="1:21" s="238" customFormat="1">
      <c r="A21" s="239" t="s">
        <v>958</v>
      </c>
      <c r="B21" s="240">
        <f t="shared" si="3"/>
        <v>68744</v>
      </c>
      <c r="C21" s="241">
        <v>68744</v>
      </c>
      <c r="D21" s="241"/>
      <c r="E21" s="241">
        <f t="shared" si="5"/>
        <v>68744</v>
      </c>
      <c r="F21" s="241"/>
      <c r="G21" s="241"/>
      <c r="H21" s="241"/>
      <c r="I21" s="241"/>
      <c r="J21" s="241"/>
      <c r="K21" s="241"/>
      <c r="L21" s="241"/>
      <c r="M21" s="241"/>
      <c r="N21" s="241"/>
      <c r="O21" s="241"/>
      <c r="P21" s="241"/>
      <c r="Q21" s="241"/>
      <c r="R21" s="241">
        <f t="shared" si="6"/>
        <v>68744</v>
      </c>
      <c r="S21" s="241">
        <f t="shared" si="4"/>
        <v>68744</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6"/>
        <v>0</v>
      </c>
      <c r="S22" s="241">
        <f t="shared" si="4"/>
        <v>0</v>
      </c>
      <c r="T22" s="241"/>
      <c r="U22" s="237"/>
    </row>
    <row r="23" spans="1:21" s="238" customFormat="1">
      <c r="A23" s="239" t="s">
        <v>960</v>
      </c>
      <c r="B23" s="240">
        <f t="shared" si="3"/>
        <v>13075</v>
      </c>
      <c r="C23" s="241">
        <v>13075</v>
      </c>
      <c r="D23" s="241"/>
      <c r="E23" s="241">
        <f t="shared" si="5"/>
        <v>13075</v>
      </c>
      <c r="F23" s="241"/>
      <c r="G23" s="241"/>
      <c r="H23" s="241"/>
      <c r="I23" s="241"/>
      <c r="J23" s="241"/>
      <c r="K23" s="241"/>
      <c r="L23" s="241"/>
      <c r="M23" s="241"/>
      <c r="N23" s="241"/>
      <c r="O23" s="241"/>
      <c r="P23" s="241"/>
      <c r="Q23" s="241"/>
      <c r="R23" s="241">
        <f t="shared" si="6"/>
        <v>13075</v>
      </c>
      <c r="S23" s="241">
        <f t="shared" si="4"/>
        <v>13075</v>
      </c>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6"/>
        <v>0</v>
      </c>
      <c r="S24" s="241">
        <f t="shared" si="4"/>
        <v>0</v>
      </c>
      <c r="T24" s="241"/>
      <c r="U24" s="237"/>
    </row>
    <row r="25" spans="1:21" s="238" customFormat="1">
      <c r="A25" s="246" t="s">
        <v>2489</v>
      </c>
      <c r="B25" s="240">
        <f t="shared" si="3"/>
        <v>15000</v>
      </c>
      <c r="C25" s="241">
        <v>15000</v>
      </c>
      <c r="D25" s="241"/>
      <c r="E25" s="241">
        <f>C25</f>
        <v>15000</v>
      </c>
      <c r="F25" s="241"/>
      <c r="G25" s="241"/>
      <c r="H25" s="241"/>
      <c r="I25" s="241"/>
      <c r="J25" s="241"/>
      <c r="K25" s="241"/>
      <c r="L25" s="241"/>
      <c r="M25" s="241"/>
      <c r="N25" s="241"/>
      <c r="O25" s="241"/>
      <c r="P25" s="241"/>
      <c r="Q25" s="241"/>
      <c r="R25" s="241">
        <f t="shared" si="6"/>
        <v>15000</v>
      </c>
      <c r="S25" s="241">
        <f t="shared" si="4"/>
        <v>15000</v>
      </c>
      <c r="T25" s="241"/>
      <c r="U25" s="237"/>
    </row>
    <row r="26" spans="1:21" s="238" customFormat="1">
      <c r="A26" s="243" t="s">
        <v>237</v>
      </c>
      <c r="B26" s="240">
        <f t="shared" si="3"/>
        <v>1335584</v>
      </c>
      <c r="C26" s="240">
        <f>SUM(C17:C25)</f>
        <v>1335584</v>
      </c>
      <c r="D26" s="240">
        <f>SUM(D17:D25)</f>
        <v>0</v>
      </c>
      <c r="E26" s="240">
        <f>SUM(E17:E25)</f>
        <v>1335584</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1335584</v>
      </c>
      <c r="S26" s="244">
        <f t="shared" si="7"/>
        <v>1335584</v>
      </c>
      <c r="T26" s="244">
        <f t="shared" si="7"/>
        <v>0</v>
      </c>
      <c r="U26" s="237"/>
    </row>
    <row r="27" spans="1:21" s="238" customFormat="1">
      <c r="A27" s="243" t="s">
        <v>961</v>
      </c>
      <c r="B27" s="240">
        <f t="shared" si="3"/>
        <v>107500</v>
      </c>
      <c r="C27" s="241">
        <v>107500</v>
      </c>
      <c r="D27" s="241"/>
      <c r="E27" s="241">
        <f>C27</f>
        <v>107500</v>
      </c>
      <c r="F27" s="241"/>
      <c r="G27" s="241"/>
      <c r="H27" s="241"/>
      <c r="I27" s="241"/>
      <c r="J27" s="241"/>
      <c r="K27" s="241"/>
      <c r="L27" s="241"/>
      <c r="M27" s="241"/>
      <c r="N27" s="241"/>
      <c r="O27" s="241"/>
      <c r="P27" s="241"/>
      <c r="Q27" s="241"/>
      <c r="R27" s="241">
        <f t="shared" si="6"/>
        <v>107500</v>
      </c>
      <c r="S27" s="241">
        <f>R27</f>
        <v>107500</v>
      </c>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955</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c r="A31" s="239" t="s">
        <v>956</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c r="A32" s="239" t="s">
        <v>957</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c r="A33" s="239" t="s">
        <v>958</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959</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960</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c r="A36" s="250" t="s">
        <v>2052</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963</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21000</v>
      </c>
      <c r="C40" s="241">
        <f>16000+5000</f>
        <v>21000</v>
      </c>
      <c r="D40" s="241"/>
      <c r="E40" s="241">
        <f>C40</f>
        <v>21000</v>
      </c>
      <c r="F40" s="241"/>
      <c r="G40" s="241"/>
      <c r="H40" s="241"/>
      <c r="I40" s="241"/>
      <c r="J40" s="241"/>
      <c r="K40" s="241"/>
      <c r="L40" s="241"/>
      <c r="M40" s="241"/>
      <c r="N40" s="241"/>
      <c r="O40" s="241"/>
      <c r="P40" s="241"/>
      <c r="Q40" s="241"/>
      <c r="R40" s="241">
        <f>SUM(E40:Q40)</f>
        <v>21000</v>
      </c>
      <c r="S40" s="241">
        <f>R40</f>
        <v>21000</v>
      </c>
      <c r="T40" s="241"/>
      <c r="U40" s="237"/>
    </row>
    <row r="41" spans="1:21" s="238" customFormat="1">
      <c r="A41" s="239" t="s">
        <v>966</v>
      </c>
      <c r="B41" s="240">
        <f>SUM(C41+D41)</f>
        <v>8000</v>
      </c>
      <c r="C41" s="241">
        <v>8000</v>
      </c>
      <c r="D41" s="241"/>
      <c r="E41" s="241">
        <f>C41</f>
        <v>8000</v>
      </c>
      <c r="F41" s="241"/>
      <c r="G41" s="241"/>
      <c r="H41" s="241"/>
      <c r="I41" s="241"/>
      <c r="J41" s="241"/>
      <c r="K41" s="241"/>
      <c r="L41" s="241"/>
      <c r="M41" s="241"/>
      <c r="N41" s="241"/>
      <c r="O41" s="241"/>
      <c r="P41" s="241"/>
      <c r="Q41" s="241"/>
      <c r="R41" s="241">
        <f>SUM(E41:Q41)</f>
        <v>8000</v>
      </c>
      <c r="S41" s="241">
        <f>R41</f>
        <v>8000</v>
      </c>
      <c r="T41" s="241"/>
      <c r="U41" s="237"/>
    </row>
    <row r="42" spans="1:21" s="238" customFormat="1">
      <c r="A42" s="243" t="s">
        <v>967</v>
      </c>
      <c r="B42" s="240">
        <f>SUM(C42:D42)</f>
        <v>29000</v>
      </c>
      <c r="C42" s="240">
        <f>SUM(C39:C41)</f>
        <v>29000</v>
      </c>
      <c r="D42" s="240">
        <f>SUM(D39:D41)</f>
        <v>0</v>
      </c>
      <c r="E42" s="240">
        <f t="shared" ref="E42:T42" si="11">SUM(E40:E41)</f>
        <v>29000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29000</v>
      </c>
      <c r="S42" s="244">
        <f t="shared" si="11"/>
        <v>29000</v>
      </c>
      <c r="T42" s="244">
        <f t="shared" si="11"/>
        <v>0</v>
      </c>
      <c r="U42" s="237"/>
    </row>
    <row r="43" spans="1:21" s="238" customFormat="1">
      <c r="A43" s="243" t="s">
        <v>968</v>
      </c>
      <c r="B43" s="240">
        <f>SUM(C43:D43)</f>
        <v>10000</v>
      </c>
      <c r="C43" s="241">
        <v>10000</v>
      </c>
      <c r="D43" s="241"/>
      <c r="E43" s="241">
        <f>C43</f>
        <v>10000</v>
      </c>
      <c r="F43" s="241">
        <v>0</v>
      </c>
      <c r="G43" s="241"/>
      <c r="H43" s="241"/>
      <c r="I43" s="241"/>
      <c r="J43" s="241"/>
      <c r="K43" s="241"/>
      <c r="L43" s="241"/>
      <c r="M43" s="241"/>
      <c r="N43" s="241"/>
      <c r="O43" s="241"/>
      <c r="P43" s="241"/>
      <c r="Q43" s="241"/>
      <c r="R43" s="241">
        <f>SUM(E43:Q43)</f>
        <v>10000</v>
      </c>
      <c r="S43" s="241"/>
      <c r="T43" s="241">
        <f>R43</f>
        <v>10000</v>
      </c>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2">SUM(C45+D45)</f>
        <v>176313</v>
      </c>
      <c r="C45" s="241">
        <v>176313</v>
      </c>
      <c r="D45" s="241"/>
      <c r="E45" s="241">
        <f>C45</f>
        <v>176313</v>
      </c>
      <c r="F45" s="241"/>
      <c r="G45" s="241"/>
      <c r="H45" s="241"/>
      <c r="I45" s="241"/>
      <c r="J45" s="241"/>
      <c r="K45" s="241"/>
      <c r="L45" s="241"/>
      <c r="M45" s="241"/>
      <c r="N45" s="241"/>
      <c r="O45" s="241"/>
      <c r="P45" s="241"/>
      <c r="Q45" s="241"/>
      <c r="R45" s="241">
        <f>C45</f>
        <v>176313</v>
      </c>
      <c r="S45" s="241">
        <v>47653</v>
      </c>
      <c r="T45" s="241"/>
      <c r="U45" s="237"/>
    </row>
    <row r="46" spans="1:21" s="238" customFormat="1">
      <c r="A46" s="239" t="s">
        <v>971</v>
      </c>
      <c r="B46" s="240">
        <f t="shared" si="12"/>
        <v>32550</v>
      </c>
      <c r="C46" s="241">
        <v>32550</v>
      </c>
      <c r="D46" s="241"/>
      <c r="E46" s="241">
        <f>C46</f>
        <v>32550</v>
      </c>
      <c r="F46" s="241"/>
      <c r="G46" s="241"/>
      <c r="H46" s="241"/>
      <c r="I46" s="241"/>
      <c r="J46" s="241"/>
      <c r="K46" s="241"/>
      <c r="L46" s="241"/>
      <c r="M46" s="241"/>
      <c r="N46" s="241"/>
      <c r="O46" s="241"/>
      <c r="P46" s="241"/>
      <c r="Q46" s="241"/>
      <c r="R46" s="241">
        <f t="shared" ref="R46:R52" si="13">SUM(E46:Q46)</f>
        <v>32550</v>
      </c>
      <c r="S46" s="241"/>
      <c r="T46" s="241"/>
      <c r="U46" s="237"/>
    </row>
    <row r="47" spans="1:21" s="238" customFormat="1" ht="12" customHeight="1">
      <c r="A47" s="239" t="s">
        <v>972</v>
      </c>
      <c r="B47" s="240">
        <f t="shared" si="12"/>
        <v>0</v>
      </c>
      <c r="C47" s="241"/>
      <c r="D47" s="241"/>
      <c r="E47" s="241">
        <f t="shared" ref="E47:E51" si="14">C47</f>
        <v>0</v>
      </c>
      <c r="F47" s="241"/>
      <c r="G47" s="241"/>
      <c r="H47" s="241"/>
      <c r="I47" s="241"/>
      <c r="J47" s="241"/>
      <c r="K47" s="241"/>
      <c r="L47" s="241"/>
      <c r="M47" s="241"/>
      <c r="N47" s="241"/>
      <c r="O47" s="241"/>
      <c r="P47" s="241"/>
      <c r="Q47" s="241"/>
      <c r="R47" s="241">
        <f t="shared" si="13"/>
        <v>0</v>
      </c>
      <c r="S47" s="241"/>
      <c r="T47" s="241"/>
      <c r="U47" s="237"/>
    </row>
    <row r="48" spans="1:21" s="238" customFormat="1">
      <c r="A48" s="239" t="s">
        <v>973</v>
      </c>
      <c r="B48" s="240">
        <f t="shared" si="12"/>
        <v>13075</v>
      </c>
      <c r="C48" s="241">
        <v>13075</v>
      </c>
      <c r="D48" s="241"/>
      <c r="E48" s="241">
        <f t="shared" si="14"/>
        <v>13075</v>
      </c>
      <c r="F48" s="241"/>
      <c r="G48" s="241"/>
      <c r="H48" s="241"/>
      <c r="I48" s="241"/>
      <c r="J48" s="241"/>
      <c r="K48" s="241"/>
      <c r="L48" s="241"/>
      <c r="M48" s="241"/>
      <c r="N48" s="241"/>
      <c r="O48" s="241"/>
      <c r="P48" s="241"/>
      <c r="Q48" s="241"/>
      <c r="R48" s="241">
        <f t="shared" si="13"/>
        <v>13075</v>
      </c>
      <c r="S48" s="241">
        <f>R48</f>
        <v>13075</v>
      </c>
      <c r="T48" s="241"/>
      <c r="U48" s="237"/>
    </row>
    <row r="49" spans="1:21" s="238" customFormat="1">
      <c r="A49" s="239" t="s">
        <v>976</v>
      </c>
      <c r="B49" s="240">
        <f t="shared" si="12"/>
        <v>75000</v>
      </c>
      <c r="C49" s="241">
        <v>75000</v>
      </c>
      <c r="D49" s="241"/>
      <c r="E49" s="241">
        <f t="shared" si="14"/>
        <v>75000</v>
      </c>
      <c r="F49" s="241"/>
      <c r="G49" s="241"/>
      <c r="H49" s="241"/>
      <c r="I49" s="241"/>
      <c r="J49" s="241"/>
      <c r="K49" s="241"/>
      <c r="L49" s="241"/>
      <c r="M49" s="241"/>
      <c r="N49" s="241"/>
      <c r="O49" s="241"/>
      <c r="P49" s="241"/>
      <c r="Q49" s="241"/>
      <c r="R49" s="241">
        <f t="shared" si="13"/>
        <v>75000</v>
      </c>
      <c r="S49" s="241"/>
      <c r="T49" s="241">
        <f>R49</f>
        <v>75000</v>
      </c>
      <c r="U49" s="237"/>
    </row>
    <row r="50" spans="1:21" s="238" customFormat="1">
      <c r="A50" s="239" t="s">
        <v>974</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c r="T50" s="241"/>
      <c r="U50" s="237"/>
    </row>
    <row r="51" spans="1:21" s="238" customFormat="1">
      <c r="A51" s="239" t="s">
        <v>975</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c r="T51" s="241"/>
      <c r="U51" s="237"/>
    </row>
    <row r="52" spans="1:21" s="238" customFormat="1">
      <c r="A52" s="246" t="s">
        <v>564</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977</v>
      </c>
      <c r="B53" s="244">
        <f>SUM(C53:D53)</f>
        <v>296938</v>
      </c>
      <c r="C53" s="244">
        <f t="shared" ref="C53:T53" si="15">SUM(C45:C52)</f>
        <v>296938</v>
      </c>
      <c r="D53" s="244">
        <f t="shared" si="15"/>
        <v>0</v>
      </c>
      <c r="E53" s="244">
        <f t="shared" si="15"/>
        <v>296938</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296938</v>
      </c>
      <c r="S53" s="244">
        <f t="shared" si="15"/>
        <v>60728</v>
      </c>
      <c r="T53" s="244">
        <f t="shared" si="15"/>
        <v>75000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6">SUM(C55+D55)</f>
        <v>37900</v>
      </c>
      <c r="C55" s="241">
        <v>37900</v>
      </c>
      <c r="D55" s="241"/>
      <c r="E55" s="241">
        <f t="shared" ref="E55:E60" si="17">C55</f>
        <v>37900</v>
      </c>
      <c r="F55" s="241"/>
      <c r="G55" s="241"/>
      <c r="H55" s="241"/>
      <c r="I55" s="241"/>
      <c r="J55" s="241"/>
      <c r="K55" s="241"/>
      <c r="L55" s="241"/>
      <c r="M55" s="241"/>
      <c r="N55" s="241"/>
      <c r="O55" s="241"/>
      <c r="P55" s="241"/>
      <c r="Q55" s="241"/>
      <c r="R55" s="241">
        <f t="shared" ref="R55:R60" si="18">SUM(E55:Q55)</f>
        <v>37900</v>
      </c>
      <c r="S55" s="242"/>
      <c r="T55" s="242"/>
      <c r="U55" s="237"/>
    </row>
    <row r="56" spans="1:21" s="238" customFormat="1" ht="12" customHeight="1">
      <c r="A56" s="239" t="s">
        <v>972</v>
      </c>
      <c r="B56" s="240">
        <f t="shared" si="16"/>
        <v>0</v>
      </c>
      <c r="C56" s="241">
        <v>0</v>
      </c>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c r="A57" s="239" t="s">
        <v>976</v>
      </c>
      <c r="B57" s="240">
        <f t="shared" si="16"/>
        <v>0</v>
      </c>
      <c r="C57" s="241">
        <v>0</v>
      </c>
      <c r="D57" s="241"/>
      <c r="E57" s="241">
        <f t="shared" si="17"/>
        <v>0</v>
      </c>
      <c r="F57" s="241"/>
      <c r="G57" s="241"/>
      <c r="H57" s="241"/>
      <c r="I57" s="241"/>
      <c r="J57" s="241"/>
      <c r="K57" s="241"/>
      <c r="L57" s="241"/>
      <c r="M57" s="241"/>
      <c r="N57" s="241"/>
      <c r="O57" s="241"/>
      <c r="P57" s="241"/>
      <c r="Q57" s="241"/>
      <c r="R57" s="241">
        <f t="shared" si="18"/>
        <v>0</v>
      </c>
      <c r="S57" s="242"/>
      <c r="T57" s="242"/>
      <c r="U57" s="237"/>
    </row>
    <row r="58" spans="1:21" s="238" customFormat="1">
      <c r="A58" s="239" t="s">
        <v>974</v>
      </c>
      <c r="B58" s="240">
        <f t="shared" si="16"/>
        <v>35000</v>
      </c>
      <c r="C58" s="241">
        <v>35000</v>
      </c>
      <c r="D58" s="241"/>
      <c r="E58" s="241">
        <f t="shared" si="17"/>
        <v>35000</v>
      </c>
      <c r="F58" s="241"/>
      <c r="G58" s="241"/>
      <c r="H58" s="241"/>
      <c r="I58" s="241"/>
      <c r="J58" s="241"/>
      <c r="K58" s="241"/>
      <c r="L58" s="241"/>
      <c r="M58" s="241"/>
      <c r="N58" s="241"/>
      <c r="O58" s="241"/>
      <c r="P58" s="241"/>
      <c r="Q58" s="241"/>
      <c r="R58" s="241">
        <f t="shared" si="18"/>
        <v>35000</v>
      </c>
      <c r="S58" s="242"/>
      <c r="T58" s="242"/>
      <c r="U58" s="237"/>
    </row>
    <row r="59" spans="1:21" s="238" customFormat="1">
      <c r="A59" s="239" t="s">
        <v>975</v>
      </c>
      <c r="B59" s="240">
        <f t="shared" si="16"/>
        <v>0</v>
      </c>
      <c r="C59" s="241">
        <v>0</v>
      </c>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c r="A60" s="246" t="s">
        <v>2544</v>
      </c>
      <c r="B60" s="240">
        <f t="shared" si="16"/>
        <v>42719</v>
      </c>
      <c r="C60" s="241">
        <f>42719</f>
        <v>42719</v>
      </c>
      <c r="D60" s="241"/>
      <c r="E60" s="241">
        <f t="shared" si="17"/>
        <v>42719</v>
      </c>
      <c r="F60" s="241"/>
      <c r="G60" s="241"/>
      <c r="H60" s="241"/>
      <c r="I60" s="241"/>
      <c r="J60" s="241"/>
      <c r="K60" s="241"/>
      <c r="L60" s="241"/>
      <c r="M60" s="241"/>
      <c r="N60" s="241"/>
      <c r="O60" s="241"/>
      <c r="P60" s="241"/>
      <c r="Q60" s="241"/>
      <c r="R60" s="241">
        <f t="shared" si="18"/>
        <v>42719</v>
      </c>
      <c r="S60" s="242"/>
      <c r="T60" s="242"/>
      <c r="U60" s="237"/>
    </row>
    <row r="61" spans="1:21" s="238" customFormat="1" ht="13.9" customHeight="1">
      <c r="A61" s="243" t="s">
        <v>529</v>
      </c>
      <c r="B61" s="240">
        <f>SUM(C61:D61)</f>
        <v>115619</v>
      </c>
      <c r="C61" s="240">
        <f t="shared" ref="C61:R61" si="19">SUM(C55:C60)</f>
        <v>115619</v>
      </c>
      <c r="D61" s="240">
        <f t="shared" si="19"/>
        <v>0</v>
      </c>
      <c r="E61" s="240">
        <f t="shared" si="19"/>
        <v>115619</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115619</v>
      </c>
      <c r="S61" s="242"/>
      <c r="T61" s="242"/>
      <c r="U61" s="237"/>
    </row>
    <row r="62" spans="1:21" s="238" customFormat="1">
      <c r="A62" s="249" t="s">
        <v>530</v>
      </c>
      <c r="B62" s="240">
        <f>SUM(C62:D62)</f>
        <v>7234641</v>
      </c>
      <c r="C62" s="240">
        <f t="shared" ref="C62:R62" si="20">SUM(C8+C11+C13+C14+C15+C26+C27+C38+C42+C43+C53+C61)</f>
        <v>7234641</v>
      </c>
      <c r="D62" s="240">
        <f t="shared" si="20"/>
        <v>0</v>
      </c>
      <c r="E62" s="240">
        <f t="shared" si="20"/>
        <v>3444641</v>
      </c>
      <c r="F62" s="240">
        <f t="shared" si="20"/>
        <v>3790000</v>
      </c>
      <c r="G62" s="240">
        <f t="shared" si="20"/>
        <v>0</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7234641</v>
      </c>
      <c r="S62" s="240">
        <f>SUM(S10+S13+S14+S15+S26+S27+S38+S42+S43+S53)</f>
        <v>1532812</v>
      </c>
      <c r="T62" s="240">
        <f>SUM(T11+T13+T14+T15+T26+T27+T38+T42+T43+T53)</f>
        <v>4345000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C64</f>
        <v>65000</v>
      </c>
      <c r="F64" s="241"/>
      <c r="G64" s="241"/>
      <c r="H64" s="241"/>
      <c r="I64" s="241"/>
      <c r="J64" s="241"/>
      <c r="K64" s="241"/>
      <c r="L64" s="241"/>
      <c r="M64" s="241"/>
      <c r="N64" s="241"/>
      <c r="O64" s="241"/>
      <c r="P64" s="241"/>
      <c r="Q64" s="241"/>
      <c r="R64" s="241">
        <f>SUM(E64:Q64)</f>
        <v>65000</v>
      </c>
      <c r="S64" s="241"/>
      <c r="T64" s="241"/>
      <c r="U64" s="237"/>
    </row>
    <row r="65" spans="1:21" s="238" customFormat="1" ht="24">
      <c r="A65" s="239" t="s">
        <v>2054</v>
      </c>
      <c r="B65" s="240">
        <f>SUM(C65+D65)</f>
        <v>13750</v>
      </c>
      <c r="C65" s="241">
        <v>13750</v>
      </c>
      <c r="D65" s="241"/>
      <c r="E65" s="241">
        <f t="shared" ref="E65:E68" si="21">C65</f>
        <v>13750</v>
      </c>
      <c r="F65" s="241"/>
      <c r="G65" s="241"/>
      <c r="H65" s="241"/>
      <c r="I65" s="241"/>
      <c r="J65" s="241"/>
      <c r="K65" s="241"/>
      <c r="L65" s="241"/>
      <c r="M65" s="241"/>
      <c r="N65" s="241"/>
      <c r="O65" s="241"/>
      <c r="P65" s="241"/>
      <c r="Q65" s="241"/>
      <c r="R65" s="241">
        <f>SUM(E65:Q65)</f>
        <v>13750</v>
      </c>
      <c r="S65" s="241">
        <f>R65</f>
        <v>13750</v>
      </c>
      <c r="T65" s="241"/>
      <c r="U65" s="237"/>
    </row>
    <row r="66" spans="1:21" s="238" customFormat="1" ht="24">
      <c r="A66" s="239" t="s">
        <v>2055</v>
      </c>
      <c r="B66" s="240">
        <f>SUM(C66+D66)</f>
        <v>0</v>
      </c>
      <c r="C66" s="241"/>
      <c r="D66" s="241"/>
      <c r="E66" s="241">
        <f t="shared" si="21"/>
        <v>0</v>
      </c>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c r="A68" s="246" t="s">
        <v>2490</v>
      </c>
      <c r="B68" s="240">
        <f>SUM(C68+D68)</f>
        <v>125000</v>
      </c>
      <c r="C68" s="241">
        <v>125000</v>
      </c>
      <c r="D68" s="241"/>
      <c r="E68" s="241">
        <f t="shared" si="21"/>
        <v>125000</v>
      </c>
      <c r="F68" s="241"/>
      <c r="G68" s="241"/>
      <c r="H68" s="241"/>
      <c r="I68" s="241"/>
      <c r="J68" s="241"/>
      <c r="K68" s="241"/>
      <c r="L68" s="241"/>
      <c r="M68" s="241"/>
      <c r="N68" s="241"/>
      <c r="O68" s="241"/>
      <c r="P68" s="241"/>
      <c r="Q68" s="241"/>
      <c r="R68" s="241">
        <f>SUM(E68:Q68)</f>
        <v>125000</v>
      </c>
      <c r="S68" s="241">
        <v>75000</v>
      </c>
      <c r="T68" s="241">
        <f>12500</f>
        <v>12500</v>
      </c>
      <c r="U68" s="237"/>
    </row>
    <row r="69" spans="1:21" s="238" customFormat="1">
      <c r="A69" s="243" t="s">
        <v>2057</v>
      </c>
      <c r="B69" s="240">
        <f>SUM(C69:D69)</f>
        <v>203750</v>
      </c>
      <c r="C69" s="240">
        <f>SUM(C63:C68)</f>
        <v>203750</v>
      </c>
      <c r="D69" s="240">
        <f>SUM(D63:D68)</f>
        <v>0</v>
      </c>
      <c r="E69" s="240">
        <f>SUM(E64:E68)</f>
        <v>203750</v>
      </c>
      <c r="F69" s="240">
        <f t="shared" ref="F69:T69" si="22">SUM(F64:F68)</f>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203750</v>
      </c>
      <c r="S69" s="244">
        <f t="shared" si="22"/>
        <v>88750</v>
      </c>
      <c r="T69" s="244">
        <f t="shared" si="22"/>
        <v>12500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3">C71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3"/>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120000</v>
      </c>
      <c r="C74" s="241">
        <v>120000</v>
      </c>
      <c r="D74" s="241"/>
      <c r="E74" s="241">
        <f t="shared" si="23"/>
        <v>120000</v>
      </c>
      <c r="F74" s="241"/>
      <c r="G74" s="241"/>
      <c r="H74" s="241"/>
      <c r="I74" s="241"/>
      <c r="J74" s="241"/>
      <c r="K74" s="241"/>
      <c r="L74" s="241"/>
      <c r="M74" s="241"/>
      <c r="N74" s="241"/>
      <c r="O74" s="241"/>
      <c r="P74" s="241"/>
      <c r="Q74" s="241"/>
      <c r="R74" s="241">
        <f>SUM(E74:Q74)</f>
        <v>120000</v>
      </c>
      <c r="S74" s="242"/>
      <c r="T74" s="242"/>
      <c r="U74" s="237"/>
    </row>
    <row r="75" spans="1:21" s="238" customFormat="1">
      <c r="A75" s="246" t="s">
        <v>564</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120000</v>
      </c>
      <c r="C76" s="240">
        <f t="shared" ref="C76:Q76" si="24">SUM(C71:C75)</f>
        <v>120000</v>
      </c>
      <c r="D76" s="240">
        <f t="shared" si="24"/>
        <v>0</v>
      </c>
      <c r="E76" s="240">
        <f>SUM(E71:E75)</f>
        <v>120000</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120000</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130751</v>
      </c>
      <c r="C78" s="241">
        <v>130751</v>
      </c>
      <c r="D78" s="241"/>
      <c r="E78" s="241">
        <f t="shared" ref="E78:E79" si="25">C78</f>
        <v>130751</v>
      </c>
      <c r="F78" s="241"/>
      <c r="G78" s="241"/>
      <c r="H78" s="241"/>
      <c r="I78" s="241"/>
      <c r="J78" s="241"/>
      <c r="K78" s="241"/>
      <c r="L78" s="241"/>
      <c r="M78" s="241"/>
      <c r="N78" s="241"/>
      <c r="O78" s="241"/>
      <c r="P78" s="241"/>
      <c r="Q78" s="241"/>
      <c r="R78" s="241">
        <f>SUM(E78:Q78)</f>
        <v>130751</v>
      </c>
      <c r="S78" s="241">
        <f>R78</f>
        <v>130751</v>
      </c>
      <c r="T78" s="241"/>
      <c r="U78" s="237"/>
    </row>
    <row r="79" spans="1:21" s="238" customFormat="1">
      <c r="A79" s="239" t="s">
        <v>569</v>
      </c>
      <c r="B79" s="240">
        <f>SUM(C79+D79)</f>
        <v>60000</v>
      </c>
      <c r="C79" s="241">
        <v>60000</v>
      </c>
      <c r="D79" s="241"/>
      <c r="E79" s="241">
        <f t="shared" si="25"/>
        <v>60000</v>
      </c>
      <c r="F79" s="241"/>
      <c r="G79" s="241"/>
      <c r="H79" s="241"/>
      <c r="I79" s="241"/>
      <c r="J79" s="241"/>
      <c r="K79" s="241"/>
      <c r="L79" s="241"/>
      <c r="M79" s="241"/>
      <c r="N79" s="241"/>
      <c r="O79" s="241"/>
      <c r="P79" s="241"/>
      <c r="Q79" s="241"/>
      <c r="R79" s="241">
        <f>SUM(E79:Q79)</f>
        <v>60000</v>
      </c>
      <c r="S79" s="241">
        <f>R79</f>
        <v>60000</v>
      </c>
      <c r="T79" s="241"/>
      <c r="U79" s="237"/>
    </row>
    <row r="80" spans="1:21" s="238" customFormat="1">
      <c r="A80" s="243" t="s">
        <v>1819</v>
      </c>
      <c r="B80" s="240">
        <f>SUM(C80:D80)</f>
        <v>190751</v>
      </c>
      <c r="C80" s="681">
        <f>SUM(C78:C79)</f>
        <v>190751</v>
      </c>
      <c r="D80" s="681">
        <f t="shared" ref="D80:R80" si="26">SUM(D78:D79)</f>
        <v>0</v>
      </c>
      <c r="E80" s="681">
        <f t="shared" si="26"/>
        <v>190751</v>
      </c>
      <c r="F80" s="681">
        <f t="shared" si="26"/>
        <v>0</v>
      </c>
      <c r="G80" s="681">
        <f t="shared" si="26"/>
        <v>0</v>
      </c>
      <c r="H80" s="681">
        <f t="shared" si="26"/>
        <v>0</v>
      </c>
      <c r="I80" s="681">
        <f t="shared" si="26"/>
        <v>0</v>
      </c>
      <c r="J80" s="681">
        <f t="shared" si="26"/>
        <v>0</v>
      </c>
      <c r="K80" s="681">
        <f t="shared" si="26"/>
        <v>0</v>
      </c>
      <c r="L80" s="681">
        <f t="shared" si="26"/>
        <v>0</v>
      </c>
      <c r="M80" s="681">
        <f t="shared" si="26"/>
        <v>0</v>
      </c>
      <c r="N80" s="681">
        <f t="shared" si="26"/>
        <v>0</v>
      </c>
      <c r="O80" s="681">
        <f t="shared" si="26"/>
        <v>0</v>
      </c>
      <c r="P80" s="681">
        <f t="shared" si="26"/>
        <v>0</v>
      </c>
      <c r="Q80" s="681">
        <f t="shared" si="26"/>
        <v>0</v>
      </c>
      <c r="R80" s="681">
        <f t="shared" si="26"/>
        <v>190751</v>
      </c>
      <c r="S80" s="681">
        <f>SUM(S78:S79)</f>
        <v>190751</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9833</v>
      </c>
      <c r="C82" s="241">
        <v>9833</v>
      </c>
      <c r="D82" s="241"/>
      <c r="E82" s="241">
        <f t="shared" ref="E82:E94" si="27">C82</f>
        <v>9833</v>
      </c>
      <c r="F82" s="241"/>
      <c r="G82" s="241"/>
      <c r="H82" s="241"/>
      <c r="I82" s="241"/>
      <c r="J82" s="241"/>
      <c r="K82" s="241"/>
      <c r="L82" s="241"/>
      <c r="M82" s="241"/>
      <c r="N82" s="241"/>
      <c r="O82" s="241"/>
      <c r="P82" s="241"/>
      <c r="Q82" s="241"/>
      <c r="R82" s="241">
        <f>SUM(E82:Q82)</f>
        <v>9833</v>
      </c>
      <c r="S82" s="242"/>
      <c r="T82" s="242"/>
      <c r="U82" s="237"/>
    </row>
    <row r="83" spans="1:21" s="238" customFormat="1">
      <c r="A83" s="239" t="s">
        <v>547</v>
      </c>
      <c r="B83" s="240">
        <f t="shared" ref="B83:B93" si="28">SUM(C83+D83)</f>
        <v>60995</v>
      </c>
      <c r="C83" s="241">
        <f>20595+11200+20000+9200</f>
        <v>60995</v>
      </c>
      <c r="D83" s="241"/>
      <c r="E83" s="241">
        <f t="shared" si="27"/>
        <v>60995</v>
      </c>
      <c r="F83" s="241"/>
      <c r="G83" s="241"/>
      <c r="H83" s="241"/>
      <c r="I83" s="241"/>
      <c r="J83" s="241"/>
      <c r="K83" s="241"/>
      <c r="L83" s="241"/>
      <c r="M83" s="241"/>
      <c r="N83" s="241"/>
      <c r="O83" s="241"/>
      <c r="P83" s="241"/>
      <c r="Q83" s="241"/>
      <c r="R83" s="241">
        <f t="shared" ref="R83:R93" si="29">SUM(E83:Q83)</f>
        <v>60995</v>
      </c>
      <c r="S83" s="241">
        <f>R83</f>
        <v>60995</v>
      </c>
      <c r="T83" s="241"/>
      <c r="U83" s="237"/>
    </row>
    <row r="84" spans="1:21" s="238" customFormat="1">
      <c r="A84" s="239" t="s">
        <v>548</v>
      </c>
      <c r="B84" s="240">
        <f t="shared" si="28"/>
        <v>0</v>
      </c>
      <c r="C84" s="241"/>
      <c r="D84" s="241"/>
      <c r="E84" s="241">
        <f t="shared" si="27"/>
        <v>0</v>
      </c>
      <c r="F84" s="241"/>
      <c r="G84" s="241"/>
      <c r="H84" s="241"/>
      <c r="I84" s="241"/>
      <c r="J84" s="241"/>
      <c r="K84" s="241"/>
      <c r="L84" s="241"/>
      <c r="M84" s="241"/>
      <c r="N84" s="241"/>
      <c r="O84" s="241"/>
      <c r="P84" s="241"/>
      <c r="Q84" s="241"/>
      <c r="R84" s="241">
        <f t="shared" si="29"/>
        <v>0</v>
      </c>
      <c r="S84" s="241">
        <f t="shared" ref="S84:S85" si="30">R84</f>
        <v>0</v>
      </c>
      <c r="T84" s="241"/>
      <c r="U84" s="237"/>
    </row>
    <row r="85" spans="1:21" s="238" customFormat="1">
      <c r="A85" s="239" t="s">
        <v>549</v>
      </c>
      <c r="B85" s="240">
        <f t="shared" si="28"/>
        <v>70000</v>
      </c>
      <c r="C85" s="241">
        <v>70000</v>
      </c>
      <c r="D85" s="241"/>
      <c r="E85" s="241">
        <f t="shared" si="27"/>
        <v>70000</v>
      </c>
      <c r="F85" s="241"/>
      <c r="G85" s="241"/>
      <c r="H85" s="241"/>
      <c r="I85" s="241"/>
      <c r="J85" s="241"/>
      <c r="K85" s="241"/>
      <c r="L85" s="241"/>
      <c r="M85" s="241"/>
      <c r="N85" s="241"/>
      <c r="O85" s="241"/>
      <c r="P85" s="241"/>
      <c r="Q85" s="241"/>
      <c r="R85" s="241">
        <f t="shared" si="29"/>
        <v>70000</v>
      </c>
      <c r="S85" s="241">
        <f t="shared" si="30"/>
        <v>70000</v>
      </c>
      <c r="T85" s="241"/>
      <c r="U85" s="237"/>
    </row>
    <row r="86" spans="1:21" s="238" customFormat="1">
      <c r="A86" s="239" t="s">
        <v>550</v>
      </c>
      <c r="B86" s="240">
        <f t="shared" si="28"/>
        <v>25000</v>
      </c>
      <c r="C86" s="241">
        <v>25000</v>
      </c>
      <c r="D86" s="241"/>
      <c r="E86" s="241">
        <f t="shared" si="27"/>
        <v>25000</v>
      </c>
      <c r="F86" s="241"/>
      <c r="G86" s="241"/>
      <c r="H86" s="241"/>
      <c r="I86" s="241"/>
      <c r="J86" s="241"/>
      <c r="K86" s="241"/>
      <c r="L86" s="241"/>
      <c r="M86" s="241"/>
      <c r="N86" s="241"/>
      <c r="O86" s="241"/>
      <c r="P86" s="241"/>
      <c r="Q86" s="241"/>
      <c r="R86" s="241">
        <f t="shared" si="29"/>
        <v>25000</v>
      </c>
      <c r="S86" s="241"/>
      <c r="T86" s="241"/>
      <c r="U86" s="237"/>
    </row>
    <row r="87" spans="1:21" s="238" customFormat="1">
      <c r="A87" s="239" t="s">
        <v>551</v>
      </c>
      <c r="B87" s="240">
        <f t="shared" si="28"/>
        <v>0</v>
      </c>
      <c r="C87" s="241"/>
      <c r="D87" s="241"/>
      <c r="E87" s="241">
        <f t="shared" si="27"/>
        <v>0</v>
      </c>
      <c r="F87" s="241"/>
      <c r="G87" s="241"/>
      <c r="H87" s="241"/>
      <c r="I87" s="241"/>
      <c r="J87" s="241"/>
      <c r="K87" s="241"/>
      <c r="L87" s="241"/>
      <c r="M87" s="241"/>
      <c r="N87" s="241"/>
      <c r="O87" s="241"/>
      <c r="P87" s="241"/>
      <c r="Q87" s="241"/>
      <c r="R87" s="241">
        <f t="shared" si="29"/>
        <v>0</v>
      </c>
      <c r="S87" s="242"/>
      <c r="T87" s="242"/>
      <c r="U87" s="237"/>
    </row>
    <row r="88" spans="1:21" s="238" customFormat="1">
      <c r="A88" s="239" t="s">
        <v>552</v>
      </c>
      <c r="B88" s="240">
        <f t="shared" si="28"/>
        <v>0</v>
      </c>
      <c r="C88" s="241"/>
      <c r="D88" s="241"/>
      <c r="E88" s="241">
        <f t="shared" si="27"/>
        <v>0</v>
      </c>
      <c r="F88" s="241"/>
      <c r="G88" s="241"/>
      <c r="H88" s="241"/>
      <c r="I88" s="241"/>
      <c r="J88" s="241"/>
      <c r="K88" s="241"/>
      <c r="L88" s="241"/>
      <c r="M88" s="241"/>
      <c r="N88" s="241"/>
      <c r="O88" s="241"/>
      <c r="P88" s="241"/>
      <c r="Q88" s="241"/>
      <c r="R88" s="241">
        <f t="shared" si="29"/>
        <v>0</v>
      </c>
      <c r="S88" s="241"/>
      <c r="T88" s="241"/>
      <c r="U88" s="237"/>
    </row>
    <row r="89" spans="1:21" s="238" customFormat="1">
      <c r="A89" s="239" t="s">
        <v>553</v>
      </c>
      <c r="B89" s="240">
        <f t="shared" si="28"/>
        <v>7500</v>
      </c>
      <c r="C89" s="241">
        <f>7500</f>
        <v>7500</v>
      </c>
      <c r="D89" s="241"/>
      <c r="E89" s="241">
        <f t="shared" si="27"/>
        <v>7500</v>
      </c>
      <c r="F89" s="241"/>
      <c r="G89" s="241"/>
      <c r="H89" s="241"/>
      <c r="I89" s="241"/>
      <c r="J89" s="241"/>
      <c r="K89" s="241"/>
      <c r="L89" s="241"/>
      <c r="M89" s="241"/>
      <c r="N89" s="241"/>
      <c r="O89" s="241"/>
      <c r="P89" s="241"/>
      <c r="Q89" s="241"/>
      <c r="R89" s="241">
        <f t="shared" si="29"/>
        <v>7500</v>
      </c>
      <c r="S89" s="241">
        <f t="shared" ref="S89:S92" si="31">R89</f>
        <v>7500</v>
      </c>
      <c r="T89" s="241"/>
      <c r="U89" s="237"/>
    </row>
    <row r="90" spans="1:21" s="238" customFormat="1">
      <c r="A90" s="250" t="s">
        <v>1368</v>
      </c>
      <c r="B90" s="240">
        <f t="shared" si="28"/>
        <v>15000</v>
      </c>
      <c r="C90" s="241">
        <v>15000</v>
      </c>
      <c r="D90" s="241"/>
      <c r="E90" s="241">
        <f t="shared" si="27"/>
        <v>15000</v>
      </c>
      <c r="F90" s="241"/>
      <c r="G90" s="241"/>
      <c r="H90" s="241"/>
      <c r="I90" s="241"/>
      <c r="J90" s="241"/>
      <c r="K90" s="241"/>
      <c r="L90" s="241"/>
      <c r="M90" s="241"/>
      <c r="N90" s="241"/>
      <c r="O90" s="241"/>
      <c r="P90" s="241"/>
      <c r="Q90" s="241"/>
      <c r="R90" s="241">
        <f t="shared" si="29"/>
        <v>15000</v>
      </c>
      <c r="S90" s="241">
        <f t="shared" si="31"/>
        <v>15000</v>
      </c>
      <c r="T90" s="241"/>
      <c r="U90" s="237"/>
    </row>
    <row r="91" spans="1:21" s="238" customFormat="1">
      <c r="A91" s="250" t="s">
        <v>1817</v>
      </c>
      <c r="B91" s="240">
        <f t="shared" si="28"/>
        <v>21000</v>
      </c>
      <c r="C91" s="241">
        <v>21000</v>
      </c>
      <c r="D91" s="241"/>
      <c r="E91" s="241">
        <f t="shared" si="27"/>
        <v>21000</v>
      </c>
      <c r="F91" s="241"/>
      <c r="G91" s="241"/>
      <c r="H91" s="241"/>
      <c r="I91" s="241"/>
      <c r="J91" s="241"/>
      <c r="K91" s="241"/>
      <c r="L91" s="241"/>
      <c r="M91" s="241"/>
      <c r="N91" s="241"/>
      <c r="O91" s="241"/>
      <c r="P91" s="241"/>
      <c r="Q91" s="241"/>
      <c r="R91" s="241">
        <f t="shared" si="29"/>
        <v>21000</v>
      </c>
      <c r="S91" s="241">
        <f>R91</f>
        <v>21000</v>
      </c>
      <c r="T91" s="241"/>
      <c r="U91" s="237"/>
    </row>
    <row r="92" spans="1:21" s="238" customFormat="1">
      <c r="A92" s="246" t="s">
        <v>2541</v>
      </c>
      <c r="B92" s="240">
        <f t="shared" si="28"/>
        <v>26300</v>
      </c>
      <c r="C92" s="241">
        <f>23100+3200</f>
        <v>26300</v>
      </c>
      <c r="D92" s="241"/>
      <c r="E92" s="241">
        <f t="shared" si="27"/>
        <v>26300</v>
      </c>
      <c r="F92" s="241"/>
      <c r="G92" s="241"/>
      <c r="H92" s="241"/>
      <c r="I92" s="241"/>
      <c r="J92" s="241"/>
      <c r="K92" s="241"/>
      <c r="L92" s="241"/>
      <c r="M92" s="241"/>
      <c r="N92" s="241"/>
      <c r="O92" s="241"/>
      <c r="P92" s="241"/>
      <c r="Q92" s="241"/>
      <c r="R92" s="241">
        <f t="shared" si="29"/>
        <v>26300</v>
      </c>
      <c r="S92" s="241">
        <f t="shared" si="31"/>
        <v>26300</v>
      </c>
      <c r="T92" s="241"/>
      <c r="U92" s="237"/>
    </row>
    <row r="93" spans="1:21" s="238" customFormat="1">
      <c r="A93" s="246" t="s">
        <v>2546</v>
      </c>
      <c r="B93" s="240">
        <f t="shared" si="28"/>
        <v>0</v>
      </c>
      <c r="C93" s="241">
        <v>0</v>
      </c>
      <c r="D93" s="241"/>
      <c r="E93" s="241">
        <f t="shared" si="27"/>
        <v>0</v>
      </c>
      <c r="F93" s="241"/>
      <c r="G93" s="241"/>
      <c r="H93" s="241"/>
      <c r="I93" s="241"/>
      <c r="J93" s="241"/>
      <c r="K93" s="241"/>
      <c r="L93" s="241"/>
      <c r="M93" s="241"/>
      <c r="N93" s="241"/>
      <c r="O93" s="241"/>
      <c r="P93" s="241"/>
      <c r="Q93" s="241"/>
      <c r="R93" s="241">
        <f t="shared" si="29"/>
        <v>0</v>
      </c>
      <c r="S93" s="241"/>
      <c r="T93" s="241"/>
      <c r="U93" s="237"/>
    </row>
    <row r="94" spans="1:21" s="238" customFormat="1">
      <c r="A94" s="246" t="s">
        <v>2546</v>
      </c>
      <c r="B94" s="240">
        <f>SUM(C94+D94)</f>
        <v>0</v>
      </c>
      <c r="C94" s="241">
        <v>0</v>
      </c>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235628</v>
      </c>
      <c r="C95" s="240">
        <f t="shared" ref="C95:R95" si="32">SUM(C82:C94)</f>
        <v>235628</v>
      </c>
      <c r="D95" s="240">
        <f t="shared" si="32"/>
        <v>0</v>
      </c>
      <c r="E95" s="240">
        <f t="shared" si="32"/>
        <v>235628</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235628</v>
      </c>
      <c r="S95" s="244">
        <f>SUM(S83:S86,S88:S94)</f>
        <v>200795</v>
      </c>
      <c r="T95" s="240">
        <f>SUM(T83:T86,T88:T94)</f>
        <v>0</v>
      </c>
      <c r="U95" s="237"/>
    </row>
    <row r="96" spans="1:21" s="238" customFormat="1">
      <c r="A96" s="243" t="s">
        <v>555</v>
      </c>
      <c r="B96" s="240">
        <f>SUM(C96:D96)</f>
        <v>7984770</v>
      </c>
      <c r="C96" s="240">
        <f t="shared" ref="C96:R96" si="33">SUM(C62+C69+C76+C80+C95)</f>
        <v>7984770</v>
      </c>
      <c r="D96" s="240">
        <f t="shared" si="33"/>
        <v>0</v>
      </c>
      <c r="E96" s="240">
        <f t="shared" si="33"/>
        <v>4194770</v>
      </c>
      <c r="F96" s="240">
        <f t="shared" si="33"/>
        <v>3790000</v>
      </c>
      <c r="G96" s="240">
        <f t="shared" si="33"/>
        <v>0</v>
      </c>
      <c r="H96" s="240">
        <f t="shared" si="33"/>
        <v>0</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7984770</v>
      </c>
      <c r="S96" s="244">
        <f>SUM(+S62+S69+S80+S95)</f>
        <v>2013108</v>
      </c>
      <c r="T96" s="244">
        <f>SUM(T62+T69+T80+T95)</f>
        <v>4357500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519841</v>
      </c>
      <c r="C98" s="241">
        <v>519841</v>
      </c>
      <c r="D98" s="241"/>
      <c r="E98" s="241">
        <f>+C98-G98</f>
        <v>293759</v>
      </c>
      <c r="F98" s="241"/>
      <c r="G98" s="241">
        <v>226082</v>
      </c>
      <c r="H98" s="241"/>
      <c r="I98" s="241"/>
      <c r="J98" s="241"/>
      <c r="K98" s="241"/>
      <c r="L98" s="241"/>
      <c r="M98" s="241"/>
      <c r="N98" s="241"/>
      <c r="O98" s="241"/>
      <c r="P98" s="241"/>
      <c r="Q98" s="241"/>
      <c r="R98" s="241">
        <f>SUM(E98:Q98)</f>
        <v>519841</v>
      </c>
      <c r="S98" s="241">
        <v>301966</v>
      </c>
      <c r="T98" s="241">
        <v>217875</v>
      </c>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2546</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519841</v>
      </c>
      <c r="C103" s="240">
        <f t="shared" ref="C103:T103" si="34">SUM(C98:C102)</f>
        <v>519841</v>
      </c>
      <c r="D103" s="240">
        <f t="shared" si="34"/>
        <v>0</v>
      </c>
      <c r="E103" s="240">
        <f t="shared" si="34"/>
        <v>293759</v>
      </c>
      <c r="F103" s="240">
        <f t="shared" si="34"/>
        <v>0</v>
      </c>
      <c r="G103" s="240">
        <f t="shared" si="34"/>
        <v>226082</v>
      </c>
      <c r="H103" s="240">
        <f t="shared" si="34"/>
        <v>0</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519841</v>
      </c>
      <c r="S103" s="244">
        <f t="shared" si="34"/>
        <v>301966</v>
      </c>
      <c r="T103" s="244">
        <f t="shared" si="34"/>
        <v>217875</v>
      </c>
      <c r="U103" s="237"/>
    </row>
    <row r="104" spans="1:21" s="238" customFormat="1">
      <c r="A104" s="243" t="s">
        <v>1204</v>
      </c>
      <c r="B104" s="244">
        <f>SUM(C104:D104)</f>
        <v>8504611</v>
      </c>
      <c r="C104" s="244">
        <f t="shared" ref="C104:R104" si="35">SUM(C96+C103)</f>
        <v>8504611</v>
      </c>
      <c r="D104" s="244">
        <f t="shared" si="35"/>
        <v>0</v>
      </c>
      <c r="E104" s="244">
        <f t="shared" si="35"/>
        <v>4488529</v>
      </c>
      <c r="F104" s="244">
        <f t="shared" si="35"/>
        <v>3790000</v>
      </c>
      <c r="G104" s="244">
        <f t="shared" si="35"/>
        <v>226082</v>
      </c>
      <c r="H104" s="244">
        <f t="shared" si="35"/>
        <v>0</v>
      </c>
      <c r="I104" s="244">
        <f t="shared" si="35"/>
        <v>0</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8504611</v>
      </c>
      <c r="S104" s="244">
        <f>S96+S103</f>
        <v>2315074</v>
      </c>
      <c r="T104" s="244">
        <f>T96+T103</f>
        <v>4575375</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2315074</v>
      </c>
      <c r="T106" s="244">
        <f>T104+T105</f>
        <v>4575375</v>
      </c>
      <c r="U106" s="256"/>
    </row>
    <row r="107" spans="1:21" s="258" customFormat="1">
      <c r="A107" s="257" t="s">
        <v>1154</v>
      </c>
      <c r="B107" s="252"/>
      <c r="C107" s="252"/>
      <c r="D107" s="252"/>
      <c r="E107" s="240">
        <f>Application!AO631</f>
        <v>4488529</v>
      </c>
      <c r="F107" s="240">
        <f>Application!AO618</f>
        <v>3790000</v>
      </c>
      <c r="G107" s="240">
        <f>Application!AO619</f>
        <v>226082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5" t="s">
        <v>1344</v>
      </c>
      <c r="E122" s="1585"/>
      <c r="F122" s="1585"/>
      <c r="U122" s="256"/>
    </row>
    <row r="123" spans="1:21" s="253" customFormat="1">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1351</v>
      </c>
      <c r="E129" s="1584"/>
      <c r="F129" s="1584"/>
      <c r="G129" s="1584"/>
      <c r="H129" s="1584"/>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75">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1357</v>
      </c>
      <c r="B139" s="1586"/>
      <c r="C139" s="1586"/>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B56" sqref="AB56:AF5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4575375</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2.95" customHeight="1">
      <c r="B18" s="961"/>
      <c r="C18" s="1622" t="s">
        <v>1269</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2.95" customHeight="1">
      <c r="B19" s="498"/>
      <c r="C19" s="1622" t="s">
        <v>1269</v>
      </c>
      <c r="D19" s="1622"/>
      <c r="E19" s="1622"/>
      <c r="F19" s="1622"/>
      <c r="G19" s="1622"/>
      <c r="H19" s="1622"/>
      <c r="I19" s="1622"/>
      <c r="J19" s="1622"/>
      <c r="K19" s="1622"/>
      <c r="L19" s="1622"/>
      <c r="M19" s="1622"/>
      <c r="N19" s="1622"/>
      <c r="O19" s="1622"/>
      <c r="P19" s="1622"/>
      <c r="Q19" s="1622"/>
      <c r="R19" s="1622"/>
      <c r="S19" s="1623"/>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2.9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2.95" customHeight="1">
      <c r="B21" s="1096" t="s">
        <v>1788</v>
      </c>
      <c r="C21" s="1097"/>
      <c r="D21" s="1097"/>
      <c r="E21" s="1097"/>
      <c r="F21" s="1097"/>
      <c r="G21" s="1097"/>
      <c r="H21" s="1097"/>
      <c r="I21" s="1097"/>
      <c r="J21" s="1097"/>
      <c r="K21" s="1097"/>
      <c r="L21" s="1097"/>
      <c r="M21" s="1097"/>
      <c r="N21" s="1097"/>
      <c r="O21" s="1097"/>
      <c r="P21" s="1097"/>
      <c r="Q21" s="1097"/>
      <c r="R21" s="1097"/>
      <c r="S21" s="1099"/>
      <c r="T21" s="1067"/>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2.9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2.95" customHeight="1">
      <c r="B23" s="1096" t="s">
        <v>2001</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0</v>
      </c>
      <c r="Z23" s="1316"/>
      <c r="AA23" s="1316"/>
      <c r="AB23" s="1316"/>
      <c r="AC23" s="1316"/>
      <c r="AD23" s="1596">
        <f>IF(AD11=AD21,0,AD11)</f>
        <v>4575375</v>
      </c>
      <c r="AE23" s="1316"/>
      <c r="AF23" s="1316"/>
      <c r="AG23" s="1316"/>
      <c r="AH23" s="1316"/>
      <c r="AI23" s="1596">
        <f>IF(AI11=AI21,0,AI11)</f>
        <v>0</v>
      </c>
      <c r="AJ23" s="1316"/>
      <c r="AK23" s="1316"/>
      <c r="AL23" s="1316"/>
      <c r="AM23" s="1316"/>
    </row>
    <row r="24" spans="1:39" ht="12.9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Application!AJ988</f>
        <v>7987456</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2003</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0</v>
      </c>
      <c r="Z26" s="1608"/>
      <c r="AA26" s="1608"/>
      <c r="AB26" s="1608"/>
      <c r="AC26" s="1608"/>
      <c r="AD26" s="1240">
        <f>AD23*AD25</f>
        <v>4575375</v>
      </c>
      <c r="AE26" s="1608"/>
      <c r="AF26" s="1608"/>
      <c r="AG26" s="1608"/>
      <c r="AH26" s="1608"/>
      <c r="AI26" s="1240">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0</v>
      </c>
      <c r="Z28" s="1608"/>
      <c r="AA28" s="1608"/>
      <c r="AB28" s="1608"/>
      <c r="AC28" s="1608"/>
      <c r="AD28" s="1240">
        <f>IF(ISERROR((AD26*AD27)),0,(AD26*AD27))</f>
        <v>4575375</v>
      </c>
      <c r="AE28" s="1608"/>
      <c r="AF28" s="1608"/>
      <c r="AG28" s="1608"/>
      <c r="AH28" s="1608"/>
      <c r="AI28" s="1240">
        <f>IF(ISERROR((AI26*AI27)),0,(AI26*AI27))</f>
        <v>0</v>
      </c>
      <c r="AJ28" s="1608"/>
      <c r="AK28" s="1608"/>
      <c r="AL28" s="1608"/>
      <c r="AM28" s="1608"/>
    </row>
    <row r="29" spans="1:39" ht="12.9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6890449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3" t="s">
        <v>2002</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1" t="s">
        <v>2004</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4" ht="12.95" customHeight="1">
      <c r="B36" s="204"/>
      <c r="X36" s="71"/>
      <c r="Y36" s="1599"/>
      <c r="Z36" s="1599"/>
      <c r="AA36" s="1599"/>
      <c r="AB36" s="1599"/>
      <c r="AC36" s="1599"/>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2.9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2315074</v>
      </c>
      <c r="Z38" s="1316"/>
      <c r="AA38" s="1316"/>
      <c r="AB38" s="1316"/>
      <c r="AC38" s="1316"/>
      <c r="AD38" s="1316">
        <f>IF(T24&gt;=(T23+Y23+AD23+AI23),AD28+AI28,0)</f>
        <v>4575375</v>
      </c>
      <c r="AE38" s="1316"/>
      <c r="AF38" s="1316"/>
      <c r="AG38" s="1316"/>
      <c r="AH38" s="1316"/>
    </row>
    <row r="39" spans="1:44" ht="12.95"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2.9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208357</v>
      </c>
      <c r="Z40" s="1316"/>
      <c r="AA40" s="1316"/>
      <c r="AB40" s="1316"/>
      <c r="AC40" s="1316"/>
      <c r="AD40" s="1596">
        <f>ROUND(AD38*AD39,0)</f>
        <v>183015</v>
      </c>
      <c r="AE40" s="1316"/>
      <c r="AF40" s="1316"/>
      <c r="AG40" s="1316"/>
      <c r="AH40" s="1316"/>
    </row>
    <row r="41" spans="1:44" ht="12.9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391372</v>
      </c>
      <c r="Z41" s="1598"/>
      <c r="AA41" s="1598"/>
      <c r="AB41" s="1598"/>
      <c r="AC41" s="1598"/>
      <c r="AD41" s="1598"/>
      <c r="AE41" s="1598"/>
      <c r="AF41" s="1598"/>
      <c r="AG41" s="1598"/>
      <c r="AH41" s="1596"/>
    </row>
    <row r="42" spans="1:44" ht="12.95" customHeight="1">
      <c r="A42" s="3"/>
      <c r="B42" s="1607" t="s">
        <v>1896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391372</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391372</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5">
        <f>'Sources and Uses Budget'!B104-(MAX(IF('Sources and Uses Budget'!B15="",0,'Sources and Uses Budget'!B15),IF(Application!AG387="",0,Application!AG387)))</f>
        <v>8504611</v>
      </c>
      <c r="AC46" s="1156"/>
      <c r="AD46" s="1156"/>
      <c r="AE46" s="1156"/>
      <c r="AF46" s="1157"/>
    </row>
    <row r="47" spans="1:44" ht="12.95" customHeight="1">
      <c r="D47" s="3" t="s">
        <v>878</v>
      </c>
      <c r="AB47" s="1155">
        <f>Application!AO630-MAX(IF('Sources and Uses Budget'!B15="",0,'Sources and Uses Budget'!B15),IF(Application!AG387="",0,Application!AG387))</f>
        <v>4016082</v>
      </c>
      <c r="AC47" s="1156"/>
      <c r="AD47" s="1156"/>
      <c r="AE47" s="1156"/>
      <c r="AF47" s="1157"/>
    </row>
    <row r="48" spans="1:44" ht="12.95" customHeight="1">
      <c r="D48" s="3" t="s">
        <v>403</v>
      </c>
      <c r="AB48" s="1155">
        <f>AB46-AB47</f>
        <v>4488529</v>
      </c>
      <c r="AC48" s="1156"/>
      <c r="AD48" s="1156"/>
      <c r="AE48" s="1156"/>
      <c r="AF48" s="1157"/>
    </row>
    <row r="49" spans="1:40" ht="12.95" customHeight="1">
      <c r="D49" s="3" t="s">
        <v>913</v>
      </c>
      <c r="AA49" s="34"/>
      <c r="AB49" s="1602">
        <v>0.88990999999999998</v>
      </c>
      <c r="AC49" s="1603"/>
      <c r="AD49" s="1603"/>
      <c r="AE49" s="1603"/>
      <c r="AF49" s="1604"/>
    </row>
    <row r="50" spans="1:40" s="324" customFormat="1" ht="12.95" customHeight="1">
      <c r="A50"/>
      <c r="B50"/>
      <c r="C50"/>
      <c r="D50"/>
      <c r="E50" s="1612" t="s">
        <v>2051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5">
        <f>ROUND(IF(ISERROR((AB48/AB49)),0,(AB48/AB49)),0)</f>
        <v>5043801</v>
      </c>
      <c r="AC53" s="1156"/>
      <c r="AD53" s="1156"/>
      <c r="AE53" s="1156"/>
      <c r="AF53" s="1157"/>
    </row>
    <row r="54" spans="1:40" ht="12.95" customHeight="1">
      <c r="D54" s="3" t="s">
        <v>592</v>
      </c>
      <c r="AB54" s="1155">
        <f>(AB53/10)</f>
        <v>504380.1</v>
      </c>
      <c r="AC54" s="1156"/>
      <c r="AD54" s="1156"/>
      <c r="AE54" s="1156"/>
      <c r="AF54" s="1157"/>
    </row>
    <row r="55" spans="1:40" ht="12.95" customHeight="1">
      <c r="D55" s="3" t="s">
        <v>362</v>
      </c>
      <c r="AB55" s="1609">
        <f>(IF((Y41&lt;AB54),Y41,AB54))</f>
        <v>391372</v>
      </c>
      <c r="AC55" s="1610"/>
      <c r="AD55" s="1610"/>
      <c r="AE55" s="1610"/>
      <c r="AF55" s="1611"/>
    </row>
    <row r="56" spans="1:40" ht="12.95" customHeight="1">
      <c r="D56" s="3" t="s">
        <v>115</v>
      </c>
      <c r="AB56" s="1155">
        <f>ROUND((10*AB55*AB49),0)</f>
        <v>3482859</v>
      </c>
      <c r="AC56" s="1156"/>
      <c r="AD56" s="1156"/>
      <c r="AE56" s="1156"/>
      <c r="AF56" s="1157"/>
    </row>
    <row r="57" spans="1:40" ht="12.95" customHeight="1">
      <c r="D57" s="3"/>
      <c r="AB57" s="276"/>
      <c r="AC57" s="276"/>
      <c r="AD57" s="276"/>
      <c r="AE57" s="276"/>
      <c r="AF57" s="276"/>
    </row>
    <row r="58" spans="1:40" ht="12.95" customHeight="1">
      <c r="D58" s="3" t="s">
        <v>114</v>
      </c>
      <c r="AB58" s="1161">
        <f>AB48-AB56</f>
        <v>1005670</v>
      </c>
      <c r="AC58" s="1161"/>
      <c r="AD58" s="1161"/>
      <c r="AE58" s="1161"/>
      <c r="AF58" s="116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2315074</v>
      </c>
      <c r="Z63" s="1605"/>
      <c r="AA63" s="1605"/>
      <c r="AB63" s="1605"/>
      <c r="AC63" s="1605"/>
      <c r="AD63" s="1316">
        <f>IF(AND(T25=1.3,Application!D214="At-Risk"),AI28,IF(Application!D214&lt;&gt;"At-Risk",0,AD28))</f>
        <v>4575375</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2">
        <v>0.78</v>
      </c>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2">
        <f>ROUND(IF(ISERROR((AB58/AB70)),0,(AB58/AB70)),0)</f>
        <v>1289321</v>
      </c>
      <c r="AC75" s="1222"/>
      <c r="AD75" s="1222"/>
      <c r="AE75" s="1222"/>
      <c r="AF75" s="1222"/>
    </row>
    <row r="76" spans="1:34" ht="12.95" customHeight="1">
      <c r="C76" s="3"/>
      <c r="D76" s="3" t="s">
        <v>113</v>
      </c>
      <c r="AB76" s="1217">
        <f>IF((Y67+AD67&lt;AB75),Y67+AD67,AB75)</f>
        <v>1289321</v>
      </c>
      <c r="AC76" s="1218"/>
      <c r="AD76" s="1218"/>
      <c r="AE76" s="1218"/>
      <c r="AF76" s="1219"/>
    </row>
    <row r="77" spans="1:34" ht="12.95" customHeight="1">
      <c r="C77" s="3"/>
      <c r="D77" s="3" t="s">
        <v>986</v>
      </c>
      <c r="AB77" s="1600">
        <f>AB76*AB70</f>
        <v>1005670.38</v>
      </c>
      <c r="AC77" s="1600"/>
      <c r="AD77" s="1600"/>
      <c r="AE77" s="1600"/>
      <c r="AF77" s="1600"/>
    </row>
    <row r="78" spans="1:34" ht="12.95" customHeight="1">
      <c r="C78" s="3"/>
      <c r="D78" s="3"/>
      <c r="AB78" s="613"/>
      <c r="AC78" s="613"/>
      <c r="AD78" s="613"/>
      <c r="AE78" s="613"/>
      <c r="AF78" s="613"/>
    </row>
    <row r="79" spans="1:34" ht="12.95" customHeight="1">
      <c r="D79" s="3" t="s">
        <v>114</v>
      </c>
      <c r="AB79" s="1161">
        <f>AB48-(AB56+AB77)</f>
        <v>-0.37999999988824129</v>
      </c>
      <c r="AC79" s="1161"/>
      <c r="AD79" s="1161"/>
      <c r="AE79" s="1161"/>
      <c r="AF79" s="1161"/>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 workbookViewId="0">
      <selection activeCell="J40" sqref="J40"/>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1080000</v>
      </c>
      <c r="C4" s="600"/>
      <c r="D4" s="600">
        <v>1080000</v>
      </c>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1080000</v>
      </c>
      <c r="C8" s="599">
        <f>SUM(C4:C7)</f>
        <v>0</v>
      </c>
      <c r="D8" s="599">
        <f>SUM(D4:D7)</f>
        <v>1080000</v>
      </c>
      <c r="E8" s="601"/>
      <c r="F8" s="601"/>
      <c r="G8" s="601"/>
      <c r="H8" s="601"/>
      <c r="I8" s="601"/>
      <c r="J8" s="601"/>
      <c r="K8" s="594"/>
    </row>
    <row r="9" spans="1:11" s="253" customFormat="1">
      <c r="A9" s="239" t="s">
        <v>1797</v>
      </c>
      <c r="B9" s="599">
        <f>'Sources and Uses Budget'!C9</f>
        <v>4260000</v>
      </c>
      <c r="C9" s="600"/>
      <c r="D9" s="600">
        <v>4260000</v>
      </c>
      <c r="E9" s="601"/>
      <c r="F9" s="601"/>
      <c r="G9" s="601"/>
      <c r="H9" s="599">
        <f>'Sources and Uses Budget'!T9</f>
        <v>4260000</v>
      </c>
      <c r="I9" s="600"/>
      <c r="J9" s="600">
        <f>H9</f>
        <v>4260000</v>
      </c>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4260000</v>
      </c>
      <c r="C11" s="599">
        <f>SUM(C9:C10)</f>
        <v>0</v>
      </c>
      <c r="D11" s="599">
        <f>SUM(D9:D10)</f>
        <v>4260000</v>
      </c>
      <c r="E11" s="601"/>
      <c r="F11" s="601"/>
      <c r="G11" s="601"/>
      <c r="H11" s="599">
        <f>'Sources and Uses Budget'!T11</f>
        <v>4260000</v>
      </c>
      <c r="I11" s="599">
        <f>SUM(I9:I10)</f>
        <v>0</v>
      </c>
      <c r="J11" s="599">
        <f>SUM(J9:J10)</f>
        <v>4260000</v>
      </c>
      <c r="K11" s="594"/>
    </row>
    <row r="12" spans="1:11" s="253" customFormat="1">
      <c r="A12" s="243" t="s">
        <v>747</v>
      </c>
      <c r="B12" s="599">
        <f>'Sources and Uses Budget'!C12</f>
        <v>5340000</v>
      </c>
      <c r="C12" s="599">
        <f>SUM(C8+C11)</f>
        <v>0</v>
      </c>
      <c r="D12" s="599">
        <f>SUM(D8+D11)</f>
        <v>5340000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131901</v>
      </c>
      <c r="C17" s="600"/>
      <c r="D17" s="600">
        <f>B17</f>
        <v>131901</v>
      </c>
      <c r="E17" s="599">
        <f>'Sources and Uses Budget'!S17</f>
        <v>131901</v>
      </c>
      <c r="F17" s="600"/>
      <c r="G17" s="600">
        <f>E17</f>
        <v>131901</v>
      </c>
      <c r="H17" s="599">
        <f>'Sources and Uses Budget'!T17</f>
        <v>0</v>
      </c>
      <c r="I17" s="600"/>
      <c r="J17" s="600"/>
      <c r="K17" s="594"/>
    </row>
    <row r="18" spans="1:11" s="253" customFormat="1">
      <c r="A18" s="239" t="s">
        <v>955</v>
      </c>
      <c r="B18" s="599">
        <f>'Sources and Uses Budget'!C18</f>
        <v>1013830</v>
      </c>
      <c r="C18" s="600"/>
      <c r="D18" s="600">
        <f t="shared" ref="D18:D24" si="0">B18</f>
        <v>1013830</v>
      </c>
      <c r="E18" s="599">
        <f>'Sources and Uses Budget'!S18</f>
        <v>1013830</v>
      </c>
      <c r="F18" s="600"/>
      <c r="G18" s="600">
        <f t="shared" ref="G18:G24" si="1">E18</f>
        <v>1013830</v>
      </c>
      <c r="H18" s="599">
        <f>'Sources and Uses Budget'!T18</f>
        <v>0</v>
      </c>
      <c r="I18" s="600"/>
      <c r="J18" s="600"/>
      <c r="K18" s="594"/>
    </row>
    <row r="19" spans="1:11" s="253" customFormat="1">
      <c r="A19" s="239" t="s">
        <v>956</v>
      </c>
      <c r="B19" s="599">
        <f>'Sources and Uses Budget'!C19</f>
        <v>68744</v>
      </c>
      <c r="C19" s="600"/>
      <c r="D19" s="600">
        <f t="shared" si="0"/>
        <v>68744</v>
      </c>
      <c r="E19" s="599">
        <f>'Sources and Uses Budget'!S19</f>
        <v>68744</v>
      </c>
      <c r="F19" s="600"/>
      <c r="G19" s="600">
        <f t="shared" si="1"/>
        <v>68744</v>
      </c>
      <c r="H19" s="599">
        <f>'Sources and Uses Budget'!T19</f>
        <v>0</v>
      </c>
      <c r="I19" s="600"/>
      <c r="J19" s="600"/>
      <c r="K19" s="594"/>
    </row>
    <row r="20" spans="1:11" s="253" customFormat="1">
      <c r="A20" s="239" t="s">
        <v>957</v>
      </c>
      <c r="B20" s="599">
        <f>'Sources and Uses Budget'!C20</f>
        <v>24290</v>
      </c>
      <c r="C20" s="600"/>
      <c r="D20" s="600">
        <f t="shared" si="0"/>
        <v>24290</v>
      </c>
      <c r="E20" s="599">
        <f>'Sources and Uses Budget'!S20</f>
        <v>24290</v>
      </c>
      <c r="F20" s="600"/>
      <c r="G20" s="600">
        <f t="shared" si="1"/>
        <v>24290</v>
      </c>
      <c r="H20" s="599">
        <f>'Sources and Uses Budget'!T20</f>
        <v>0</v>
      </c>
      <c r="I20" s="600"/>
      <c r="J20" s="600"/>
      <c r="K20" s="594"/>
    </row>
    <row r="21" spans="1:11" s="253" customFormat="1">
      <c r="A21" s="239" t="s">
        <v>958</v>
      </c>
      <c r="B21" s="599">
        <f>'Sources and Uses Budget'!C21</f>
        <v>68744</v>
      </c>
      <c r="C21" s="600"/>
      <c r="D21" s="600">
        <f t="shared" si="0"/>
        <v>68744</v>
      </c>
      <c r="E21" s="599">
        <f>'Sources and Uses Budget'!S21</f>
        <v>68744</v>
      </c>
      <c r="F21" s="600"/>
      <c r="G21" s="600">
        <f t="shared" si="1"/>
        <v>68744</v>
      </c>
      <c r="H21" s="599">
        <f>'Sources and Uses Budget'!T21</f>
        <v>0</v>
      </c>
      <c r="I21" s="600"/>
      <c r="J21" s="600"/>
      <c r="K21" s="594"/>
    </row>
    <row r="22" spans="1:11" s="253" customFormat="1">
      <c r="A22" s="239" t="s">
        <v>959</v>
      </c>
      <c r="B22" s="599">
        <f>'Sources and Uses Budget'!C22</f>
        <v>0</v>
      </c>
      <c r="C22" s="600"/>
      <c r="D22" s="600">
        <f t="shared" si="0"/>
        <v>0</v>
      </c>
      <c r="E22" s="599">
        <f>'Sources and Uses Budget'!S22</f>
        <v>0</v>
      </c>
      <c r="F22" s="600"/>
      <c r="G22" s="600">
        <f t="shared" si="1"/>
        <v>0</v>
      </c>
      <c r="H22" s="599">
        <f>'Sources and Uses Budget'!T22</f>
        <v>0</v>
      </c>
      <c r="I22" s="600"/>
      <c r="J22" s="600"/>
      <c r="K22" s="594"/>
    </row>
    <row r="23" spans="1:11" s="253" customFormat="1">
      <c r="A23" s="239" t="s">
        <v>960</v>
      </c>
      <c r="B23" s="599">
        <f>'Sources and Uses Budget'!C23</f>
        <v>13075</v>
      </c>
      <c r="C23" s="600"/>
      <c r="D23" s="600">
        <f t="shared" si="0"/>
        <v>13075</v>
      </c>
      <c r="E23" s="599">
        <f>'Sources and Uses Budget'!S23</f>
        <v>13075</v>
      </c>
      <c r="F23" s="600"/>
      <c r="G23" s="600">
        <f>E23</f>
        <v>13075</v>
      </c>
      <c r="H23" s="599">
        <f>'Sources and Uses Budget'!T23</f>
        <v>0</v>
      </c>
      <c r="I23" s="600"/>
      <c r="J23" s="600"/>
      <c r="K23" s="594"/>
    </row>
    <row r="24" spans="1:11" s="253" customFormat="1">
      <c r="A24" s="239" t="str">
        <f>'Sources and Uses Budget'!$A25</f>
        <v>Other:Inspections</v>
      </c>
      <c r="B24" s="599">
        <f>'Sources and Uses Budget'!C25</f>
        <v>15000</v>
      </c>
      <c r="C24" s="600"/>
      <c r="D24" s="600">
        <f t="shared" si="0"/>
        <v>15000</v>
      </c>
      <c r="E24" s="599">
        <f>'Sources and Uses Budget'!S25</f>
        <v>15000</v>
      </c>
      <c r="F24" s="600"/>
      <c r="G24" s="600">
        <f t="shared" si="1"/>
        <v>15000</v>
      </c>
      <c r="H24" s="599">
        <f>'Sources and Uses Budget'!T25</f>
        <v>0</v>
      </c>
      <c r="I24" s="600"/>
      <c r="J24" s="600"/>
      <c r="K24" s="594"/>
    </row>
    <row r="25" spans="1:11" s="253" customFormat="1">
      <c r="A25" s="243" t="s">
        <v>237</v>
      </c>
      <c r="B25" s="599">
        <f>'Sources and Uses Budget'!C26</f>
        <v>1335584</v>
      </c>
      <c r="C25" s="599">
        <f>SUM(C17:C24)</f>
        <v>0</v>
      </c>
      <c r="D25" s="599">
        <f>SUM(D17:D24)</f>
        <v>1335584</v>
      </c>
      <c r="E25" s="599">
        <f>'Sources and Uses Budget'!S26</f>
        <v>1335584</v>
      </c>
      <c r="F25" s="602">
        <f>SUM(F17:F24)</f>
        <v>0</v>
      </c>
      <c r="G25" s="602">
        <f>SUM(G17:G24)</f>
        <v>1335584</v>
      </c>
      <c r="H25" s="599">
        <f>'Sources and Uses Budget'!T26</f>
        <v>0</v>
      </c>
      <c r="I25" s="602">
        <f>SUM(I17:I24)</f>
        <v>0</v>
      </c>
      <c r="J25" s="602">
        <f>SUM(J17:J24)</f>
        <v>0</v>
      </c>
      <c r="K25" s="594"/>
    </row>
    <row r="26" spans="1:11" s="253" customFormat="1">
      <c r="A26" s="243" t="s">
        <v>961</v>
      </c>
      <c r="B26" s="599">
        <f>'Sources and Uses Budget'!C27</f>
        <v>107500</v>
      </c>
      <c r="C26" s="600"/>
      <c r="D26" s="600">
        <v>107500</v>
      </c>
      <c r="E26" s="599">
        <f>'Sources and Uses Budget'!S27</f>
        <v>107500</v>
      </c>
      <c r="F26" s="600"/>
      <c r="G26" s="600">
        <f>E26</f>
        <v>107500</v>
      </c>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0</v>
      </c>
      <c r="C28" s="600"/>
      <c r="D28" s="600"/>
      <c r="E28" s="599">
        <f>'Sources and Uses Budget'!S29</f>
        <v>0</v>
      </c>
      <c r="F28" s="600"/>
      <c r="G28" s="600">
        <f>E28</f>
        <v>0</v>
      </c>
      <c r="H28" s="599">
        <f>'Sources and Uses Budget'!T29</f>
        <v>0</v>
      </c>
      <c r="I28" s="600"/>
      <c r="J28" s="600"/>
      <c r="K28" s="594"/>
    </row>
    <row r="29" spans="1:11" s="253" customFormat="1">
      <c r="A29" s="239" t="s">
        <v>955</v>
      </c>
      <c r="B29" s="599">
        <f>'Sources and Uses Budget'!C30</f>
        <v>0</v>
      </c>
      <c r="C29" s="600"/>
      <c r="D29" s="600"/>
      <c r="E29" s="599">
        <f>'Sources and Uses Budget'!S30</f>
        <v>0</v>
      </c>
      <c r="F29" s="600"/>
      <c r="G29" s="600"/>
      <c r="H29" s="599">
        <f>'Sources and Uses Budget'!T30</f>
        <v>0</v>
      </c>
      <c r="I29" s="600"/>
      <c r="J29" s="600"/>
      <c r="K29" s="594"/>
    </row>
    <row r="30" spans="1:11" s="253" customFormat="1">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21000</v>
      </c>
      <c r="C39" s="600"/>
      <c r="D39" s="600">
        <f>B39</f>
        <v>21000</v>
      </c>
      <c r="E39" s="599">
        <f>'Sources and Uses Budget'!S40</f>
        <v>21000</v>
      </c>
      <c r="F39" s="600"/>
      <c r="G39" s="600">
        <f>E39</f>
        <v>21000</v>
      </c>
      <c r="H39" s="599">
        <f>'Sources and Uses Budget'!T40</f>
        <v>0</v>
      </c>
      <c r="I39" s="600"/>
      <c r="J39" s="600"/>
      <c r="K39" s="594"/>
    </row>
    <row r="40" spans="1:11" s="253" customFormat="1">
      <c r="A40" s="239" t="s">
        <v>966</v>
      </c>
      <c r="B40" s="599">
        <f>'Sources and Uses Budget'!C41</f>
        <v>8000</v>
      </c>
      <c r="C40" s="600"/>
      <c r="D40" s="600">
        <v>8000</v>
      </c>
      <c r="E40" s="599">
        <f>'Sources and Uses Budget'!S41</f>
        <v>8000</v>
      </c>
      <c r="F40" s="600"/>
      <c r="G40" s="600">
        <f>E40</f>
        <v>8000</v>
      </c>
      <c r="H40" s="599">
        <f>'Sources and Uses Budget'!T41</f>
        <v>0</v>
      </c>
      <c r="I40" s="600"/>
      <c r="J40" s="600"/>
      <c r="K40" s="594"/>
    </row>
    <row r="41" spans="1:11" s="253" customFormat="1">
      <c r="A41" s="243" t="s">
        <v>967</v>
      </c>
      <c r="B41" s="599">
        <f>'Sources and Uses Budget'!C42</f>
        <v>29000</v>
      </c>
      <c r="C41" s="599">
        <f>SUM(C38:C40)</f>
        <v>0</v>
      </c>
      <c r="D41" s="599">
        <f>SUM(D38:D40)</f>
        <v>29000</v>
      </c>
      <c r="E41" s="599">
        <f>'Sources and Uses Budget'!S42</f>
        <v>29000</v>
      </c>
      <c r="F41" s="602">
        <f>SUM(F39:F40)</f>
        <v>0</v>
      </c>
      <c r="G41" s="602">
        <f>SUM(G39:G40)</f>
        <v>29000</v>
      </c>
      <c r="H41" s="599">
        <f>'Sources and Uses Budget'!T42</f>
        <v>0</v>
      </c>
      <c r="I41" s="602">
        <f>SUM(I39:I40)</f>
        <v>0</v>
      </c>
      <c r="J41" s="602">
        <f>SUM(J39:J40)</f>
        <v>0</v>
      </c>
      <c r="K41" s="594"/>
    </row>
    <row r="42" spans="1:11" s="253" customFormat="1">
      <c r="A42" s="243" t="s">
        <v>968</v>
      </c>
      <c r="B42" s="599">
        <f>'Sources and Uses Budget'!C43</f>
        <v>10000</v>
      </c>
      <c r="C42" s="600"/>
      <c r="D42" s="600">
        <f>B42</f>
        <v>10000</v>
      </c>
      <c r="E42" s="599">
        <f>'Sources and Uses Budget'!S43</f>
        <v>0</v>
      </c>
      <c r="F42" s="600"/>
      <c r="G42" s="600">
        <f>E42</f>
        <v>0</v>
      </c>
      <c r="H42" s="599">
        <f>'Sources and Uses Budget'!T43</f>
        <v>10000</v>
      </c>
      <c r="I42" s="600"/>
      <c r="J42" s="600">
        <f>H42</f>
        <v>10000</v>
      </c>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176313</v>
      </c>
      <c r="C44" s="600"/>
      <c r="D44" s="600">
        <f>B44</f>
        <v>176313</v>
      </c>
      <c r="E44" s="599">
        <f>'Sources and Uses Budget'!S45</f>
        <v>47653</v>
      </c>
      <c r="F44" s="600"/>
      <c r="G44" s="600">
        <f>E44</f>
        <v>47653</v>
      </c>
      <c r="H44" s="599">
        <f>'Sources and Uses Budget'!T45</f>
        <v>0</v>
      </c>
      <c r="I44" s="600"/>
      <c r="J44" s="600"/>
      <c r="K44" s="594"/>
    </row>
    <row r="45" spans="1:11" s="253" customFormat="1">
      <c r="A45" s="239" t="s">
        <v>971</v>
      </c>
      <c r="B45" s="599">
        <f>'Sources and Uses Budget'!C46</f>
        <v>32550</v>
      </c>
      <c r="C45" s="600"/>
      <c r="D45" s="600">
        <f t="shared" ref="D45:D51" si="2">B45</f>
        <v>32550</v>
      </c>
      <c r="E45" s="599">
        <f>'Sources and Uses Budget'!S46</f>
        <v>0</v>
      </c>
      <c r="F45" s="600"/>
      <c r="G45" s="600"/>
      <c r="H45" s="599">
        <f>'Sources and Uses Budget'!T46</f>
        <v>0</v>
      </c>
      <c r="I45" s="600"/>
      <c r="J45" s="600"/>
      <c r="K45" s="594"/>
    </row>
    <row r="46" spans="1:11" s="253" customFormat="1" ht="12" customHeight="1">
      <c r="A46" s="239" t="s">
        <v>972</v>
      </c>
      <c r="B46" s="599">
        <f>'Sources and Uses Budget'!C47</f>
        <v>0</v>
      </c>
      <c r="C46" s="600"/>
      <c r="D46" s="600">
        <f t="shared" si="2"/>
        <v>0</v>
      </c>
      <c r="E46" s="599">
        <f>'Sources and Uses Budget'!S47</f>
        <v>0</v>
      </c>
      <c r="F46" s="600"/>
      <c r="G46" s="600"/>
      <c r="H46" s="599">
        <f>'Sources and Uses Budget'!T47</f>
        <v>0</v>
      </c>
      <c r="I46" s="600"/>
      <c r="J46" s="600"/>
      <c r="K46" s="594"/>
    </row>
    <row r="47" spans="1:11" s="253" customFormat="1">
      <c r="A47" s="239" t="s">
        <v>973</v>
      </c>
      <c r="B47" s="599">
        <f>'Sources and Uses Budget'!C48</f>
        <v>13075</v>
      </c>
      <c r="C47" s="600"/>
      <c r="D47" s="600">
        <f t="shared" si="2"/>
        <v>13075</v>
      </c>
      <c r="E47" s="599">
        <f>'Sources and Uses Budget'!S48</f>
        <v>13075</v>
      </c>
      <c r="F47" s="600"/>
      <c r="G47" s="600">
        <f>E47</f>
        <v>13075</v>
      </c>
      <c r="H47" s="599">
        <f>'Sources and Uses Budget'!T48</f>
        <v>0</v>
      </c>
      <c r="I47" s="600"/>
      <c r="J47" s="600"/>
      <c r="K47" s="594"/>
    </row>
    <row r="48" spans="1:11" s="253" customFormat="1">
      <c r="A48" s="239" t="s">
        <v>976</v>
      </c>
      <c r="B48" s="599">
        <f>'Sources and Uses Budget'!C49</f>
        <v>75000</v>
      </c>
      <c r="C48" s="600"/>
      <c r="D48" s="600">
        <f t="shared" si="2"/>
        <v>75000</v>
      </c>
      <c r="E48" s="599">
        <f>'Sources and Uses Budget'!S49</f>
        <v>0</v>
      </c>
      <c r="F48" s="600"/>
      <c r="G48" s="600"/>
      <c r="H48" s="599">
        <f>'Sources and Uses Budget'!T49</f>
        <v>75000</v>
      </c>
      <c r="I48" s="600"/>
      <c r="J48" s="600">
        <f>H48</f>
        <v>75000</v>
      </c>
      <c r="K48" s="594"/>
    </row>
    <row r="49" spans="1:11" s="253" customFormat="1">
      <c r="A49" s="239" t="s">
        <v>974</v>
      </c>
      <c r="B49" s="599">
        <f>'Sources and Uses Budget'!C50</f>
        <v>0</v>
      </c>
      <c r="C49" s="600"/>
      <c r="D49" s="600">
        <f t="shared" si="2"/>
        <v>0</v>
      </c>
      <c r="E49" s="599">
        <f>'Sources and Uses Budget'!S50</f>
        <v>0</v>
      </c>
      <c r="F49" s="600"/>
      <c r="G49" s="600"/>
      <c r="H49" s="599">
        <f>'Sources and Uses Budget'!T50</f>
        <v>0</v>
      </c>
      <c r="I49" s="600"/>
      <c r="J49" s="600"/>
      <c r="K49" s="594"/>
    </row>
    <row r="50" spans="1:11" s="253" customFormat="1">
      <c r="A50" s="239" t="s">
        <v>975</v>
      </c>
      <c r="B50" s="599">
        <f>'Sources and Uses Budget'!C51</f>
        <v>0</v>
      </c>
      <c r="C50" s="600"/>
      <c r="D50" s="600">
        <f t="shared" si="2"/>
        <v>0</v>
      </c>
      <c r="E50" s="599">
        <f>'Sources and Uses Budget'!S51</f>
        <v>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f t="shared" si="2"/>
        <v>0</v>
      </c>
      <c r="E51" s="599">
        <f>'Sources and Uses Budget'!S52</f>
        <v>0</v>
      </c>
      <c r="F51" s="600"/>
      <c r="G51" s="600"/>
      <c r="H51" s="599">
        <f>'Sources and Uses Budget'!T52</f>
        <v>0</v>
      </c>
      <c r="I51" s="600"/>
      <c r="J51" s="600"/>
      <c r="K51" s="594"/>
    </row>
    <row r="52" spans="1:11" s="592" customFormat="1">
      <c r="A52" s="243" t="s">
        <v>977</v>
      </c>
      <c r="B52" s="599">
        <f>'Sources and Uses Budget'!C53</f>
        <v>296938</v>
      </c>
      <c r="C52" s="602">
        <f>SUM(C44:C51)</f>
        <v>0</v>
      </c>
      <c r="D52" s="602">
        <f>SUM(D44:D51)</f>
        <v>296938</v>
      </c>
      <c r="E52" s="599">
        <f>'Sources and Uses Budget'!S53</f>
        <v>60728</v>
      </c>
      <c r="F52" s="602">
        <f>SUM(F44:F51)</f>
        <v>0</v>
      </c>
      <c r="G52" s="602">
        <f>SUM(G44:G51)</f>
        <v>60728</v>
      </c>
      <c r="H52" s="599">
        <f>'Sources and Uses Budget'!T53</f>
        <v>75000</v>
      </c>
      <c r="I52" s="602">
        <f>SUM(I44:I51)</f>
        <v>0</v>
      </c>
      <c r="J52" s="602">
        <f>SUM(J44:J51)</f>
        <v>75000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37900</v>
      </c>
      <c r="C54" s="600"/>
      <c r="D54" s="600">
        <f t="shared" ref="D54:D59" si="3">B54</f>
        <v>37900</v>
      </c>
      <c r="E54" s="601"/>
      <c r="F54" s="601"/>
      <c r="G54" s="601"/>
      <c r="H54" s="601"/>
      <c r="I54" s="601"/>
      <c r="J54" s="601"/>
      <c r="K54" s="594"/>
    </row>
    <row r="55" spans="1:11" s="253" customFormat="1" ht="12" customHeight="1">
      <c r="A55" s="239" t="s">
        <v>972</v>
      </c>
      <c r="B55" s="599">
        <f>'Sources and Uses Budget'!C56</f>
        <v>0</v>
      </c>
      <c r="C55" s="600"/>
      <c r="D55" s="600">
        <f t="shared" si="3"/>
        <v>0</v>
      </c>
      <c r="E55" s="601"/>
      <c r="F55" s="601"/>
      <c r="G55" s="601"/>
      <c r="H55" s="601"/>
      <c r="I55" s="601"/>
      <c r="J55" s="601"/>
      <c r="K55" s="594"/>
    </row>
    <row r="56" spans="1:11" s="253" customFormat="1">
      <c r="A56" s="239" t="s">
        <v>976</v>
      </c>
      <c r="B56" s="599">
        <f>'Sources and Uses Budget'!C57</f>
        <v>0</v>
      </c>
      <c r="C56" s="600"/>
      <c r="D56" s="600">
        <f t="shared" si="3"/>
        <v>0</v>
      </c>
      <c r="E56" s="601"/>
      <c r="F56" s="601"/>
      <c r="G56" s="601"/>
      <c r="H56" s="601"/>
      <c r="I56" s="601"/>
      <c r="J56" s="601"/>
      <c r="K56" s="594"/>
    </row>
    <row r="57" spans="1:11" s="253" customFormat="1">
      <c r="A57" s="239" t="s">
        <v>974</v>
      </c>
      <c r="B57" s="599">
        <f>'Sources and Uses Budget'!C58</f>
        <v>35000</v>
      </c>
      <c r="C57" s="600"/>
      <c r="D57" s="600">
        <f t="shared" si="3"/>
        <v>35000</v>
      </c>
      <c r="E57" s="601"/>
      <c r="F57" s="601"/>
      <c r="G57" s="601"/>
      <c r="H57" s="601"/>
      <c r="I57" s="601"/>
      <c r="J57" s="601"/>
      <c r="K57" s="594"/>
    </row>
    <row r="58" spans="1:11" s="253" customFormat="1">
      <c r="A58" s="239" t="s">
        <v>975</v>
      </c>
      <c r="B58" s="599">
        <f>'Sources and Uses Budget'!C59</f>
        <v>0</v>
      </c>
      <c r="C58" s="600"/>
      <c r="D58" s="600">
        <f t="shared" si="3"/>
        <v>0</v>
      </c>
      <c r="E58" s="601"/>
      <c r="F58" s="601"/>
      <c r="G58" s="601"/>
      <c r="H58" s="601"/>
      <c r="I58" s="601"/>
      <c r="J58" s="601"/>
      <c r="K58" s="594"/>
    </row>
    <row r="59" spans="1:11" s="253" customFormat="1">
      <c r="A59" s="239" t="str">
        <f>'Sources and Uses Budget'!$A60</f>
        <v>Other: FHA Fees</v>
      </c>
      <c r="B59" s="599">
        <f>'Sources and Uses Budget'!C60</f>
        <v>42719</v>
      </c>
      <c r="C59" s="600"/>
      <c r="D59" s="600">
        <f t="shared" si="3"/>
        <v>42719</v>
      </c>
      <c r="E59" s="601"/>
      <c r="F59" s="601"/>
      <c r="G59" s="601"/>
      <c r="H59" s="601"/>
      <c r="I59" s="601"/>
      <c r="J59" s="601"/>
      <c r="K59" s="594"/>
    </row>
    <row r="60" spans="1:11" s="253" customFormat="1" ht="13.9" customHeight="1">
      <c r="A60" s="243" t="s">
        <v>529</v>
      </c>
      <c r="B60" s="599">
        <f>'Sources and Uses Budget'!C61</f>
        <v>115619</v>
      </c>
      <c r="C60" s="599">
        <f>SUM(C54:C59)</f>
        <v>0</v>
      </c>
      <c r="D60" s="599">
        <f>SUM(D54:D59)</f>
        <v>115619</v>
      </c>
      <c r="E60" s="601"/>
      <c r="F60" s="601"/>
      <c r="G60" s="601"/>
      <c r="H60" s="601"/>
      <c r="I60" s="601"/>
      <c r="J60" s="601"/>
      <c r="K60" s="594"/>
    </row>
    <row r="61" spans="1:11" s="253" customFormat="1">
      <c r="A61" s="249" t="s">
        <v>530</v>
      </c>
      <c r="B61" s="599">
        <f>'Sources and Uses Budget'!C62</f>
        <v>7234641</v>
      </c>
      <c r="C61" s="599">
        <f>SUM(C8+C11+C13+C14+C15+C25+C26+C37+C41+C42+C52+C60)</f>
        <v>0</v>
      </c>
      <c r="D61" s="599">
        <f>SUM(D8+D11+D13+D14+D15+D25+D26+D37+D41+D42+D52+D60)</f>
        <v>7234641</v>
      </c>
      <c r="E61" s="599">
        <f>'Sources and Uses Budget'!S62</f>
        <v>1532812</v>
      </c>
      <c r="F61" s="599">
        <f>SUM(F10+F13+F14+F15+F25+F26+F37+F41+F42+F52)</f>
        <v>0</v>
      </c>
      <c r="G61" s="599">
        <f>SUM(G10+G13+G14+G15+G25+G26+G37+G41+G42+G52)</f>
        <v>1532812</v>
      </c>
      <c r="H61" s="599">
        <f>'Sources and Uses Budget'!T62</f>
        <v>4345000</v>
      </c>
      <c r="I61" s="599">
        <f>SUM(I11+I13+I14+I15+I25+I26+I37+I41+I42+I52)</f>
        <v>0</v>
      </c>
      <c r="J61" s="599">
        <f>SUM(J11+J13+J14+J15+J25+J26+J37+J41+J42+J52)</f>
        <v>4345000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65000</v>
      </c>
      <c r="C63" s="600"/>
      <c r="D63" s="600">
        <f t="shared" ref="D63:D67" si="4">B63</f>
        <v>65000</v>
      </c>
      <c r="E63" s="599">
        <f>'Sources and Uses Budget'!S64</f>
        <v>0</v>
      </c>
      <c r="F63" s="600"/>
      <c r="G63" s="600"/>
      <c r="H63" s="599">
        <f>'Sources and Uses Budget'!T64</f>
        <v>0</v>
      </c>
      <c r="I63" s="600"/>
      <c r="J63" s="600"/>
      <c r="K63" s="594"/>
    </row>
    <row r="64" spans="1:11" s="253" customFormat="1" ht="24">
      <c r="A64" s="239" t="s">
        <v>2054</v>
      </c>
      <c r="B64" s="599">
        <f>'Sources and Uses Budget'!C65</f>
        <v>13750</v>
      </c>
      <c r="C64" s="600"/>
      <c r="D64" s="600">
        <f t="shared" si="4"/>
        <v>13750</v>
      </c>
      <c r="E64" s="599">
        <f>'Sources and Uses Budget'!S65</f>
        <v>13750</v>
      </c>
      <c r="F64" s="600"/>
      <c r="G64" s="600">
        <f>E64</f>
        <v>13750</v>
      </c>
      <c r="H64" s="599">
        <f>'Sources and Uses Budget'!T65</f>
        <v>0</v>
      </c>
      <c r="I64" s="600"/>
      <c r="J64" s="600"/>
      <c r="K64" s="594"/>
    </row>
    <row r="65" spans="1:11" s="253" customFormat="1" ht="24">
      <c r="A65" s="239" t="s">
        <v>2055</v>
      </c>
      <c r="B65" s="599">
        <f>'Sources and Uses Budget'!C66</f>
        <v>0</v>
      </c>
      <c r="C65" s="600"/>
      <c r="D65" s="600">
        <f t="shared" si="4"/>
        <v>0</v>
      </c>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f t="shared" si="4"/>
        <v>0</v>
      </c>
      <c r="E66" s="599">
        <f>'Sources and Uses Budget'!S67</f>
        <v>0</v>
      </c>
      <c r="F66" s="600"/>
      <c r="G66" s="600"/>
      <c r="H66" s="599">
        <f>'Sources and Uses Budget'!T67</f>
        <v>0</v>
      </c>
      <c r="I66" s="600"/>
      <c r="J66" s="600"/>
      <c r="K66" s="594"/>
    </row>
    <row r="67" spans="1:11" s="253" customFormat="1">
      <c r="A67" s="239" t="str">
        <f>'Sources and Uses Budget'!$A68</f>
        <v>Other: Borrower Legal</v>
      </c>
      <c r="B67" s="599">
        <f>'Sources and Uses Budget'!C68</f>
        <v>125000</v>
      </c>
      <c r="C67" s="600"/>
      <c r="D67" s="600">
        <f t="shared" si="4"/>
        <v>125000</v>
      </c>
      <c r="E67" s="599">
        <f>'Sources and Uses Budget'!S68</f>
        <v>75000</v>
      </c>
      <c r="F67" s="600"/>
      <c r="G67" s="600">
        <f>E67</f>
        <v>75000</v>
      </c>
      <c r="H67" s="599">
        <f>'Sources and Uses Budget'!T68</f>
        <v>12500</v>
      </c>
      <c r="I67" s="600"/>
      <c r="J67" s="600">
        <f>H67</f>
        <v>12500</v>
      </c>
      <c r="K67" s="594"/>
    </row>
    <row r="68" spans="1:11" s="253" customFormat="1">
      <c r="A68" s="243" t="s">
        <v>2057</v>
      </c>
      <c r="B68" s="599">
        <f>'Sources and Uses Budget'!C69</f>
        <v>203750</v>
      </c>
      <c r="C68" s="599">
        <f>SUM(C62:C67)</f>
        <v>0</v>
      </c>
      <c r="D68" s="599">
        <f>SUM(D62:D67)</f>
        <v>203750</v>
      </c>
      <c r="E68" s="599">
        <f>'Sources and Uses Budget'!S69</f>
        <v>88750</v>
      </c>
      <c r="F68" s="602">
        <f>SUM(F63:F67)</f>
        <v>0</v>
      </c>
      <c r="G68" s="602">
        <f>SUM(G63:G67)</f>
        <v>88750</v>
      </c>
      <c r="H68" s="599">
        <f>'Sources and Uses Budget'!T69</f>
        <v>12500</v>
      </c>
      <c r="I68" s="602">
        <f>SUM(I63:I67)</f>
        <v>0</v>
      </c>
      <c r="J68" s="602">
        <f>SUM(J63:J67)</f>
        <v>12500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f t="shared" ref="D70:D74" si="5">B70</f>
        <v>0</v>
      </c>
      <c r="E70" s="601"/>
      <c r="F70" s="601"/>
      <c r="G70" s="601"/>
      <c r="H70" s="601"/>
      <c r="I70" s="601"/>
      <c r="J70" s="601"/>
      <c r="K70" s="594"/>
    </row>
    <row r="71" spans="1:11" s="253" customFormat="1">
      <c r="A71" s="239" t="s">
        <v>302</v>
      </c>
      <c r="B71" s="599">
        <f>'Sources and Uses Budget'!C72</f>
        <v>0</v>
      </c>
      <c r="C71" s="600"/>
      <c r="D71" s="600">
        <f t="shared" si="5"/>
        <v>0</v>
      </c>
      <c r="E71" s="601"/>
      <c r="F71" s="601"/>
      <c r="G71" s="601"/>
      <c r="H71" s="601"/>
      <c r="I71" s="601"/>
      <c r="J71" s="601"/>
      <c r="K71" s="594"/>
    </row>
    <row r="72" spans="1:11" s="253" customFormat="1">
      <c r="A72" s="469" t="s">
        <v>1292</v>
      </c>
      <c r="B72" s="599">
        <f>'Sources and Uses Budget'!C73</f>
        <v>0</v>
      </c>
      <c r="C72" s="600"/>
      <c r="D72" s="600">
        <f t="shared" si="5"/>
        <v>0</v>
      </c>
      <c r="E72" s="601"/>
      <c r="F72" s="601"/>
      <c r="G72" s="601"/>
      <c r="H72" s="601"/>
      <c r="I72" s="601"/>
      <c r="J72" s="601"/>
      <c r="K72" s="594"/>
    </row>
    <row r="73" spans="1:11" s="253" customFormat="1">
      <c r="A73" s="239" t="s">
        <v>303</v>
      </c>
      <c r="B73" s="599">
        <f>'Sources and Uses Budget'!C74</f>
        <v>120000</v>
      </c>
      <c r="C73" s="600"/>
      <c r="D73" s="600">
        <f t="shared" si="5"/>
        <v>120000</v>
      </c>
      <c r="E73" s="601"/>
      <c r="F73" s="601"/>
      <c r="G73" s="601"/>
      <c r="H73" s="601"/>
      <c r="I73" s="601"/>
      <c r="J73" s="601"/>
      <c r="K73" s="594"/>
    </row>
    <row r="74" spans="1:11" s="253" customFormat="1">
      <c r="A74" s="239" t="str">
        <f>'Sources and Uses Budget'!$A75</f>
        <v>Other: (Specify)</v>
      </c>
      <c r="B74" s="599">
        <f>'Sources and Uses Budget'!C75</f>
        <v>0</v>
      </c>
      <c r="C74" s="600"/>
      <c r="D74" s="600">
        <f t="shared" si="5"/>
        <v>0</v>
      </c>
      <c r="E74" s="601"/>
      <c r="F74" s="601"/>
      <c r="G74" s="601"/>
      <c r="H74" s="601"/>
      <c r="I74" s="601"/>
      <c r="J74" s="601"/>
      <c r="K74" s="594"/>
    </row>
    <row r="75" spans="1:11" s="253" customFormat="1">
      <c r="A75" s="243" t="s">
        <v>304</v>
      </c>
      <c r="B75" s="599">
        <f>'Sources and Uses Budget'!C76</f>
        <v>120000</v>
      </c>
      <c r="C75" s="599">
        <f>SUM(C70:C74)</f>
        <v>0</v>
      </c>
      <c r="D75" s="599">
        <f>SUM(D70:D74)</f>
        <v>120000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130751</v>
      </c>
      <c r="C77" s="600"/>
      <c r="D77" s="600">
        <f t="shared" ref="D77:D78" si="6">B77</f>
        <v>130751</v>
      </c>
      <c r="E77" s="599">
        <f>'Sources and Uses Budget'!S78</f>
        <v>130751</v>
      </c>
      <c r="F77" s="600"/>
      <c r="G77" s="600">
        <f>E77</f>
        <v>130751</v>
      </c>
      <c r="H77" s="599">
        <f>'Sources and Uses Budget'!T78</f>
        <v>0</v>
      </c>
      <c r="I77" s="600"/>
      <c r="J77" s="600"/>
      <c r="K77" s="594"/>
    </row>
    <row r="78" spans="1:11" s="253" customFormat="1">
      <c r="A78" s="239" t="s">
        <v>569</v>
      </c>
      <c r="B78" s="599">
        <f>'Sources and Uses Budget'!C79</f>
        <v>60000</v>
      </c>
      <c r="C78" s="600"/>
      <c r="D78" s="600">
        <f t="shared" si="6"/>
        <v>60000</v>
      </c>
      <c r="E78" s="599">
        <f>'Sources and Uses Budget'!S79</f>
        <v>60000</v>
      </c>
      <c r="F78" s="600"/>
      <c r="G78" s="600">
        <f>E78</f>
        <v>60000</v>
      </c>
      <c r="H78" s="599">
        <f>'Sources and Uses Budget'!T79</f>
        <v>0</v>
      </c>
      <c r="I78" s="600"/>
      <c r="J78" s="600"/>
      <c r="K78" s="594"/>
    </row>
    <row r="79" spans="1:11" s="253" customFormat="1">
      <c r="A79" s="243" t="s">
        <v>1819</v>
      </c>
      <c r="B79" s="599">
        <f>'Sources and Uses Budget'!C80</f>
        <v>190751</v>
      </c>
      <c r="C79" s="682">
        <f>SUM(C77:C78)</f>
        <v>0</v>
      </c>
      <c r="D79" s="682">
        <f>SUM(D77:D78)</f>
        <v>190751</v>
      </c>
      <c r="E79" s="599">
        <f>'Sources and Uses Budget'!S80</f>
        <v>190751</v>
      </c>
      <c r="F79" s="682">
        <f>SUM(F77:F78)</f>
        <v>0</v>
      </c>
      <c r="G79" s="682">
        <f>SUM(G77:G78)</f>
        <v>190751</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9833</v>
      </c>
      <c r="C81" s="600"/>
      <c r="D81" s="600">
        <f t="shared" ref="D81:D93" si="7">B81</f>
        <v>9833</v>
      </c>
      <c r="E81" s="601"/>
      <c r="F81" s="601"/>
      <c r="G81" s="601"/>
      <c r="H81" s="601"/>
      <c r="I81" s="601"/>
      <c r="J81" s="601"/>
      <c r="K81" s="594"/>
    </row>
    <row r="82" spans="1:11" s="253" customFormat="1">
      <c r="A82" s="239" t="s">
        <v>547</v>
      </c>
      <c r="B82" s="599">
        <f>'Sources and Uses Budget'!C83</f>
        <v>60995</v>
      </c>
      <c r="C82" s="600"/>
      <c r="D82" s="600">
        <f t="shared" si="7"/>
        <v>60995</v>
      </c>
      <c r="E82" s="599">
        <f>'Sources and Uses Budget'!S83</f>
        <v>60995</v>
      </c>
      <c r="F82" s="600"/>
      <c r="G82" s="600">
        <f>E82</f>
        <v>60995</v>
      </c>
      <c r="H82" s="599">
        <f>'Sources and Uses Budget'!T83</f>
        <v>0</v>
      </c>
      <c r="I82" s="600"/>
      <c r="J82" s="600"/>
      <c r="K82" s="594"/>
    </row>
    <row r="83" spans="1:11" s="253" customFormat="1">
      <c r="A83" s="239" t="s">
        <v>548</v>
      </c>
      <c r="B83" s="599">
        <f>'Sources and Uses Budget'!C84</f>
        <v>0</v>
      </c>
      <c r="C83" s="600"/>
      <c r="D83" s="600">
        <f t="shared" si="7"/>
        <v>0</v>
      </c>
      <c r="E83" s="599">
        <f>'Sources and Uses Budget'!S84</f>
        <v>0</v>
      </c>
      <c r="F83" s="600"/>
      <c r="G83" s="600"/>
      <c r="H83" s="599">
        <f>'Sources and Uses Budget'!T84</f>
        <v>0</v>
      </c>
      <c r="I83" s="600"/>
      <c r="J83" s="600"/>
      <c r="K83" s="594"/>
    </row>
    <row r="84" spans="1:11" s="253" customFormat="1">
      <c r="A84" s="239" t="s">
        <v>549</v>
      </c>
      <c r="B84" s="599">
        <f>'Sources and Uses Budget'!C85</f>
        <v>70000</v>
      </c>
      <c r="C84" s="600"/>
      <c r="D84" s="600">
        <f t="shared" si="7"/>
        <v>70000</v>
      </c>
      <c r="E84" s="599">
        <f>'Sources and Uses Budget'!S85</f>
        <v>70000</v>
      </c>
      <c r="F84" s="600"/>
      <c r="G84" s="600">
        <f>E84</f>
        <v>70000</v>
      </c>
      <c r="H84" s="599">
        <f>'Sources and Uses Budget'!T85</f>
        <v>0</v>
      </c>
      <c r="I84" s="600"/>
      <c r="J84" s="600"/>
      <c r="K84" s="594"/>
    </row>
    <row r="85" spans="1:11" s="253" customFormat="1">
      <c r="A85" s="239" t="s">
        <v>550</v>
      </c>
      <c r="B85" s="599">
        <f>'Sources and Uses Budget'!C86</f>
        <v>25000</v>
      </c>
      <c r="C85" s="600"/>
      <c r="D85" s="600">
        <f t="shared" si="7"/>
        <v>25000</v>
      </c>
      <c r="E85" s="599">
        <f>'Sources and Uses Budget'!S86</f>
        <v>0</v>
      </c>
      <c r="F85" s="600"/>
      <c r="G85" s="600"/>
      <c r="H85" s="599">
        <f>'Sources and Uses Budget'!T86</f>
        <v>0</v>
      </c>
      <c r="I85" s="600"/>
      <c r="J85" s="600"/>
      <c r="K85" s="594"/>
    </row>
    <row r="86" spans="1:11" s="253" customFormat="1">
      <c r="A86" s="239" t="s">
        <v>551</v>
      </c>
      <c r="B86" s="599">
        <f>'Sources and Uses Budget'!C87</f>
        <v>0</v>
      </c>
      <c r="C86" s="600"/>
      <c r="D86" s="600">
        <f t="shared" si="7"/>
        <v>0</v>
      </c>
      <c r="E86" s="601"/>
      <c r="F86" s="601"/>
      <c r="G86" s="601"/>
      <c r="H86" s="601"/>
      <c r="I86" s="601"/>
      <c r="J86" s="601"/>
      <c r="K86" s="594"/>
    </row>
    <row r="87" spans="1:11" s="253" customFormat="1">
      <c r="A87" s="239" t="s">
        <v>552</v>
      </c>
      <c r="B87" s="599">
        <f>'Sources and Uses Budget'!C88</f>
        <v>0</v>
      </c>
      <c r="C87" s="600"/>
      <c r="D87" s="600">
        <f t="shared" si="7"/>
        <v>0</v>
      </c>
      <c r="E87" s="599">
        <f>'Sources and Uses Budget'!S88</f>
        <v>0</v>
      </c>
      <c r="F87" s="600"/>
      <c r="G87" s="600"/>
      <c r="H87" s="599">
        <f>'Sources and Uses Budget'!T88</f>
        <v>0</v>
      </c>
      <c r="I87" s="600"/>
      <c r="J87" s="600"/>
      <c r="K87" s="594"/>
    </row>
    <row r="88" spans="1:11" s="253" customFormat="1">
      <c r="A88" s="239" t="s">
        <v>553</v>
      </c>
      <c r="B88" s="599">
        <f>'Sources and Uses Budget'!C89</f>
        <v>7500</v>
      </c>
      <c r="C88" s="600"/>
      <c r="D88" s="600">
        <f t="shared" si="7"/>
        <v>7500</v>
      </c>
      <c r="E88" s="599">
        <f>'Sources and Uses Budget'!S89</f>
        <v>7500</v>
      </c>
      <c r="F88" s="600"/>
      <c r="G88" s="600">
        <f>E88</f>
        <v>7500</v>
      </c>
      <c r="H88" s="599">
        <f>'Sources and Uses Budget'!T89</f>
        <v>0</v>
      </c>
      <c r="I88" s="600"/>
      <c r="J88" s="600"/>
      <c r="K88" s="594"/>
    </row>
    <row r="89" spans="1:11" s="253" customFormat="1">
      <c r="A89" s="239" t="s">
        <v>1368</v>
      </c>
      <c r="B89" s="599">
        <f>'Sources and Uses Budget'!C90</f>
        <v>15000</v>
      </c>
      <c r="C89" s="600"/>
      <c r="D89" s="600">
        <f t="shared" si="7"/>
        <v>15000</v>
      </c>
      <c r="E89" s="599">
        <f>'Sources and Uses Budget'!S90</f>
        <v>15000</v>
      </c>
      <c r="F89" s="600"/>
      <c r="G89" s="600">
        <f>E89</f>
        <v>15000</v>
      </c>
      <c r="H89" s="599">
        <f>'Sources and Uses Budget'!T90</f>
        <v>0</v>
      </c>
      <c r="I89" s="600"/>
      <c r="J89" s="600"/>
      <c r="K89" s="594"/>
    </row>
    <row r="90" spans="1:11" s="253" customFormat="1">
      <c r="A90" s="239" t="s">
        <v>1817</v>
      </c>
      <c r="B90" s="599">
        <f>'Sources and Uses Budget'!C91</f>
        <v>21000</v>
      </c>
      <c r="C90" s="600"/>
      <c r="D90" s="600">
        <f t="shared" si="7"/>
        <v>21000</v>
      </c>
      <c r="E90" s="599">
        <f>'Sources and Uses Budget'!S91</f>
        <v>21000</v>
      </c>
      <c r="F90" s="600"/>
      <c r="G90" s="600">
        <f>E90</f>
        <v>21000</v>
      </c>
      <c r="H90" s="599">
        <f>'Sources and Uses Budget'!T91</f>
        <v>0</v>
      </c>
      <c r="I90" s="600"/>
      <c r="J90" s="600"/>
      <c r="K90" s="594"/>
    </row>
    <row r="91" spans="1:11" s="253" customFormat="1">
      <c r="A91" s="239" t="str">
        <f>'Sources and Uses Budget'!$A92</f>
        <v>Other: CNA</v>
      </c>
      <c r="B91" s="599">
        <f>'Sources and Uses Budget'!C92</f>
        <v>26300</v>
      </c>
      <c r="C91" s="600"/>
      <c r="D91" s="600">
        <f t="shared" si="7"/>
        <v>26300</v>
      </c>
      <c r="E91" s="599">
        <f>'Sources and Uses Budget'!S92</f>
        <v>26300</v>
      </c>
      <c r="F91" s="600"/>
      <c r="G91" s="600">
        <f>E91</f>
        <v>26300</v>
      </c>
      <c r="H91" s="599">
        <f>'Sources and Uses Budget'!T92</f>
        <v>0</v>
      </c>
      <c r="I91" s="600"/>
      <c r="J91" s="600"/>
      <c r="K91" s="594"/>
    </row>
    <row r="92" spans="1:11" s="253" customFormat="1">
      <c r="A92" s="239" t="str">
        <f>'Sources and Uses Budget'!$A93</f>
        <v xml:space="preserve">Other (Specify) </v>
      </c>
      <c r="B92" s="599">
        <f>'Sources and Uses Budget'!C93</f>
        <v>0</v>
      </c>
      <c r="C92" s="600"/>
      <c r="D92" s="600">
        <f t="shared" si="7"/>
        <v>0</v>
      </c>
      <c r="E92" s="599">
        <f>'Sources and Uses Budget'!S93</f>
        <v>0</v>
      </c>
      <c r="F92" s="600"/>
      <c r="G92" s="600"/>
      <c r="H92" s="599">
        <f>'Sources and Uses Budget'!T93</f>
        <v>0</v>
      </c>
      <c r="I92" s="600"/>
      <c r="J92" s="600"/>
      <c r="K92" s="594"/>
    </row>
    <row r="93" spans="1:11" s="253" customFormat="1">
      <c r="A93" s="239" t="str">
        <f>'Sources and Uses Budget'!$A94</f>
        <v xml:space="preserve">Other (Specify) </v>
      </c>
      <c r="B93" s="599">
        <f>'Sources and Uses Budget'!C94</f>
        <v>0</v>
      </c>
      <c r="C93" s="600"/>
      <c r="D93" s="600">
        <f t="shared" si="7"/>
        <v>0</v>
      </c>
      <c r="E93" s="599">
        <f>'Sources and Uses Budget'!S94</f>
        <v>0</v>
      </c>
      <c r="F93" s="600"/>
      <c r="G93" s="600"/>
      <c r="H93" s="599">
        <f>'Sources and Uses Budget'!T94</f>
        <v>0</v>
      </c>
      <c r="I93" s="600"/>
      <c r="J93" s="600"/>
      <c r="K93" s="594"/>
    </row>
    <row r="94" spans="1:11" s="253" customFormat="1">
      <c r="A94" s="243" t="s">
        <v>554</v>
      </c>
      <c r="B94" s="599">
        <f>'Sources and Uses Budget'!C95</f>
        <v>235628</v>
      </c>
      <c r="C94" s="599">
        <f>SUM(C81:C93)</f>
        <v>0</v>
      </c>
      <c r="D94" s="599">
        <f>SUM(D81:D93)</f>
        <v>235628</v>
      </c>
      <c r="E94" s="599">
        <f>'Sources and Uses Budget'!S95</f>
        <v>200795</v>
      </c>
      <c r="F94" s="602">
        <f>SUM(F82:F85,F87:F93)</f>
        <v>0</v>
      </c>
      <c r="G94" s="602">
        <f>SUM(G82:G85,G87:G93)</f>
        <v>200795</v>
      </c>
      <c r="H94" s="599">
        <f>'Sources and Uses Budget'!T95</f>
        <v>0</v>
      </c>
      <c r="I94" s="599">
        <f>SUM(I82:I85,I87:I93)</f>
        <v>0</v>
      </c>
      <c r="J94" s="599">
        <f>SUM(J82:J85,J87:J93)</f>
        <v>0</v>
      </c>
      <c r="K94" s="594"/>
    </row>
    <row r="95" spans="1:11" s="253" customFormat="1">
      <c r="A95" s="243" t="s">
        <v>1419</v>
      </c>
      <c r="B95" s="599">
        <f>'Sources and Uses Budget'!C96</f>
        <v>7984770</v>
      </c>
      <c r="C95" s="599">
        <f>SUM(C61+C68+C75+C79+C94)</f>
        <v>0</v>
      </c>
      <c r="D95" s="599">
        <f>SUM(D61+D68+D75+D79+D94)</f>
        <v>7984770</v>
      </c>
      <c r="E95" s="599">
        <f>'Sources and Uses Budget'!S96</f>
        <v>2013108</v>
      </c>
      <c r="F95" s="602">
        <f>SUM(+F61+F68+F79+F94)</f>
        <v>0</v>
      </c>
      <c r="G95" s="602">
        <f>SUM(+G61+G68+G79+G94)</f>
        <v>2013108</v>
      </c>
      <c r="H95" s="599">
        <f>'Sources and Uses Budget'!T96</f>
        <v>4357500</v>
      </c>
      <c r="I95" s="602">
        <f>SUM(I61+I68+I79+I94)</f>
        <v>0</v>
      </c>
      <c r="J95" s="602">
        <f>SUM(J61+J68+J79+J94)</f>
        <v>4357500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519841</v>
      </c>
      <c r="C97" s="600"/>
      <c r="D97" s="600">
        <f t="shared" ref="D97:D100" si="8">B97</f>
        <v>519841</v>
      </c>
      <c r="E97" s="599">
        <f>'Sources and Uses Budget'!S98</f>
        <v>301966</v>
      </c>
      <c r="F97" s="600"/>
      <c r="G97" s="600">
        <f>E97</f>
        <v>301966</v>
      </c>
      <c r="H97" s="599">
        <f>'Sources and Uses Budget'!T98</f>
        <v>217875</v>
      </c>
      <c r="I97" s="600"/>
      <c r="J97" s="600">
        <f>H97</f>
        <v>217875</v>
      </c>
      <c r="K97" s="594"/>
    </row>
    <row r="98" spans="1:11" s="253" customFormat="1">
      <c r="A98" s="239" t="s">
        <v>2058</v>
      </c>
      <c r="B98" s="599">
        <f>'Sources and Uses Budget'!C99</f>
        <v>0</v>
      </c>
      <c r="C98" s="600"/>
      <c r="D98" s="600">
        <f t="shared" si="8"/>
        <v>0</v>
      </c>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f t="shared" si="8"/>
        <v>0</v>
      </c>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f t="shared" si="8"/>
        <v>0</v>
      </c>
      <c r="E100" s="599">
        <f>'Sources and Uses Budget'!S101</f>
        <v>0</v>
      </c>
      <c r="F100" s="600"/>
      <c r="G100" s="600"/>
      <c r="H100" s="599">
        <f>'Sources and Uses Budget'!T101</f>
        <v>0</v>
      </c>
      <c r="I100" s="600"/>
      <c r="J100" s="600"/>
      <c r="K100" s="594"/>
    </row>
    <row r="101" spans="1:11" s="253" customFormat="1">
      <c r="A101" s="239" t="str">
        <f>'Sources and Uses Budget'!$A102</f>
        <v xml:space="preserve">Other (Specify) </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519841</v>
      </c>
      <c r="C102" s="599">
        <f>SUM(C97:C101)</f>
        <v>0</v>
      </c>
      <c r="D102" s="599">
        <f>SUM(D97:D101)</f>
        <v>519841</v>
      </c>
      <c r="E102" s="599">
        <f>'Sources and Uses Budget'!S103</f>
        <v>301966</v>
      </c>
      <c r="F102" s="602">
        <f>SUM(F97:F101)</f>
        <v>0</v>
      </c>
      <c r="G102" s="602">
        <f>SUM(G97:G101)</f>
        <v>301966</v>
      </c>
      <c r="H102" s="599">
        <f>'Sources and Uses Budget'!T103</f>
        <v>217875</v>
      </c>
      <c r="I102" s="602">
        <f>SUM(I97:I101)</f>
        <v>0</v>
      </c>
      <c r="J102" s="602">
        <f>SUM(J97:J101)</f>
        <v>217875</v>
      </c>
      <c r="K102" s="594"/>
    </row>
    <row r="103" spans="1:11" s="253" customFormat="1">
      <c r="A103" s="243" t="s">
        <v>1420</v>
      </c>
      <c r="B103" s="599">
        <f>'Sources and Uses Budget'!C104</f>
        <v>8504611</v>
      </c>
      <c r="C103" s="602">
        <f>SUM(C95+C102)</f>
        <v>0</v>
      </c>
      <c r="D103" s="602">
        <f>SUM(D95+D102)</f>
        <v>8504611</v>
      </c>
      <c r="E103" s="599">
        <f>'Sources and Uses Budget'!S104</f>
        <v>2315074</v>
      </c>
      <c r="F103" s="602">
        <f>F95+F102</f>
        <v>0</v>
      </c>
      <c r="G103" s="602">
        <f>G95+G102</f>
        <v>2315074</v>
      </c>
      <c r="H103" s="599">
        <f>'Sources and Uses Budget'!T104</f>
        <v>4575375</v>
      </c>
      <c r="I103" s="602">
        <f>I95+I102</f>
        <v>0</v>
      </c>
      <c r="J103" s="602">
        <f>J95+J102</f>
        <v>4575375</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2315074</v>
      </c>
      <c r="F105" s="602">
        <f>F103+F104</f>
        <v>0</v>
      </c>
      <c r="G105" s="602">
        <f>G103+G104</f>
        <v>2315074</v>
      </c>
      <c r="H105" s="599">
        <f>'Sources and Uses Budget'!T106</f>
        <v>4575375</v>
      </c>
      <c r="I105" s="602">
        <f>I103+I104</f>
        <v>0</v>
      </c>
      <c r="J105" s="602">
        <f>J103+J104</f>
        <v>4575375</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559" workbookViewId="0">
      <selection activeCell="AN448" sqref="AN44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3" t="s">
        <v>389</v>
      </c>
      <c r="AF4" s="1683"/>
      <c r="AG4" s="1683"/>
      <c r="AH4" s="1683"/>
      <c r="AI4" s="1683"/>
      <c r="AJ4" s="1683"/>
      <c r="AK4" s="1683"/>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2491</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2343</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2492</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2333</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595</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1372</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5">
        <f>VLOOKUP($B$66,$AP$45:$AR$50,2,FALSE)</f>
        <v>10</v>
      </c>
      <c r="AL68" s="1246"/>
      <c r="AM68" s="1246"/>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2242</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612</v>
      </c>
      <c r="I112" s="1673"/>
      <c r="J112" s="116"/>
      <c r="K112" s="116"/>
      <c r="L112" s="116"/>
      <c r="M112" s="116"/>
      <c r="O112" s="957" t="s">
        <v>2204</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4" t="s">
        <v>1848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1921</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5">
        <f>VLOOKUP(H149,AT111:AU113,2,FALSE)</f>
        <v>3</v>
      </c>
      <c r="AK151" s="124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1790</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1791</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1792</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1793</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932</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5">
        <f>VLOOKUP($H$182,$AO$132:$AP$139,2,FALSE)</f>
        <v>3</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2344</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2345</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2050</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612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5">
        <f>VLOOKUP($H$201,$AO$151:$AP$153,2,FALSE)</f>
        <v>3</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1307</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1559</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208</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612</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4" t="s">
        <v>2048</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2049</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4" t="s">
        <v>2347</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1707</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23</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2493</v>
      </c>
      <c r="I284" s="1091"/>
      <c r="J284" s="1091"/>
      <c r="K284" s="1091"/>
      <c r="L284" s="1091"/>
      <c r="M284" s="1091"/>
      <c r="N284" s="1091"/>
      <c r="O284" s="1091"/>
      <c r="P284" s="1091"/>
      <c r="Q284" s="1091"/>
      <c r="R284" s="1091"/>
      <c r="S284"/>
      <c r="T284" s="41" t="s">
        <v>97</v>
      </c>
      <c r="U284"/>
      <c r="V284" s="41"/>
      <c r="W284" s="41"/>
      <c r="X284" s="41"/>
      <c r="Y284" s="41"/>
      <c r="Z284"/>
      <c r="AA284" s="1091" t="s">
        <v>2499</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2494</v>
      </c>
      <c r="I285" s="1092"/>
      <c r="J285" s="1092"/>
      <c r="K285" s="1092"/>
      <c r="L285" s="1092"/>
      <c r="M285" s="1092"/>
      <c r="N285" s="1092"/>
      <c r="O285" s="1092"/>
      <c r="P285" s="1092"/>
      <c r="Q285" s="1092"/>
      <c r="R285" s="1092"/>
      <c r="S285"/>
      <c r="T285" s="41" t="s">
        <v>735</v>
      </c>
      <c r="U285"/>
      <c r="V285" s="41"/>
      <c r="W285" s="41"/>
      <c r="X285" s="41"/>
      <c r="Y285" s="41"/>
      <c r="Z285"/>
      <c r="AA285" s="1092" t="s">
        <v>2500</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2495</v>
      </c>
      <c r="I286" s="1092"/>
      <c r="J286" s="1092"/>
      <c r="K286" s="1092"/>
      <c r="L286" s="1092"/>
      <c r="M286" s="1092"/>
      <c r="N286" s="1092"/>
      <c r="O286" s="1092"/>
      <c r="P286" s="1092"/>
      <c r="Q286" s="1092"/>
      <c r="R286" s="1092"/>
      <c r="S286"/>
      <c r="T286" s="41" t="s">
        <v>107</v>
      </c>
      <c r="U286"/>
      <c r="V286" s="41"/>
      <c r="W286" s="41"/>
      <c r="X286" s="41"/>
      <c r="Y286" s="41"/>
      <c r="Z286"/>
      <c r="AA286" s="1092" t="s">
        <v>2501</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2496</v>
      </c>
      <c r="I287" s="1092"/>
      <c r="J287" s="1092"/>
      <c r="K287" s="1092"/>
      <c r="L287" s="1092"/>
      <c r="M287" s="1092"/>
      <c r="N287" s="1092"/>
      <c r="O287" s="1092"/>
      <c r="P287" s="1092"/>
      <c r="Q287" s="1092"/>
      <c r="R287" s="1092"/>
      <c r="S287"/>
      <c r="T287" s="41" t="s">
        <v>399</v>
      </c>
      <c r="U287"/>
      <c r="V287" s="41"/>
      <c r="W287" s="41"/>
      <c r="X287" s="41"/>
      <c r="Y287" s="41"/>
      <c r="Z287"/>
      <c r="AA287" s="1092" t="s">
        <v>2502</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2497</v>
      </c>
      <c r="I288" s="1115"/>
      <c r="J288" s="1115"/>
      <c r="K288" s="1115"/>
      <c r="L288" s="1115"/>
      <c r="M288" s="1115"/>
      <c r="N288" s="5" t="s">
        <v>859</v>
      </c>
      <c r="O288" s="5"/>
      <c r="P288" s="1119"/>
      <c r="Q288" s="1119"/>
      <c r="R288" s="1119"/>
      <c r="S288" s="41"/>
      <c r="T288" s="41" t="s">
        <v>400</v>
      </c>
      <c r="U288"/>
      <c r="V288" s="41"/>
      <c r="W288" s="41"/>
      <c r="X288" s="41"/>
      <c r="Y288" s="41"/>
      <c r="Z288"/>
      <c r="AA288" s="1114" t="s">
        <v>2503</v>
      </c>
      <c r="AB288" s="1115"/>
      <c r="AC288" s="1115"/>
      <c r="AD288" s="1115"/>
      <c r="AE288" s="1115"/>
      <c r="AF288" s="1115"/>
      <c r="AG288" s="5" t="s">
        <v>859</v>
      </c>
      <c r="AH288" s="5"/>
      <c r="AI288" s="1119"/>
      <c r="AJ288" s="1119"/>
      <c r="AK288" s="1119"/>
      <c r="AL288" s="10"/>
      <c r="AN288" s="281"/>
      <c r="AO288" s="211"/>
    </row>
    <row r="289" spans="1:41" s="4" customFormat="1" ht="12.75" customHeight="1">
      <c r="B289" s="41" t="s">
        <v>96</v>
      </c>
      <c r="C289" s="41"/>
      <c r="D289" s="41"/>
      <c r="E289" s="41"/>
      <c r="F289" s="41"/>
      <c r="G289" s="41"/>
      <c r="H289" s="1092" t="s">
        <v>369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2498</v>
      </c>
      <c r="I290" s="1092"/>
      <c r="J290" s="1092"/>
      <c r="K290" s="1092"/>
      <c r="L290" s="1092"/>
      <c r="M290" s="1092"/>
      <c r="N290" s="1092"/>
      <c r="O290" s="1092"/>
      <c r="P290" s="1092"/>
      <c r="Q290" s="1092"/>
      <c r="R290" s="1092"/>
      <c r="S290" s="41"/>
      <c r="T290" s="41" t="s">
        <v>98</v>
      </c>
      <c r="U290"/>
      <c r="V290" s="41"/>
      <c r="W290" s="41"/>
      <c r="X290" s="41"/>
      <c r="Y290" s="41"/>
      <c r="Z290"/>
      <c r="AA290" s="1092" t="s">
        <v>2504</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5">
        <v>1.5</v>
      </c>
      <c r="I291" s="1715"/>
      <c r="J291" s="1715"/>
      <c r="K291" s="1715"/>
      <c r="L291" s="1715"/>
      <c r="M291" s="1715"/>
      <c r="N291" s="1715"/>
      <c r="O291" s="1715"/>
      <c r="P291" s="1715"/>
      <c r="Q291" s="1715"/>
      <c r="R291" s="1715"/>
      <c r="S291" s="41"/>
      <c r="T291" s="41" t="s">
        <v>109</v>
      </c>
      <c r="U291" s="41"/>
      <c r="V291" s="41"/>
      <c r="W291" s="41"/>
      <c r="X291" s="41"/>
      <c r="Y291" s="41"/>
      <c r="Z291" s="12"/>
      <c r="AA291" s="1715">
        <v>0.2</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2505</v>
      </c>
      <c r="I293" s="1091"/>
      <c r="J293" s="1091"/>
      <c r="K293" s="1091"/>
      <c r="L293" s="1091"/>
      <c r="M293" s="1091"/>
      <c r="N293" s="1091"/>
      <c r="O293" s="1091"/>
      <c r="P293" s="1091"/>
      <c r="Q293" s="1091"/>
      <c r="R293" s="1091"/>
      <c r="S293"/>
      <c r="T293" s="41" t="s">
        <v>97</v>
      </c>
      <c r="U293"/>
      <c r="V293" s="41"/>
      <c r="W293" s="41"/>
      <c r="X293" s="41"/>
      <c r="Y293" s="41"/>
      <c r="Z293"/>
      <c r="AA293" s="1091" t="s">
        <v>2511</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2506</v>
      </c>
      <c r="I294" s="1092"/>
      <c r="J294" s="1092"/>
      <c r="K294" s="1092"/>
      <c r="L294" s="1092"/>
      <c r="M294" s="1092"/>
      <c r="N294" s="1092"/>
      <c r="O294" s="1092"/>
      <c r="P294" s="1092"/>
      <c r="Q294" s="1092"/>
      <c r="R294" s="1092"/>
      <c r="S294"/>
      <c r="T294" s="41" t="s">
        <v>735</v>
      </c>
      <c r="U294"/>
      <c r="V294" s="41"/>
      <c r="W294" s="41"/>
      <c r="X294" s="41"/>
      <c r="Y294" s="41"/>
      <c r="Z294"/>
      <c r="AA294" s="1092" t="s">
        <v>2512</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2507</v>
      </c>
      <c r="I295" s="1092"/>
      <c r="J295" s="1092"/>
      <c r="K295" s="1092"/>
      <c r="L295" s="1092"/>
      <c r="M295" s="1092"/>
      <c r="N295" s="1092"/>
      <c r="O295" s="1092"/>
      <c r="P295" s="1092"/>
      <c r="Q295" s="1092"/>
      <c r="R295" s="1092"/>
      <c r="S295"/>
      <c r="T295" s="41" t="s">
        <v>107</v>
      </c>
      <c r="U295"/>
      <c r="V295" s="41"/>
      <c r="W295" s="41"/>
      <c r="X295" s="41"/>
      <c r="Y295" s="41"/>
      <c r="Z295"/>
      <c r="AA295" s="1092" t="s">
        <v>2507</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2508</v>
      </c>
      <c r="I296" s="1092"/>
      <c r="J296" s="1092"/>
      <c r="K296" s="1092"/>
      <c r="L296" s="1092"/>
      <c r="M296" s="1092"/>
      <c r="N296" s="1092"/>
      <c r="O296" s="1092"/>
      <c r="P296" s="1092"/>
      <c r="Q296" s="1092"/>
      <c r="R296" s="1092"/>
      <c r="S296"/>
      <c r="T296" s="41" t="s">
        <v>399</v>
      </c>
      <c r="U296"/>
      <c r="V296" s="41"/>
      <c r="W296" s="41"/>
      <c r="X296" s="41"/>
      <c r="Y296" s="41"/>
      <c r="Z296"/>
      <c r="AA296" s="1092" t="s">
        <v>2513</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2509</v>
      </c>
      <c r="I297" s="1115"/>
      <c r="J297" s="1115"/>
      <c r="K297" s="1115"/>
      <c r="L297" s="1115"/>
      <c r="M297" s="1115"/>
      <c r="N297" s="5" t="s">
        <v>859</v>
      </c>
      <c r="O297" s="5"/>
      <c r="P297" s="1119"/>
      <c r="Q297" s="1119"/>
      <c r="R297" s="1119"/>
      <c r="S297" s="41"/>
      <c r="T297" s="41" t="s">
        <v>400</v>
      </c>
      <c r="U297"/>
      <c r="V297" s="41"/>
      <c r="W297" s="41"/>
      <c r="X297" s="41"/>
      <c r="Y297" s="41"/>
      <c r="Z297"/>
      <c r="AA297" s="1114" t="s">
        <v>2514</v>
      </c>
      <c r="AB297" s="1115"/>
      <c r="AC297" s="1115"/>
      <c r="AD297" s="1115"/>
      <c r="AE297" s="1115"/>
      <c r="AF297" s="1115"/>
      <c r="AG297" s="5" t="s">
        <v>859</v>
      </c>
      <c r="AH297" s="5"/>
      <c r="AI297" s="1119"/>
      <c r="AJ297" s="1119"/>
      <c r="AK297" s="1119"/>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104</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2510</v>
      </c>
      <c r="I299" s="1092"/>
      <c r="J299" s="1092"/>
      <c r="K299" s="1092"/>
      <c r="L299" s="1092"/>
      <c r="M299" s="1092"/>
      <c r="N299" s="1092"/>
      <c r="O299" s="1092"/>
      <c r="P299" s="1092"/>
      <c r="Q299" s="1092"/>
      <c r="R299" s="1092"/>
      <c r="S299" s="41"/>
      <c r="T299" s="41" t="s">
        <v>98</v>
      </c>
      <c r="U299"/>
      <c r="V299" s="41"/>
      <c r="W299" s="41"/>
      <c r="X299" s="41"/>
      <c r="Y299" s="41"/>
      <c r="Z299"/>
      <c r="AA299" s="1092" t="s">
        <v>2515</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5">
        <v>0.4</v>
      </c>
      <c r="I300" s="1715"/>
      <c r="J300" s="1715"/>
      <c r="K300" s="1715"/>
      <c r="L300" s="1715"/>
      <c r="M300" s="1715"/>
      <c r="N300" s="1715"/>
      <c r="O300" s="1715"/>
      <c r="P300" s="1715"/>
      <c r="Q300" s="1715"/>
      <c r="R300" s="1715"/>
      <c r="S300" s="41"/>
      <c r="T300" s="41" t="s">
        <v>109</v>
      </c>
      <c r="U300" s="41"/>
      <c r="V300" s="41"/>
      <c r="W300" s="41"/>
      <c r="X300" s="41"/>
      <c r="Y300" s="41"/>
      <c r="Z300" s="12"/>
      <c r="AA300" s="1715">
        <v>0.3</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2516</v>
      </c>
      <c r="I302" s="1091"/>
      <c r="J302" s="1091"/>
      <c r="K302" s="1091"/>
      <c r="L302" s="1091"/>
      <c r="M302" s="1091"/>
      <c r="N302" s="1091"/>
      <c r="O302" s="1091"/>
      <c r="P302" s="1091"/>
      <c r="Q302" s="1091"/>
      <c r="R302" s="1091"/>
      <c r="S302"/>
      <c r="T302" s="41" t="s">
        <v>97</v>
      </c>
      <c r="U302"/>
      <c r="V302" s="41"/>
      <c r="W302" s="41"/>
      <c r="X302" s="41"/>
      <c r="Y302" s="41"/>
      <c r="Z302"/>
      <c r="AA302" s="1091" t="s">
        <v>2522</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2517</v>
      </c>
      <c r="I303" s="1092"/>
      <c r="J303" s="1092"/>
      <c r="K303" s="1092"/>
      <c r="L303" s="1092"/>
      <c r="M303" s="1092"/>
      <c r="N303" s="1092"/>
      <c r="O303" s="1092"/>
      <c r="P303" s="1092"/>
      <c r="Q303" s="1092"/>
      <c r="R303" s="1092"/>
      <c r="S303"/>
      <c r="T303" s="41" t="s">
        <v>735</v>
      </c>
      <c r="U303"/>
      <c r="V303" s="41"/>
      <c r="W303" s="41"/>
      <c r="X303" s="41"/>
      <c r="Y303" s="41"/>
      <c r="Z303"/>
      <c r="AA303" s="1092" t="s">
        <v>2522</v>
      </c>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2518</v>
      </c>
      <c r="I304" s="1092"/>
      <c r="J304" s="1092"/>
      <c r="K304" s="1092"/>
      <c r="L304" s="1092"/>
      <c r="M304" s="1092"/>
      <c r="N304" s="1092"/>
      <c r="O304" s="1092"/>
      <c r="P304" s="1092"/>
      <c r="Q304" s="1092"/>
      <c r="R304" s="1092"/>
      <c r="S304"/>
      <c r="T304" s="41" t="s">
        <v>107</v>
      </c>
      <c r="U304"/>
      <c r="V304" s="41"/>
      <c r="W304" s="41"/>
      <c r="X304" s="41"/>
      <c r="Y304" s="41"/>
      <c r="Z304"/>
      <c r="AA304" s="1092" t="s">
        <v>2523</v>
      </c>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2519</v>
      </c>
      <c r="I305" s="1092"/>
      <c r="J305" s="1092"/>
      <c r="K305" s="1092"/>
      <c r="L305" s="1092"/>
      <c r="M305" s="1092"/>
      <c r="N305" s="1092"/>
      <c r="O305" s="1092"/>
      <c r="P305" s="1092"/>
      <c r="Q305" s="1092"/>
      <c r="R305" s="1092"/>
      <c r="S305"/>
      <c r="T305" s="41" t="s">
        <v>399</v>
      </c>
      <c r="U305"/>
      <c r="V305" s="41"/>
      <c r="W305" s="41"/>
      <c r="X305" s="41"/>
      <c r="Y305" s="41"/>
      <c r="Z305"/>
      <c r="AA305" s="1092" t="s">
        <v>2524</v>
      </c>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4" t="s">
        <v>2520</v>
      </c>
      <c r="I306" s="1115"/>
      <c r="J306" s="1115"/>
      <c r="K306" s="1115"/>
      <c r="L306" s="1115"/>
      <c r="M306" s="1115"/>
      <c r="N306" s="5" t="s">
        <v>859</v>
      </c>
      <c r="O306" s="5"/>
      <c r="P306" s="1119"/>
      <c r="Q306" s="1119"/>
      <c r="R306" s="1119"/>
      <c r="S306" s="41"/>
      <c r="T306" s="41" t="s">
        <v>400</v>
      </c>
      <c r="U306"/>
      <c r="V306" s="41"/>
      <c r="W306" s="41"/>
      <c r="X306" s="41"/>
      <c r="Y306" s="41"/>
      <c r="Z306"/>
      <c r="AA306" s="1114" t="s">
        <v>2525</v>
      </c>
      <c r="AB306" s="1115"/>
      <c r="AC306" s="1115"/>
      <c r="AD306" s="1115"/>
      <c r="AE306" s="1115"/>
      <c r="AF306" s="1115"/>
      <c r="AG306" s="5" t="s">
        <v>859</v>
      </c>
      <c r="AH306" s="5"/>
      <c r="AI306" s="1119"/>
      <c r="AJ306" s="1119"/>
      <c r="AK306" s="1119"/>
      <c r="AL306" s="10"/>
      <c r="AN306" s="281"/>
    </row>
    <row r="307" spans="2:40" s="4" customFormat="1" ht="12.75" customHeight="1">
      <c r="B307" s="41" t="s">
        <v>96</v>
      </c>
      <c r="C307" s="41"/>
      <c r="D307" s="41"/>
      <c r="E307" s="41"/>
      <c r="F307" s="41"/>
      <c r="G307" s="41"/>
      <c r="H307" s="1092" t="s">
        <v>103</v>
      </c>
      <c r="I307" s="1092"/>
      <c r="J307" s="1092"/>
      <c r="K307" s="1092"/>
      <c r="L307" s="1092"/>
      <c r="M307" s="1092"/>
      <c r="N307" s="1092"/>
      <c r="O307" s="1092"/>
      <c r="P307" s="1092"/>
      <c r="Q307" s="1092"/>
      <c r="R307" s="1092"/>
      <c r="S307" s="41"/>
      <c r="T307" s="41" t="s">
        <v>96</v>
      </c>
      <c r="U307"/>
      <c r="V307" s="41"/>
      <c r="W307" s="41"/>
      <c r="X307" s="41"/>
      <c r="Y307" s="41"/>
      <c r="Z307"/>
      <c r="AA307" s="1092" t="s">
        <v>99</v>
      </c>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2521</v>
      </c>
      <c r="I308" s="1092"/>
      <c r="J308" s="1092"/>
      <c r="K308" s="1092"/>
      <c r="L308" s="1092"/>
      <c r="M308" s="1092"/>
      <c r="N308" s="1092"/>
      <c r="O308" s="1092"/>
      <c r="P308" s="1092"/>
      <c r="Q308" s="1092"/>
      <c r="R308" s="1092"/>
      <c r="S308" s="41"/>
      <c r="T308" s="41" t="s">
        <v>98</v>
      </c>
      <c r="U308"/>
      <c r="V308" s="41"/>
      <c r="W308" s="41"/>
      <c r="X308" s="41"/>
      <c r="Y308" s="41"/>
      <c r="Z308"/>
      <c r="AA308" s="1092" t="s">
        <v>2526</v>
      </c>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5">
        <v>0.8</v>
      </c>
      <c r="I309" s="1715"/>
      <c r="J309" s="1715"/>
      <c r="K309" s="1715"/>
      <c r="L309" s="1715"/>
      <c r="M309" s="1715"/>
      <c r="N309" s="1715"/>
      <c r="O309" s="1715"/>
      <c r="P309" s="1715"/>
      <c r="Q309" s="1715"/>
      <c r="R309" s="1715"/>
      <c r="S309" s="41"/>
      <c r="T309" s="41" t="s">
        <v>109</v>
      </c>
      <c r="U309" s="41"/>
      <c r="V309" s="41"/>
      <c r="W309" s="41"/>
      <c r="X309" s="41"/>
      <c r="Y309" s="41"/>
      <c r="Z309" s="12"/>
      <c r="AA309" s="1715">
        <v>0.2</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t="s">
        <v>2527</v>
      </c>
      <c r="I311" s="1091"/>
      <c r="J311" s="1091"/>
      <c r="K311" s="1091"/>
      <c r="L311" s="1091"/>
      <c r="M311" s="1091"/>
      <c r="N311" s="1091"/>
      <c r="O311" s="1091"/>
      <c r="P311" s="1091"/>
      <c r="Q311" s="1091"/>
      <c r="R311" s="1091"/>
      <c r="S311"/>
      <c r="T311" s="41" t="s">
        <v>97</v>
      </c>
      <c r="U311"/>
      <c r="V311" s="41"/>
      <c r="W311" s="41"/>
      <c r="X311" s="41"/>
      <c r="Y311" s="41"/>
      <c r="Z311"/>
      <c r="AA311" s="1091" t="s">
        <v>2532</v>
      </c>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t="s">
        <v>2528</v>
      </c>
      <c r="I312" s="1092"/>
      <c r="J312" s="1092"/>
      <c r="K312" s="1092"/>
      <c r="L312" s="1092"/>
      <c r="M312" s="1092"/>
      <c r="N312" s="1092"/>
      <c r="O312" s="1092"/>
      <c r="P312" s="1092"/>
      <c r="Q312" s="1092"/>
      <c r="R312" s="1092"/>
      <c r="S312"/>
      <c r="T312" s="41" t="s">
        <v>735</v>
      </c>
      <c r="U312"/>
      <c r="V312" s="41"/>
      <c r="W312" s="41"/>
      <c r="X312" s="41"/>
      <c r="Y312" s="41"/>
      <c r="Z312"/>
      <c r="AA312" s="1092" t="s">
        <v>2533</v>
      </c>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t="s">
        <v>2507</v>
      </c>
      <c r="I313" s="1092"/>
      <c r="J313" s="1092"/>
      <c r="K313" s="1092"/>
      <c r="L313" s="1092"/>
      <c r="M313" s="1092"/>
      <c r="N313" s="1092"/>
      <c r="O313" s="1092"/>
      <c r="P313" s="1092"/>
      <c r="Q313" s="1092"/>
      <c r="R313" s="1092"/>
      <c r="S313"/>
      <c r="T313" s="41" t="s">
        <v>107</v>
      </c>
      <c r="U313"/>
      <c r="V313" s="41"/>
      <c r="W313" s="41"/>
      <c r="X313" s="41"/>
      <c r="Y313" s="41"/>
      <c r="Z313"/>
      <c r="AA313" s="1092" t="s">
        <v>2507</v>
      </c>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t="s">
        <v>2529</v>
      </c>
      <c r="I314" s="1092"/>
      <c r="J314" s="1092"/>
      <c r="K314" s="1092"/>
      <c r="L314" s="1092"/>
      <c r="M314" s="1092"/>
      <c r="N314" s="1092"/>
      <c r="O314" s="1092"/>
      <c r="P314" s="1092"/>
      <c r="Q314" s="1092"/>
      <c r="R314" s="1092"/>
      <c r="S314"/>
      <c r="T314" s="41" t="s">
        <v>399</v>
      </c>
      <c r="U314"/>
      <c r="V314" s="41"/>
      <c r="W314" s="41"/>
      <c r="X314" s="41"/>
      <c r="Y314" s="41"/>
      <c r="Z314"/>
      <c r="AA314" s="1092" t="s">
        <v>2534</v>
      </c>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4" t="s">
        <v>2530</v>
      </c>
      <c r="I315" s="1115"/>
      <c r="J315" s="1115"/>
      <c r="K315" s="1115"/>
      <c r="L315" s="1115"/>
      <c r="M315" s="1115"/>
      <c r="N315" s="5" t="s">
        <v>859</v>
      </c>
      <c r="O315" s="5"/>
      <c r="P315" s="1119"/>
      <c r="Q315" s="1119"/>
      <c r="R315" s="1119"/>
      <c r="S315" s="41"/>
      <c r="T315" s="41" t="s">
        <v>400</v>
      </c>
      <c r="U315"/>
      <c r="V315" s="41"/>
      <c r="W315" s="41"/>
      <c r="X315" s="41"/>
      <c r="Y315" s="41"/>
      <c r="Z315"/>
      <c r="AA315" s="1114" t="s">
        <v>2535</v>
      </c>
      <c r="AB315" s="1115"/>
      <c r="AC315" s="1115"/>
      <c r="AD315" s="1115"/>
      <c r="AE315" s="1115"/>
      <c r="AF315" s="1115"/>
      <c r="AG315" s="5" t="s">
        <v>859</v>
      </c>
      <c r="AH315" s="5"/>
      <c r="AI315" s="1119"/>
      <c r="AJ315" s="1119"/>
      <c r="AK315" s="1119"/>
      <c r="AL315" s="10"/>
      <c r="AN315" s="281"/>
    </row>
    <row r="316" spans="2:40" s="4" customFormat="1" ht="12.75" customHeight="1">
      <c r="B316" s="41" t="s">
        <v>96</v>
      </c>
      <c r="C316" s="41"/>
      <c r="D316" s="41"/>
      <c r="E316" s="41"/>
      <c r="F316" s="41"/>
      <c r="G316" s="41"/>
      <c r="H316" s="1092" t="s">
        <v>108</v>
      </c>
      <c r="I316" s="1092"/>
      <c r="J316" s="1092"/>
      <c r="K316" s="1092"/>
      <c r="L316" s="1092"/>
      <c r="M316" s="1092"/>
      <c r="N316" s="1092"/>
      <c r="O316" s="1092"/>
      <c r="P316" s="1092"/>
      <c r="Q316" s="1092"/>
      <c r="R316" s="1092"/>
      <c r="S316" s="41"/>
      <c r="T316" s="41" t="s">
        <v>96</v>
      </c>
      <c r="U316"/>
      <c r="V316" s="41"/>
      <c r="W316" s="41"/>
      <c r="X316" s="41"/>
      <c r="Y316" s="41"/>
      <c r="Z316"/>
      <c r="AA316" s="1092" t="s">
        <v>108</v>
      </c>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t="s">
        <v>2531</v>
      </c>
      <c r="I317" s="1092"/>
      <c r="J317" s="1092"/>
      <c r="K317" s="1092"/>
      <c r="L317" s="1092"/>
      <c r="M317" s="1092"/>
      <c r="N317" s="1092"/>
      <c r="O317" s="1092"/>
      <c r="P317" s="1092"/>
      <c r="Q317" s="1092"/>
      <c r="R317" s="1092"/>
      <c r="S317" s="41"/>
      <c r="T317" s="41" t="s">
        <v>98</v>
      </c>
      <c r="U317"/>
      <c r="V317" s="41"/>
      <c r="W317" s="41"/>
      <c r="X317" s="41"/>
      <c r="Y317" s="41"/>
      <c r="Z317"/>
      <c r="AA317" s="1092" t="s">
        <v>2536</v>
      </c>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5">
        <v>0.9</v>
      </c>
      <c r="I318" s="1715"/>
      <c r="J318" s="1715"/>
      <c r="K318" s="1715"/>
      <c r="L318" s="1715"/>
      <c r="M318" s="1715"/>
      <c r="N318" s="1715"/>
      <c r="O318" s="1715"/>
      <c r="P318" s="1715"/>
      <c r="Q318" s="1715"/>
      <c r="R318" s="1715"/>
      <c r="S318" s="41"/>
      <c r="T318" s="41" t="s">
        <v>109</v>
      </c>
      <c r="U318" s="41"/>
      <c r="V318" s="41"/>
      <c r="W318" s="41"/>
      <c r="X318" s="41"/>
      <c r="Y318" s="41"/>
      <c r="Z318" s="12"/>
      <c r="AA318" s="1715">
        <v>0.4</v>
      </c>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t="s">
        <v>2537</v>
      </c>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t="s">
        <v>2538</v>
      </c>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t="s">
        <v>2507</v>
      </c>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t="s">
        <v>2539</v>
      </c>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4" t="s">
        <v>2540</v>
      </c>
      <c r="I324" s="1115"/>
      <c r="J324" s="1115"/>
      <c r="K324" s="1115"/>
      <c r="L324" s="1115"/>
      <c r="M324" s="1115"/>
      <c r="N324" s="5" t="s">
        <v>859</v>
      </c>
      <c r="O324" s="5"/>
      <c r="P324" s="1119"/>
      <c r="Q324" s="1119"/>
      <c r="R324" s="1119"/>
      <c r="S324" s="41"/>
      <c r="T324" s="41" t="s">
        <v>400</v>
      </c>
      <c r="U324"/>
      <c r="V324" s="41"/>
      <c r="W324" s="41"/>
      <c r="X324" s="41"/>
      <c r="Y324" s="41"/>
      <c r="Z324"/>
      <c r="AA324" s="1115"/>
      <c r="AB324" s="1115"/>
      <c r="AC324" s="1115"/>
      <c r="AD324" s="1115"/>
      <c r="AE324" s="1115"/>
      <c r="AF324" s="1115"/>
      <c r="AG324" s="5" t="s">
        <v>859</v>
      </c>
      <c r="AH324" s="5"/>
      <c r="AI324" s="1119"/>
      <c r="AJ324" s="1119"/>
      <c r="AK324" s="1119"/>
      <c r="AL324" s="41"/>
      <c r="AN324" s="281"/>
    </row>
    <row r="325" spans="1:76" s="4" customFormat="1" ht="12.75" customHeight="1">
      <c r="B325" s="41" t="s">
        <v>96</v>
      </c>
      <c r="C325" s="41"/>
      <c r="D325" s="41"/>
      <c r="E325" s="41"/>
      <c r="F325" s="41"/>
      <c r="G325" s="41"/>
      <c r="H325" s="1092" t="s">
        <v>108</v>
      </c>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t="s">
        <v>2531</v>
      </c>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5">
        <v>1.7</v>
      </c>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1922</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1923</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4"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1924</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1925</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0</v>
      </c>
      <c r="AS351" s="3" t="s">
        <v>1856</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1889</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7</v>
      </c>
    </row>
    <row r="356" spans="1:46" s="4" customFormat="1" ht="12.75" customHeight="1">
      <c r="A356" s="27"/>
      <c r="B356" s="26"/>
      <c r="C356" s="1716" t="s">
        <v>1926</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3</v>
      </c>
    </row>
    <row r="360" spans="1:46" s="4" customFormat="1" ht="12.4"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1927</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10</v>
      </c>
      <c r="AQ365" s="1230">
        <f>IF(AP365&gt;0,AP365,0)</f>
        <v>10</v>
      </c>
      <c r="AR365" s="1230"/>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2">
        <f>Application!CQ636-U368</f>
        <v>28</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1865</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8"/>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1864</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8"/>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2047</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116</v>
      </c>
      <c r="D396" s="1118"/>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132</v>
      </c>
      <c r="D398" s="1118"/>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1863</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8"/>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116</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8"/>
      <c r="E411" s="713" t="s">
        <v>204</v>
      </c>
      <c r="F411" s="1700" t="s">
        <v>1867</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1869</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8"/>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1870</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8"/>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1871</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8"/>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1874</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8"/>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1911</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1388</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1384</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1385</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1912</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4" t="s">
        <v>132</v>
      </c>
      <c r="D465" s="1118"/>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1387</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8" t="s">
        <v>1568</v>
      </c>
      <c r="AQ504" s="1129"/>
      <c r="AR504" s="1130"/>
      <c r="AS504" s="639">
        <v>80</v>
      </c>
      <c r="AT504" s="4">
        <v>0</v>
      </c>
      <c r="AU504" s="160">
        <v>10</v>
      </c>
      <c r="AV504" s="160">
        <v>25</v>
      </c>
      <c r="AW504" s="160">
        <v>37.5</v>
      </c>
      <c r="AX504" s="160">
        <v>35</v>
      </c>
      <c r="AY504" s="160">
        <v>37.5</v>
      </c>
      <c r="AZ504" s="160">
        <v>50</v>
      </c>
      <c r="BA504" s="160">
        <v>50</v>
      </c>
      <c r="BB504" s="21"/>
      <c r="BC504" s="21"/>
      <c r="BE504" s="1128" t="s">
        <v>1568</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12</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12</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8"/>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12</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0</v>
      </c>
      <c r="BZ526" s="1759"/>
      <c r="CA526" s="1757">
        <f>IF(Y608&gt;=0.1,1,0)</f>
        <v>0</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1</v>
      </c>
      <c r="BV528" s="1748"/>
      <c r="BW528" s="1747">
        <f>SUM(BW523:BX527)</f>
        <v>1</v>
      </c>
      <c r="BX528" s="1748"/>
      <c r="BY528" s="1747">
        <f>SUM(BY523:BZ527)</f>
        <v>0</v>
      </c>
      <c r="BZ528" s="1748"/>
      <c r="CA528" s="1747">
        <f>SUM(CA523:CB527)</f>
        <v>0</v>
      </c>
      <c r="CB528" s="1748"/>
      <c r="CC528" s="1747">
        <f>SUM(CC523:CD527)</f>
        <v>0</v>
      </c>
      <c r="CD528" s="1748"/>
      <c r="CE528" s="1747">
        <f>SUM(CE523:CF527)</f>
        <v>0</v>
      </c>
      <c r="CF528" s="1748"/>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2</v>
      </c>
      <c r="BV529" s="1758"/>
      <c r="BW529" s="1758"/>
      <c r="BX529" s="1759"/>
      <c r="BY529" s="1757">
        <f>SUM(BY528:CB528)</f>
        <v>0</v>
      </c>
      <c r="BZ529" s="1758"/>
      <c r="CA529" s="1758"/>
      <c r="CB529" s="1759"/>
      <c r="CC529" s="1757">
        <f>SUM(CC528:CF528)</f>
        <v>0</v>
      </c>
      <c r="CD529" s="1758"/>
      <c r="CE529" s="1758"/>
      <c r="CF529" s="1759"/>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1</v>
      </c>
      <c r="AQ532" s="1864"/>
      <c r="AR532" s="1864"/>
      <c r="AS532" s="1864"/>
      <c r="AT532" s="1865"/>
      <c r="AU532" s="1863">
        <f>RANK(Y607,$Y$605:$AC$609,0)+COUNTIF($Y$605:$AC$609,Y607)-1</f>
        <v>1</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5</v>
      </c>
      <c r="AQ533" s="1864"/>
      <c r="AR533" s="1864"/>
      <c r="AS533" s="1864"/>
      <c r="AT533" s="1865"/>
      <c r="AU533" s="1863">
        <f>RANK(Y608,$Y$605:$AC$609,0)+COUNTIF($Y$605:$AC$609,Y608)-1</f>
        <v>5</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12</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1796</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2</v>
      </c>
      <c r="AV543" s="1781"/>
      <c r="AW543" s="450"/>
      <c r="AX543" s="450">
        <f>AU543-AP545</f>
        <v>-1</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3</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4" customHeight="1">
      <c r="B548" s="1760" t="s">
        <v>1569</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1840</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passed</v>
      </c>
      <c r="AW551" s="1749"/>
      <c r="AX551" s="1749"/>
      <c r="AY551" s="1748"/>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1570</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1839</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12</v>
      </c>
      <c r="BG562" s="1755"/>
      <c r="BH562" s="1755"/>
      <c r="BI562" s="1755"/>
      <c r="BJ562" s="1756"/>
      <c r="BK562" s="1653">
        <f>SUM(T605:X609)</f>
        <v>3</v>
      </c>
      <c r="BL562" s="1654"/>
      <c r="BM562" s="1654"/>
      <c r="BN562" s="1654"/>
      <c r="BO562" s="1655"/>
    </row>
    <row r="563" spans="1:96" s="4" customFormat="1" ht="12.75" customHeight="1">
      <c r="B563" s="35"/>
      <c r="I563" s="1131" t="s">
        <v>1568</v>
      </c>
      <c r="J563" s="1132"/>
      <c r="K563" s="1132"/>
      <c r="L563" s="1132"/>
      <c r="M563" s="1132"/>
      <c r="N563" s="1133"/>
      <c r="O563" s="1649">
        <v>0.5</v>
      </c>
      <c r="P563" s="1650"/>
      <c r="Q563" s="1662"/>
      <c r="R563" s="1663"/>
      <c r="S563" s="1652"/>
      <c r="T563" s="1652"/>
      <c r="U563" s="1693" t="s">
        <v>1572</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1"/>
      <c r="J564" s="1132"/>
      <c r="K564" s="1132"/>
      <c r="L564" s="1132"/>
      <c r="M564" s="1132"/>
      <c r="N564" s="1133"/>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1"/>
      <c r="J565" s="1132"/>
      <c r="K565" s="1132"/>
      <c r="L565" s="1132"/>
      <c r="M565" s="1132"/>
      <c r="N565" s="1133"/>
      <c r="O565" s="1649">
        <v>0.4</v>
      </c>
      <c r="P565" s="1650"/>
      <c r="Q565" s="1651"/>
      <c r="R565" s="1652"/>
      <c r="S565" s="1664" t="s">
        <v>1571</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12</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49">
        <v>0.35</v>
      </c>
      <c r="P566" s="1650"/>
      <c r="Q566" s="1651"/>
      <c r="R566" s="1652"/>
      <c r="S566" s="1664" t="s">
        <v>1841</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49">
        <v>0.3</v>
      </c>
      <c r="P567" s="1650"/>
      <c r="Q567" s="1651"/>
      <c r="R567" s="1652"/>
      <c r="S567" s="1664" t="s">
        <v>1842</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3">
        <v>5</v>
      </c>
      <c r="BK567" s="1194"/>
      <c r="BL567" s="1194"/>
      <c r="BM567" s="1194"/>
      <c r="BN567" s="1195"/>
      <c r="BO567" s="1193">
        <v>4</v>
      </c>
      <c r="BP567" s="1194"/>
      <c r="BQ567" s="1194"/>
      <c r="BR567" s="1194"/>
      <c r="BS567" s="1195"/>
      <c r="BT567" s="1193">
        <v>3</v>
      </c>
      <c r="BU567" s="1194"/>
      <c r="BV567" s="1194"/>
      <c r="BW567" s="1194"/>
      <c r="BX567" s="1195"/>
      <c r="BY567" s="1193">
        <v>2</v>
      </c>
      <c r="BZ567" s="1194"/>
      <c r="CA567" s="1194"/>
      <c r="CB567" s="1194"/>
      <c r="CC567" s="1195"/>
      <c r="CD567" s="1193">
        <v>1</v>
      </c>
      <c r="CE567" s="1194"/>
      <c r="CF567" s="1194"/>
      <c r="CG567" s="1194"/>
      <c r="CH567" s="1195"/>
      <c r="CI567" s="1193">
        <v>0</v>
      </c>
      <c r="CJ567" s="1194"/>
      <c r="CK567" s="1194"/>
      <c r="CL567" s="1194"/>
      <c r="CM567" s="1195"/>
      <c r="CN567" s="21"/>
      <c r="CO567" s="21"/>
      <c r="CP567" s="21"/>
      <c r="CQ567" s="21"/>
      <c r="CR567" s="21"/>
    </row>
    <row r="568" spans="1:96" s="4" customFormat="1" ht="12.75" customHeight="1">
      <c r="B568" s="5"/>
      <c r="C568" s="5"/>
      <c r="D568" s="5"/>
      <c r="E568" s="5"/>
      <c r="I568" s="1131"/>
      <c r="J568" s="1132"/>
      <c r="K568" s="1132"/>
      <c r="L568" s="1132"/>
      <c r="M568" s="1132"/>
      <c r="N568" s="1133"/>
      <c r="O568" s="1649">
        <v>0.25</v>
      </c>
      <c r="P568" s="1650"/>
      <c r="Q568" s="1651"/>
      <c r="R568" s="1652"/>
      <c r="S568" s="1664" t="s">
        <v>1843</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3">
        <f>IF(OR(AP578=0,BE568&gt;=0.1),0,1)</f>
        <v>0</v>
      </c>
      <c r="BK568" s="1194"/>
      <c r="BL568" s="1194"/>
      <c r="BM568" s="1194"/>
      <c r="BN568" s="1195"/>
      <c r="BO568" s="1193"/>
      <c r="BP568" s="1194"/>
      <c r="BQ568" s="1194"/>
      <c r="BR568" s="1194"/>
      <c r="BS568" s="1195"/>
      <c r="BT568" s="1193"/>
      <c r="BU568" s="1194"/>
      <c r="BV568" s="1194"/>
      <c r="BW568" s="1194"/>
      <c r="BX568" s="1195"/>
      <c r="BY568" s="1193"/>
      <c r="BZ568" s="1194"/>
      <c r="CA568" s="1194"/>
      <c r="CB568" s="1194"/>
      <c r="CC568" s="1195"/>
      <c r="CD568" s="1193"/>
      <c r="CE568" s="1194"/>
      <c r="CF568" s="1194"/>
      <c r="CG568" s="1194"/>
      <c r="CH568" s="1195"/>
      <c r="CI568" s="1193"/>
      <c r="CJ568" s="1194"/>
      <c r="CK568" s="1194"/>
      <c r="CL568" s="1194"/>
      <c r="CM568" s="1195"/>
      <c r="CN568" s="21"/>
      <c r="CO568" s="21"/>
      <c r="CP568" s="21"/>
      <c r="CQ568" s="21"/>
      <c r="CR568" s="21"/>
    </row>
    <row r="569" spans="1:96" s="4" customFormat="1" ht="12.75" customHeight="1">
      <c r="A569" s="120"/>
      <c r="B569" s="5"/>
      <c r="C569" s="5"/>
      <c r="D569" s="5"/>
      <c r="E569" s="5"/>
      <c r="I569" s="1131"/>
      <c r="J569" s="1132"/>
      <c r="K569" s="1132"/>
      <c r="L569" s="1132"/>
      <c r="M569" s="1132"/>
      <c r="N569" s="1133"/>
      <c r="O569" s="1649">
        <v>0.2</v>
      </c>
      <c r="P569" s="1650"/>
      <c r="Q569" s="1651"/>
      <c r="R569" s="1652"/>
      <c r="S569" s="1677" t="s">
        <v>1846</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3"/>
      <c r="BK569" s="1194"/>
      <c r="BL569" s="1194"/>
      <c r="BM569" s="1194"/>
      <c r="BN569" s="1195"/>
      <c r="BO569" s="1193">
        <f>IF(AND(AND(AZ568=0,BJ568=0,AP579=1)),1,0)</f>
        <v>0</v>
      </c>
      <c r="BP569" s="1194"/>
      <c r="BQ569" s="1194"/>
      <c r="BR569" s="1194"/>
      <c r="BS569" s="1195"/>
      <c r="BT569" s="1193"/>
      <c r="BU569" s="1194"/>
      <c r="BV569" s="1194"/>
      <c r="BW569" s="1194"/>
      <c r="BX569" s="1195"/>
      <c r="BY569" s="1193"/>
      <c r="BZ569" s="1194"/>
      <c r="CA569" s="1194"/>
      <c r="CB569" s="1194"/>
      <c r="CC569" s="1195"/>
      <c r="CD569" s="1193"/>
      <c r="CE569" s="1194"/>
      <c r="CF569" s="1194"/>
      <c r="CG569" s="1194"/>
      <c r="CH569" s="1195"/>
      <c r="CI569" s="1193"/>
      <c r="CJ569" s="1194"/>
      <c r="CK569" s="1194"/>
      <c r="CL569" s="1194"/>
      <c r="CM569" s="1195"/>
      <c r="CN569" s="21"/>
      <c r="CO569" s="21"/>
      <c r="CP569" s="21"/>
      <c r="CQ569" s="21"/>
      <c r="CR569" s="21"/>
    </row>
    <row r="570" spans="1:96" s="4" customFormat="1" ht="12.75" customHeight="1">
      <c r="A570" s="120"/>
      <c r="B570" s="5"/>
      <c r="C570" s="5"/>
      <c r="D570" s="5"/>
      <c r="E570" s="5"/>
      <c r="I570" s="1131"/>
      <c r="J570" s="1132"/>
      <c r="K570" s="1132"/>
      <c r="L570" s="1132"/>
      <c r="M570" s="1132"/>
      <c r="N570" s="1133"/>
      <c r="O570" s="1649">
        <v>0.15</v>
      </c>
      <c r="P570" s="1650"/>
      <c r="Q570" s="1651"/>
      <c r="R570" s="1652"/>
      <c r="S570" s="1664" t="s">
        <v>1844</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4</v>
      </c>
      <c r="AV570" s="1322"/>
      <c r="AW570" s="1322"/>
      <c r="AX570" s="1322"/>
      <c r="AY570" s="1323"/>
      <c r="AZ570" s="1321">
        <f t="shared" si="2"/>
        <v>0</v>
      </c>
      <c r="BA570" s="1322"/>
      <c r="BB570" s="1322"/>
      <c r="BC570" s="1322"/>
      <c r="BD570" s="1323"/>
      <c r="BE570" s="1384">
        <f t="shared" si="3"/>
        <v>0</v>
      </c>
      <c r="BF570" s="1385"/>
      <c r="BG570" s="1385"/>
      <c r="BH570" s="1385"/>
      <c r="BI570" s="1386"/>
      <c r="BJ570" s="1193"/>
      <c r="BK570" s="1194"/>
      <c r="BL570" s="1194"/>
      <c r="BM570" s="1194"/>
      <c r="BN570" s="1195"/>
      <c r="BO570" s="1193"/>
      <c r="BP570" s="1194"/>
      <c r="BQ570" s="1194"/>
      <c r="BR570" s="1194"/>
      <c r="BS570" s="1195"/>
      <c r="BT570" s="1193">
        <f>IF(AND(AND(AZ568+AZ569=0,BJ568+BO569=0,AP580=1)),1,0)</f>
        <v>0</v>
      </c>
      <c r="BU570" s="1194"/>
      <c r="BV570" s="1194"/>
      <c r="BW570" s="1194"/>
      <c r="BX570" s="1195"/>
      <c r="BY570" s="1193"/>
      <c r="BZ570" s="1194"/>
      <c r="CA570" s="1194"/>
      <c r="CB570" s="1194"/>
      <c r="CC570" s="1195"/>
      <c r="CD570" s="1193"/>
      <c r="CE570" s="1194"/>
      <c r="CF570" s="1194"/>
      <c r="CG570" s="1194"/>
      <c r="CH570" s="1195"/>
      <c r="CI570" s="1193"/>
      <c r="CJ570" s="1194"/>
      <c r="CK570" s="1194"/>
      <c r="CL570" s="1194"/>
      <c r="CM570" s="1195"/>
      <c r="CN570" s="21"/>
      <c r="CO570" s="21"/>
      <c r="CP570" s="21"/>
      <c r="CQ570" s="21"/>
      <c r="CR570" s="21"/>
    </row>
    <row r="571" spans="1:96" s="4" customFormat="1" ht="12.75" customHeight="1" thickBot="1">
      <c r="B571" s="5"/>
      <c r="C571" s="5"/>
      <c r="D571" s="5"/>
      <c r="E571" s="5"/>
      <c r="I571" s="1134"/>
      <c r="J571" s="1135"/>
      <c r="K571" s="1135"/>
      <c r="L571" s="1135"/>
      <c r="M571" s="1135"/>
      <c r="N571" s="1136"/>
      <c r="O571" s="1649">
        <v>0.1</v>
      </c>
      <c r="P571" s="1650"/>
      <c r="Q571" s="1675"/>
      <c r="R571" s="1676"/>
      <c r="S571" s="1664" t="s">
        <v>1845</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8</v>
      </c>
      <c r="AV571" s="1322"/>
      <c r="AW571" s="1322"/>
      <c r="AX571" s="1322"/>
      <c r="AY571" s="1323"/>
      <c r="AZ571" s="1321">
        <f t="shared" si="2"/>
        <v>3</v>
      </c>
      <c r="BA571" s="1322"/>
      <c r="BB571" s="1322"/>
      <c r="BC571" s="1322"/>
      <c r="BD571" s="1323"/>
      <c r="BE571" s="1384">
        <f t="shared" si="3"/>
        <v>0.375</v>
      </c>
      <c r="BF571" s="1385"/>
      <c r="BG571" s="1385"/>
      <c r="BH571" s="1385"/>
      <c r="BI571" s="1386"/>
      <c r="BJ571" s="1193"/>
      <c r="BK571" s="1194"/>
      <c r="BL571" s="1194"/>
      <c r="BM571" s="1194"/>
      <c r="BN571" s="1195"/>
      <c r="BO571" s="1193"/>
      <c r="BP571" s="1194"/>
      <c r="BQ571" s="1194"/>
      <c r="BR571" s="1194"/>
      <c r="BS571" s="1195"/>
      <c r="BT571" s="1193"/>
      <c r="BU571" s="1194"/>
      <c r="BV571" s="1194"/>
      <c r="BW571" s="1194"/>
      <c r="BX571" s="1195"/>
      <c r="BY571" s="1193">
        <f>IF(AND(AND(AZ568+AZ569+AZ570=0,BO569+BT570+BJ568=0,AP581=1)),1,0)</f>
        <v>0</v>
      </c>
      <c r="BZ571" s="1194"/>
      <c r="CA571" s="1194"/>
      <c r="CB571" s="1194"/>
      <c r="CC571" s="1195"/>
      <c r="CD571" s="1193"/>
      <c r="CE571" s="1194"/>
      <c r="CF571" s="1194"/>
      <c r="CG571" s="1194"/>
      <c r="CH571" s="1195"/>
      <c r="CI571" s="1193"/>
      <c r="CJ571" s="1194"/>
      <c r="CK571" s="1194"/>
      <c r="CL571" s="1194"/>
      <c r="CM571" s="1195"/>
      <c r="CN571" s="21"/>
      <c r="CO571" s="21"/>
      <c r="CP571" s="21"/>
      <c r="CQ571" s="21"/>
      <c r="CR571" s="21"/>
    </row>
    <row r="572" spans="1:96" s="4" customFormat="1" ht="12.75" customHeight="1">
      <c r="B572" s="5"/>
      <c r="C572" s="5"/>
      <c r="D572" s="5"/>
      <c r="E572" s="1176"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0</v>
      </c>
      <c r="AV572" s="1322"/>
      <c r="AW572" s="1322"/>
      <c r="AX572" s="1322"/>
      <c r="AY572" s="1323"/>
      <c r="AZ572" s="1321">
        <f t="shared" si="2"/>
        <v>0</v>
      </c>
      <c r="BA572" s="1322"/>
      <c r="BB572" s="1322"/>
      <c r="BC572" s="1322"/>
      <c r="BD572" s="1323"/>
      <c r="BE572" s="1384">
        <f t="shared" si="3"/>
        <v>0</v>
      </c>
      <c r="BF572" s="1385"/>
      <c r="BG572" s="1385"/>
      <c r="BH572" s="1385"/>
      <c r="BI572" s="1386"/>
      <c r="BJ572" s="1193"/>
      <c r="BK572" s="1194"/>
      <c r="BL572" s="1194"/>
      <c r="BM572" s="1194"/>
      <c r="BN572" s="1195"/>
      <c r="BO572" s="1193"/>
      <c r="BP572" s="1194"/>
      <c r="BQ572" s="1194"/>
      <c r="BR572" s="1194"/>
      <c r="BS572" s="1195"/>
      <c r="BT572" s="1193"/>
      <c r="BU572" s="1194"/>
      <c r="BV572" s="1194"/>
      <c r="BW572" s="1194"/>
      <c r="BX572" s="1195"/>
      <c r="BY572" s="1193"/>
      <c r="BZ572" s="1194"/>
      <c r="CA572" s="1194"/>
      <c r="CB572" s="1194"/>
      <c r="CC572" s="1195"/>
      <c r="CD572" s="1193">
        <f>IF(AND(AND(BE569+BE570+BE571+BE568=0,BT570+BY571+BO569+BJ568=0,AP582=1)),1,0)</f>
        <v>0</v>
      </c>
      <c r="CE572" s="1194"/>
      <c r="CF572" s="1194"/>
      <c r="CG572" s="1194"/>
      <c r="CH572" s="1195"/>
      <c r="CI572" s="1193"/>
      <c r="CJ572" s="1194"/>
      <c r="CK572" s="1194"/>
      <c r="CL572" s="1194"/>
      <c r="CM572" s="1195"/>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3"/>
      <c r="BK573" s="1194"/>
      <c r="BL573" s="1194"/>
      <c r="BM573" s="1194"/>
      <c r="BN573" s="1195"/>
      <c r="BO573" s="1193"/>
      <c r="BP573" s="1194"/>
      <c r="BQ573" s="1194"/>
      <c r="BR573" s="1194"/>
      <c r="BS573" s="1195"/>
      <c r="BT573" s="1193"/>
      <c r="BU573" s="1194"/>
      <c r="BV573" s="1194"/>
      <c r="BW573" s="1194"/>
      <c r="BX573" s="1195"/>
      <c r="BY573" s="1193"/>
      <c r="BZ573" s="1194"/>
      <c r="CA573" s="1194"/>
      <c r="CB573" s="1194"/>
      <c r="CC573" s="1195"/>
      <c r="CD573" s="1193"/>
      <c r="CE573" s="1194"/>
      <c r="CF573" s="1194"/>
      <c r="CG573" s="1194"/>
      <c r="CH573" s="1195"/>
      <c r="CI573" s="1193">
        <f>IF(AND(AND(AZ570+AZ571+AZ572+AZ569+AZ568=0,BY571+CD572+BT570+BO569+BJ568=0,AP583=1)),1,0)</f>
        <v>0</v>
      </c>
      <c r="CJ573" s="1194"/>
      <c r="CK573" s="1194"/>
      <c r="CL573" s="1194"/>
      <c r="CM573" s="1195"/>
      <c r="CN573" s="21"/>
      <c r="CO573" s="21"/>
      <c r="CP573" s="21"/>
      <c r="CQ573" s="21"/>
      <c r="CR573" s="21"/>
    </row>
    <row r="574" spans="1:96" s="4" customFormat="1" ht="12.75" customHeight="1">
      <c r="E574" s="1880" t="s">
        <v>1578</v>
      </c>
      <c r="F574" s="1881"/>
      <c r="G574" s="1881"/>
      <c r="H574" s="1881"/>
      <c r="I574" s="1881"/>
      <c r="J574" s="1882"/>
      <c r="K574" s="1880" t="s">
        <v>1837</v>
      </c>
      <c r="L574" s="1881"/>
      <c r="M574" s="1881"/>
      <c r="N574" s="1881"/>
      <c r="O574" s="1881"/>
      <c r="P574" s="1882"/>
      <c r="Q574" s="1128" t="s">
        <v>1574</v>
      </c>
      <c r="R574" s="1129"/>
      <c r="S574" s="1129"/>
      <c r="T574" s="1129"/>
      <c r="U574" s="1129"/>
      <c r="V574" s="1130"/>
      <c r="W574" s="1128" t="str">
        <f>I563</f>
        <v>Percent of Low-Income Units (exclusive of manager’s units)</v>
      </c>
      <c r="X574" s="1129"/>
      <c r="Y574" s="1129"/>
      <c r="Z574" s="1129"/>
      <c r="AA574" s="1129"/>
      <c r="AB574" s="1130"/>
      <c r="AC574" s="1128" t="s">
        <v>1577</v>
      </c>
      <c r="AD574" s="1129"/>
      <c r="AE574" s="1129"/>
      <c r="AF574" s="1129"/>
      <c r="AG574" s="1129"/>
      <c r="AH574" s="1130"/>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3">
        <f>SUM(BJ568:BN573)</f>
        <v>0</v>
      </c>
      <c r="BK574" s="1194"/>
      <c r="BL574" s="1194"/>
      <c r="BM574" s="1194"/>
      <c r="BN574" s="1195"/>
      <c r="BO574" s="1193">
        <f>SUM(BO568:BS573)</f>
        <v>0</v>
      </c>
      <c r="BP574" s="1194"/>
      <c r="BQ574" s="1194"/>
      <c r="BR574" s="1194"/>
      <c r="BS574" s="1195"/>
      <c r="BT574" s="1193">
        <f>SUM(BT568:BX573)</f>
        <v>0</v>
      </c>
      <c r="BU574" s="1194"/>
      <c r="BV574" s="1194"/>
      <c r="BW574" s="1194"/>
      <c r="BX574" s="1195"/>
      <c r="BY574" s="1193">
        <f>SUM(BY568:CC573)</f>
        <v>0</v>
      </c>
      <c r="BZ574" s="1194"/>
      <c r="CA574" s="1194"/>
      <c r="CB574" s="1194"/>
      <c r="CC574" s="1195"/>
      <c r="CD574" s="1193">
        <f>SUM(CD568:CH573)</f>
        <v>0</v>
      </c>
      <c r="CE574" s="1194"/>
      <c r="CF574" s="1194"/>
      <c r="CG574" s="1194"/>
      <c r="CH574" s="1195"/>
      <c r="CI574" s="1193">
        <f>SUM(CI568:CM573)</f>
        <v>0</v>
      </c>
      <c r="CJ574" s="1194"/>
      <c r="CK574" s="1194"/>
      <c r="CL574" s="1194"/>
      <c r="CM574" s="1195"/>
      <c r="CN574" s="1193">
        <f>SUM(BJ574:CM574)</f>
        <v>0</v>
      </c>
      <c r="CO574" s="1194"/>
      <c r="CP574" s="1194"/>
      <c r="CQ574" s="1194"/>
      <c r="CR574" s="1195"/>
    </row>
    <row r="575" spans="1:96" s="4" customFormat="1" ht="12.75" customHeight="1">
      <c r="E575" s="1883"/>
      <c r="F575" s="1884"/>
      <c r="G575" s="1884"/>
      <c r="H575" s="1884"/>
      <c r="I575" s="1884"/>
      <c r="J575" s="1885"/>
      <c r="K575" s="1883"/>
      <c r="L575" s="1884"/>
      <c r="M575" s="1884"/>
      <c r="N575" s="1884"/>
      <c r="O575" s="1884"/>
      <c r="P575" s="1885"/>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3"/>
      <c r="F576" s="1884"/>
      <c r="G576" s="1884"/>
      <c r="H576" s="1884"/>
      <c r="I576" s="1884"/>
      <c r="J576" s="1885"/>
      <c r="K576" s="1883"/>
      <c r="L576" s="1884"/>
      <c r="M576" s="1884"/>
      <c r="N576" s="1884"/>
      <c r="O576" s="1884"/>
      <c r="P576" s="1885"/>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3"/>
      <c r="F577" s="1884"/>
      <c r="G577" s="1884"/>
      <c r="H577" s="1884"/>
      <c r="I577" s="1884"/>
      <c r="J577" s="1885"/>
      <c r="K577" s="1883"/>
      <c r="L577" s="1884"/>
      <c r="M577" s="1884"/>
      <c r="N577" s="1884"/>
      <c r="O577" s="1884"/>
      <c r="P577" s="1885"/>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3</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25</v>
      </c>
      <c r="R579" s="1657"/>
      <c r="S579" s="1657"/>
      <c r="T579" s="1657"/>
      <c r="U579" s="1657"/>
      <c r="V579" s="1658"/>
      <c r="W579" s="1659">
        <f>IF(FLOOR(Q579,5)&gt;80,80,FLOOR(Q579,5))</f>
        <v>25</v>
      </c>
      <c r="X579" s="1660"/>
      <c r="Y579" s="1660"/>
      <c r="Z579" s="1660"/>
      <c r="AA579" s="1660"/>
      <c r="AB579" s="1661"/>
      <c r="AC579" s="1659">
        <f t="shared" si="4"/>
        <v>37.5</v>
      </c>
      <c r="AD579" s="1660"/>
      <c r="AE579" s="1660"/>
      <c r="AF579" s="1660"/>
      <c r="AG579" s="1660"/>
      <c r="AH579" s="1661"/>
      <c r="AN579" s="281"/>
      <c r="AO579" s="4">
        <v>4</v>
      </c>
      <c r="AP579" s="1653">
        <f t="shared" si="5"/>
        <v>0</v>
      </c>
      <c r="AQ579" s="1654"/>
      <c r="AR579" s="1654"/>
      <c r="AS579" s="1654"/>
      <c r="AT579" s="1655"/>
      <c r="AX579" s="1767" t="s">
        <v>652</v>
      </c>
      <c r="AY579" s="1768"/>
      <c r="AZ579" s="1249" t="s">
        <v>652</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1</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6</v>
      </c>
      <c r="F583" s="1668"/>
      <c r="G583" s="1668"/>
      <c r="H583" s="1668"/>
      <c r="I583" s="1668"/>
      <c r="J583" s="1669"/>
      <c r="K583" s="1653">
        <v>50</v>
      </c>
      <c r="L583" s="1654"/>
      <c r="M583" s="1654"/>
      <c r="N583" s="1654"/>
      <c r="O583" s="1654"/>
      <c r="P583" s="1655"/>
      <c r="Q583" s="1656">
        <f t="shared" si="6"/>
        <v>50</v>
      </c>
      <c r="R583" s="1657"/>
      <c r="S583" s="1657"/>
      <c r="T583" s="1657"/>
      <c r="U583" s="1657"/>
      <c r="V583" s="1658"/>
      <c r="W583" s="1659">
        <f>IF(FLOOR(Q583,5)&gt;40,40,FLOOR(Q583,5))</f>
        <v>40</v>
      </c>
      <c r="X583" s="1660"/>
      <c r="Y583" s="1660"/>
      <c r="Z583" s="1660"/>
      <c r="AA583" s="1660"/>
      <c r="AB583" s="1661"/>
      <c r="AC583" s="1659">
        <f t="shared" si="4"/>
        <v>20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0</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1931</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1931</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1</v>
      </c>
      <c r="BG585" s="1768"/>
      <c r="BH585" s="1757">
        <f>SUM(BH580:BI584)</f>
        <v>0</v>
      </c>
      <c r="BI585" s="1759"/>
      <c r="BJ585" s="1767">
        <f>SUM(BJ580:BK584)</f>
        <v>0</v>
      </c>
      <c r="BK585" s="1768"/>
      <c r="BL585" s="1757">
        <f>SUM(BL580:BM584)</f>
        <v>1</v>
      </c>
      <c r="BM585" s="1759"/>
      <c r="BN585" s="1767">
        <f>SUM(BN580:BO584)</f>
        <v>0</v>
      </c>
      <c r="BO585" s="1768"/>
      <c r="BP585" s="1757">
        <f>SUM(BP580:BQ584)</f>
        <v>1</v>
      </c>
      <c r="BQ585" s="1759"/>
    </row>
    <row r="586" spans="2:69" s="4" customFormat="1" ht="12.75" customHeight="1">
      <c r="E586" s="1667">
        <v>3</v>
      </c>
      <c r="F586" s="1668"/>
      <c r="G586" s="1668"/>
      <c r="H586" s="1668"/>
      <c r="I586" s="1668"/>
      <c r="J586" s="1669"/>
      <c r="K586" s="1653" t="s">
        <v>2258</v>
      </c>
      <c r="L586" s="1654"/>
      <c r="M586" s="1654"/>
      <c r="N586" s="1654"/>
      <c r="O586" s="1654"/>
      <c r="P586" s="1655"/>
      <c r="Q586" s="1656">
        <f t="shared" si="6"/>
        <v>25</v>
      </c>
      <c r="R586" s="1657"/>
      <c r="S586" s="1657"/>
      <c r="T586" s="1657"/>
      <c r="U586" s="1657"/>
      <c r="V586" s="1658"/>
      <c r="W586" s="1659">
        <f t="shared" si="7"/>
        <v>25</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2259</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0</v>
      </c>
      <c r="BK587" s="1763"/>
      <c r="BL587" s="1763"/>
      <c r="BM587" s="1764"/>
      <c r="BN587"/>
      <c r="BO587"/>
      <c r="BP587"/>
      <c r="BQ587"/>
    </row>
    <row r="588" spans="2:69" s="4" customFormat="1" ht="12.75" customHeight="1">
      <c r="E588" s="967"/>
      <c r="F588" s="968"/>
      <c r="G588" s="968"/>
      <c r="H588" s="968"/>
      <c r="I588" s="968"/>
      <c r="J588" s="969"/>
      <c r="K588" s="1653" t="s">
        <v>2260</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12</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57.5</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5" t="s">
        <v>111</v>
      </c>
      <c r="AH592" s="1685"/>
      <c r="AI592" s="1685"/>
      <c r="AJ592" s="1685"/>
      <c r="AK592" s="5"/>
      <c r="AL592" s="5"/>
      <c r="AM592" s="5"/>
      <c r="AN592" s="281"/>
    </row>
    <row r="593" spans="1:60" s="4" customFormat="1" ht="12.75" customHeight="1">
      <c r="B593" s="1874" t="s">
        <v>2245</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28" t="s">
        <v>1575</v>
      </c>
      <c r="P600" s="1129"/>
      <c r="Q600" s="1129"/>
      <c r="R600" s="1129"/>
      <c r="S600" s="1130"/>
      <c r="T600" s="1128" t="s">
        <v>1847</v>
      </c>
      <c r="U600" s="1129"/>
      <c r="V600" s="1129"/>
      <c r="W600" s="1129"/>
      <c r="X600" s="1130"/>
      <c r="Y600" s="1128" t="s">
        <v>1576</v>
      </c>
      <c r="Z600" s="1129"/>
      <c r="AA600" s="1129"/>
      <c r="AB600" s="1129"/>
      <c r="AC600" s="1130"/>
      <c r="AF600"/>
      <c r="AG600"/>
      <c r="AH600"/>
      <c r="AI600"/>
      <c r="AJ600"/>
    </row>
    <row r="601" spans="1:60">
      <c r="D601"/>
      <c r="E601"/>
      <c r="F601"/>
      <c r="G601"/>
      <c r="H601"/>
      <c r="I601"/>
      <c r="J601" s="1806"/>
      <c r="K601" s="1807"/>
      <c r="L601" s="1807"/>
      <c r="M601" s="1807"/>
      <c r="N601" s="1808"/>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6"/>
      <c r="K602" s="1807"/>
      <c r="L602" s="1807"/>
      <c r="M602" s="1807"/>
      <c r="N602" s="1808"/>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6"/>
      <c r="K603" s="1807"/>
      <c r="L603" s="1807"/>
      <c r="M603" s="1807"/>
      <c r="N603" s="1808"/>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4</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8</v>
      </c>
      <c r="P607" s="1654"/>
      <c r="Q607" s="1654"/>
      <c r="R607" s="1654"/>
      <c r="S607" s="1655"/>
      <c r="T607" s="1653">
        <f>Application!DC614</f>
        <v>3</v>
      </c>
      <c r="U607" s="1654"/>
      <c r="V607" s="1654"/>
      <c r="W607" s="1654"/>
      <c r="X607" s="1655"/>
      <c r="Y607" s="1726">
        <f t="shared" si="8"/>
        <v>0.375</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0</v>
      </c>
      <c r="P608" s="1654"/>
      <c r="Q608" s="1654"/>
      <c r="R608" s="1654"/>
      <c r="S608" s="1655"/>
      <c r="T608" s="1653">
        <f>Application!CX614</f>
        <v>0</v>
      </c>
      <c r="U608" s="1654"/>
      <c r="V608" s="1654"/>
      <c r="W608" s="1654"/>
      <c r="X608" s="1655"/>
      <c r="Y608" s="1726">
        <f t="shared" si="8"/>
        <v>0</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c r="D610"/>
      <c r="E610"/>
      <c r="F610"/>
      <c r="G610"/>
      <c r="H610"/>
      <c r="I610"/>
      <c r="J610" s="1567" t="s">
        <v>917</v>
      </c>
      <c r="K610" s="1568"/>
      <c r="L610" s="1568"/>
      <c r="M610" s="1568"/>
      <c r="N610" s="1569"/>
      <c r="O610" s="1819">
        <f>SUM(O604:S609)</f>
        <v>12</v>
      </c>
      <c r="P610" s="1820"/>
      <c r="Q610" s="1820"/>
      <c r="R610" s="1820"/>
      <c r="S610" s="1821"/>
      <c r="T610" s="1819">
        <f>SUM(T604:X609)</f>
        <v>3</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59.5</v>
      </c>
      <c r="AL615" s="1246"/>
      <c r="AM615" s="124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1580</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8" t="s">
        <v>116</v>
      </c>
      <c r="D623" s="1118"/>
      <c r="E623" s="185"/>
      <c r="F623" s="1809" t="s">
        <v>2246</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982</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4" t="s">
        <v>2247</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8" t="s">
        <v>132</v>
      </c>
      <c r="D646" s="1118"/>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8" t="s">
        <v>116</v>
      </c>
      <c r="D655" s="1118"/>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8" t="s">
        <v>132</v>
      </c>
      <c r="D661" s="1118"/>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8" t="s">
        <v>132</v>
      </c>
      <c r="D669" s="1118"/>
      <c r="E669" s="185" t="s">
        <v>296</v>
      </c>
      <c r="F669" s="1674" t="s">
        <v>2350</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5">
        <f>$AO$651</f>
        <v>2</v>
      </c>
      <c r="AL684" s="1246"/>
      <c r="AM684" s="124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2040</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2041</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6" t="s">
        <v>249</v>
      </c>
      <c r="U692" s="1177"/>
      <c r="V692" s="1177"/>
      <c r="W692" s="1177"/>
      <c r="X692" s="1177"/>
      <c r="Y692" s="1530"/>
      <c r="Z692" s="1176" t="s">
        <v>248</v>
      </c>
      <c r="AA692" s="1177"/>
      <c r="AB692" s="1177"/>
      <c r="AC692" s="1177"/>
      <c r="AD692" s="1177"/>
      <c r="AE692" s="1530"/>
      <c r="AF692" s="1176" t="s">
        <v>250</v>
      </c>
      <c r="AG692" s="1177"/>
      <c r="AH692" s="1177"/>
      <c r="AI692" s="1177"/>
      <c r="AJ692" s="1177"/>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0"/>
      <c r="U693" s="1181"/>
      <c r="V693" s="1181"/>
      <c r="W693" s="1181"/>
      <c r="X693" s="1181"/>
      <c r="Y693" s="1275"/>
      <c r="Z693" s="1180"/>
      <c r="AA693" s="1181"/>
      <c r="AB693" s="1181"/>
      <c r="AC693" s="1181"/>
      <c r="AD693" s="1181"/>
      <c r="AE693" s="1275"/>
      <c r="AF693" s="1180"/>
      <c r="AG693" s="1181"/>
      <c r="AH693" s="1181"/>
      <c r="AI693" s="1181"/>
      <c r="AJ693" s="1181"/>
      <c r="AK693" s="1275"/>
      <c r="AL693" s="795"/>
      <c r="AM693" s="20"/>
    </row>
    <row r="694" spans="1:4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idden="1">
      <c r="A699" s="609"/>
      <c r="B699" s="630"/>
      <c r="C699" s="630"/>
      <c r="D699" s="307" t="s">
        <v>1535</v>
      </c>
      <c r="E699" s="1720" t="s">
        <v>310</v>
      </c>
      <c r="F699" s="1720"/>
      <c r="G699" s="1720"/>
      <c r="H699" s="1720"/>
      <c r="I699" s="1720"/>
      <c r="J699" s="1720"/>
      <c r="K699" s="1720"/>
      <c r="L699" s="1720"/>
      <c r="M699" s="1720"/>
      <c r="N699" s="1720"/>
      <c r="O699" s="1720"/>
      <c r="P699" s="1720"/>
      <c r="Q699" s="1720"/>
      <c r="R699" s="1720"/>
      <c r="S699" s="1721"/>
      <c r="T699" s="1722">
        <f>AK280</f>
        <v>23</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1536</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1537</v>
      </c>
      <c r="E703" s="1720" t="s">
        <v>194</v>
      </c>
      <c r="F703" s="1720"/>
      <c r="G703" s="1720"/>
      <c r="H703" s="1720"/>
      <c r="I703" s="1720"/>
      <c r="J703" s="1720"/>
      <c r="K703" s="1720"/>
      <c r="L703" s="1720"/>
      <c r="M703" s="1720"/>
      <c r="N703" s="1720"/>
      <c r="O703" s="1720"/>
      <c r="P703" s="1720"/>
      <c r="Q703" s="1720"/>
      <c r="R703" s="1720"/>
      <c r="S703" s="1721"/>
      <c r="T703" s="1743">
        <f>AC589</f>
        <v>57.5</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1538</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7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4"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0" t="s">
        <v>2137</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2141</v>
      </c>
      <c r="I6" s="919"/>
      <c r="K6" s="920"/>
      <c r="U6" s="1898"/>
      <c r="V6" s="1898"/>
      <c r="W6" s="1898"/>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6"/>
      <c r="Q9" s="1906"/>
      <c r="R9" s="1906"/>
      <c r="S9" s="1906"/>
      <c r="T9" s="1906"/>
    </row>
    <row r="10" spans="1:57">
      <c r="A10" s="918"/>
      <c r="B10" s="918"/>
      <c r="I10" s="919"/>
      <c r="K10" s="920"/>
    </row>
    <row r="11" spans="1:57">
      <c r="A11" s="1899" t="s">
        <v>2144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2145</v>
      </c>
      <c r="I13" s="919"/>
      <c r="K13" s="920"/>
      <c r="T13" s="1898"/>
      <c r="U13" s="1898"/>
      <c r="V13" s="1898"/>
    </row>
    <row r="14" spans="1:57">
      <c r="A14" s="918"/>
      <c r="B14" s="918"/>
      <c r="E14" s="916" t="s">
        <v>2152</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391372</v>
      </c>
    </row>
    <row r="16" spans="1:57">
      <c r="A16" s="918"/>
      <c r="B16" s="918"/>
      <c r="BC16" s="916" t="s">
        <v>2156</v>
      </c>
      <c r="BE16" s="916">
        <f>'Basis &amp; Credits'!T11+'Basis &amp; Credits'!AD11</f>
        <v>6890449</v>
      </c>
    </row>
    <row r="17" spans="1:43">
      <c r="A17" s="918"/>
      <c r="B17" s="918"/>
      <c r="D17" s="916" t="s">
        <v>2147</v>
      </c>
      <c r="I17" s="919"/>
      <c r="K17" s="920"/>
      <c r="U17" s="1905" t="str">
        <f>IF(T13="yes",(BE15/BE16)," ")</f>
        <v xml:space="preserve"> </v>
      </c>
      <c r="V17" s="1905"/>
      <c r="W17" s="1905"/>
      <c r="X17" s="1905"/>
      <c r="Y17" s="1905"/>
    </row>
    <row r="18" spans="1:43">
      <c r="A18" s="918"/>
      <c r="B18" s="918"/>
      <c r="I18" s="919"/>
      <c r="K18" s="920"/>
    </row>
    <row r="19" spans="1:43">
      <c r="A19" s="1899" t="s">
        <v>2149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2150</v>
      </c>
      <c r="H22" s="922"/>
      <c r="K22" s="916"/>
      <c r="Q22" s="1907">
        <f>ROUND('Basis &amp; Credits'!AB55,0)</f>
        <v>391372</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2127</v>
      </c>
      <c r="M24" s="1910"/>
      <c r="N24" s="1910"/>
      <c r="P24" s="1895" t="s">
        <v>2128</v>
      </c>
      <c r="Q24" s="1895"/>
      <c r="R24" s="1895"/>
      <c r="S24" s="1895"/>
      <c r="T24" s="1895"/>
      <c r="V24" s="1895" t="s">
        <v>2129</v>
      </c>
      <c r="W24" s="1895"/>
      <c r="X24" s="1895"/>
    </row>
    <row r="25" spans="1:43">
      <c r="C25" s="921" t="s">
        <v>201</v>
      </c>
      <c r="D25" s="921"/>
      <c r="E25" s="916" t="s">
        <v>1030</v>
      </c>
      <c r="J25" s="924"/>
      <c r="L25" s="1896" t="s">
        <v>2130</v>
      </c>
      <c r="M25" s="1896"/>
      <c r="N25" s="1896"/>
      <c r="P25" s="1896" t="s">
        <v>2131</v>
      </c>
      <c r="Q25" s="1896"/>
      <c r="R25" s="1896"/>
      <c r="S25" s="1896"/>
      <c r="T25" s="1896"/>
      <c r="V25" s="1896" t="s">
        <v>2130</v>
      </c>
      <c r="W25" s="1896"/>
      <c r="X25" s="1896"/>
    </row>
    <row r="26" spans="1:43">
      <c r="C26" s="918"/>
      <c r="D26" s="918"/>
      <c r="E26" s="927" t="s">
        <v>2132</v>
      </c>
      <c r="F26" s="927"/>
      <c r="J26" s="928"/>
      <c r="L26" s="1908">
        <f>Application!BN613</f>
        <v>0</v>
      </c>
      <c r="M26" s="1908"/>
      <c r="N26" s="1908"/>
      <c r="P26" s="1897">
        <v>0.9</v>
      </c>
      <c r="Q26" s="1897"/>
      <c r="R26" s="1897"/>
      <c r="S26" s="1897"/>
      <c r="T26" s="1897"/>
      <c r="V26" s="1897">
        <f>L26*P26</f>
        <v>0</v>
      </c>
      <c r="W26" s="1897"/>
      <c r="X26" s="1897"/>
    </row>
    <row r="27" spans="1:43">
      <c r="C27" s="918"/>
      <c r="D27" s="918"/>
      <c r="E27" s="916" t="s">
        <v>2133</v>
      </c>
      <c r="J27" s="928"/>
      <c r="L27" s="1888">
        <f>Application!BS613</f>
        <v>0</v>
      </c>
      <c r="M27" s="1888">
        <f>Application!BS621+Application!BS630+Application!CX644</f>
        <v>0</v>
      </c>
      <c r="N27" s="1888"/>
      <c r="P27" s="1893">
        <v>1</v>
      </c>
      <c r="Q27" s="1893"/>
      <c r="R27" s="1893"/>
      <c r="S27" s="1893"/>
      <c r="T27" s="1893"/>
      <c r="V27" s="1893">
        <f>L27*P27</f>
        <v>0</v>
      </c>
      <c r="W27" s="1893"/>
      <c r="X27" s="1893"/>
    </row>
    <row r="28" spans="1:43">
      <c r="C28" s="918"/>
      <c r="D28" s="918"/>
      <c r="E28" s="916" t="s">
        <v>2134</v>
      </c>
      <c r="J28" s="928"/>
      <c r="L28" s="1888">
        <f>Application!BX613</f>
        <v>8</v>
      </c>
      <c r="M28" s="1888">
        <f>Application!BX621+Application!BX630+Application!DC644</f>
        <v>0</v>
      </c>
      <c r="N28" s="1888"/>
      <c r="P28" s="1893">
        <v>1.25</v>
      </c>
      <c r="Q28" s="1893"/>
      <c r="R28" s="1893"/>
      <c r="S28" s="1893"/>
      <c r="T28" s="1893"/>
      <c r="V28" s="1893">
        <f>L28*P28</f>
        <v>10</v>
      </c>
      <c r="W28" s="1893"/>
      <c r="X28" s="1893"/>
    </row>
    <row r="29" spans="1:43">
      <c r="C29" s="918"/>
      <c r="D29" s="918"/>
      <c r="E29" s="916" t="s">
        <v>2135</v>
      </c>
      <c r="J29" s="928"/>
      <c r="L29" s="1888">
        <f>Application!CC613</f>
        <v>4</v>
      </c>
      <c r="M29" s="1888">
        <f>Application!CC621+Application!CC630+Application!DH644</f>
        <v>0</v>
      </c>
      <c r="N29" s="1888"/>
      <c r="P29" s="1893">
        <v>1.5</v>
      </c>
      <c r="Q29" s="1893"/>
      <c r="R29" s="1893"/>
      <c r="S29" s="1893"/>
      <c r="T29" s="1893"/>
      <c r="V29" s="1893">
        <f>L29*P29</f>
        <v>6</v>
      </c>
      <c r="W29" s="1893"/>
      <c r="X29" s="1893"/>
    </row>
    <row r="30" spans="1:43">
      <c r="C30" s="918"/>
      <c r="D30" s="918"/>
      <c r="E30" s="916" t="s">
        <v>2136</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12</v>
      </c>
      <c r="M31" s="1909"/>
      <c r="N31" s="1909"/>
      <c r="V31" s="1897">
        <f>SUM(V26:X30)</f>
        <v>16</v>
      </c>
      <c r="W31" s="1897"/>
      <c r="X31" s="1897"/>
    </row>
    <row r="32" spans="1:43">
      <c r="C32" s="918"/>
      <c r="D32" s="918"/>
      <c r="K32" s="929"/>
    </row>
    <row r="33" spans="1:27">
      <c r="C33" s="921" t="s">
        <v>202</v>
      </c>
      <c r="D33" s="921"/>
      <c r="E33" s="918" t="s">
        <v>2151</v>
      </c>
      <c r="H33" s="930"/>
      <c r="I33" s="931"/>
      <c r="J33" s="932"/>
      <c r="K33" s="929"/>
      <c r="M33" s="917"/>
      <c r="V33" s="1890">
        <f>IF(V31&gt;0,V31/Q22," ")</f>
        <v>4.0881820876301832E-5</v>
      </c>
      <c r="W33" s="1891"/>
      <c r="X33" s="1891"/>
      <c r="Y33" s="1891"/>
      <c r="Z33" s="1891"/>
      <c r="AA33" s="1892"/>
    </row>
    <row r="34" spans="1:27">
      <c r="K34" s="916"/>
      <c r="M34" s="917"/>
    </row>
    <row r="35" spans="1:27">
      <c r="E35" s="918" t="s">
        <v>2157</v>
      </c>
      <c r="F35" s="918"/>
      <c r="G35" s="918"/>
      <c r="H35" s="918"/>
      <c r="I35" s="918"/>
      <c r="J35" s="918"/>
      <c r="K35" s="918"/>
      <c r="L35" s="918"/>
      <c r="M35" s="938"/>
      <c r="N35" s="918"/>
      <c r="O35" s="918"/>
      <c r="P35" s="918"/>
      <c r="Q35" s="918"/>
      <c r="R35" s="918"/>
      <c r="V35" s="1901">
        <f>IF(V31&gt;0,1/V33," ")</f>
        <v>24460.75</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2023-08-04T21:02:53Z</cp:lastPrinted>
  <dcterms:created xsi:type="dcterms:W3CDTF">2007-12-27T18:26:28Z</dcterms:created>
  <dcterms:modified xsi:type="dcterms:W3CDTF">2023-08-08T20:53:11Z</dcterms:modified>
</cp:coreProperties>
</file>