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W:\Development\ACTIVE\Hollister Lofts\CTCAC-CDLAC\.2024 Application\.Application\"/>
    </mc:Choice>
  </mc:AlternateContent>
  <xr:revisionPtr revIDLastSave="0" documentId="13_ncr:1_{564F79B6-A790-4988-A2C3-8E9D9BDB5922}" xr6:coauthVersionLast="47" xr6:coauthVersionMax="47" xr10:uidLastSave="{00000000-0000-0000-0000-000000000000}"/>
  <bookViews>
    <workbookView xWindow="-120" yWindow="-1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57" i="3" l="1"/>
  <c r="T557" i="3"/>
  <c r="E54" i="7" l="1"/>
  <c r="E53" i="7"/>
  <c r="AC891" i="3"/>
  <c r="M960" i="3" l="1"/>
  <c r="S30" i="4" l="1"/>
  <c r="E30" i="4"/>
  <c r="C30" i="4"/>
  <c r="AB71" i="15" l="1"/>
  <c r="AB50" i="15" l="1"/>
  <c r="S46" i="4"/>
  <c r="C46" i="4"/>
  <c r="C65" i="4"/>
  <c r="AC888" i="3" l="1"/>
  <c r="W861" i="3" l="1"/>
  <c r="C83"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D103" i="11" s="1"/>
  <c r="C104" i="11"/>
  <c r="B101" i="11"/>
  <c r="B102" i="11"/>
  <c r="B103" i="11"/>
  <c r="B104" i="11"/>
  <c r="C85" i="11"/>
  <c r="C86" i="11"/>
  <c r="D86" i="11" s="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D34" i="11" s="1"/>
  <c r="B35" i="11"/>
  <c r="B36" i="11"/>
  <c r="D36"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G56" i="7"/>
  <c r="I56" i="7" s="1"/>
  <c r="K56" i="7" s="1"/>
  <c r="M56" i="7" s="1"/>
  <c r="O56" i="7" s="1"/>
  <c r="Q56" i="7" s="1"/>
  <c r="S56" i="7" s="1"/>
  <c r="U56" i="7" s="1"/>
  <c r="W56" i="7" s="1"/>
  <c r="Y56" i="7" s="1"/>
  <c r="AA56" i="7" s="1"/>
  <c r="AC56" i="7" s="1"/>
  <c r="AE56" i="7" s="1"/>
  <c r="AG56" i="7" s="1"/>
  <c r="G57" i="7"/>
  <c r="I57" i="7"/>
  <c r="K57" i="7"/>
  <c r="M57" i="7"/>
  <c r="O57" i="7"/>
  <c r="Q57" i="7"/>
  <c r="S57" i="7"/>
  <c r="U57" i="7"/>
  <c r="W57" i="7"/>
  <c r="Y57" i="7"/>
  <c r="AA57" i="7"/>
  <c r="AC57" i="7"/>
  <c r="AE57" i="7"/>
  <c r="AG57" i="7"/>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62" i="4" s="1"/>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B43" i="11" s="1"/>
  <c r="C41" i="11"/>
  <c r="C43" i="11" s="1"/>
  <c r="D43" i="11" s="1"/>
  <c r="C42" i="11"/>
  <c r="B42" i="11"/>
  <c r="B44" i="11"/>
  <c r="C44" i="11"/>
  <c r="B46" i="11"/>
  <c r="C46" i="11"/>
  <c r="B47" i="11"/>
  <c r="C47" i="11"/>
  <c r="B48" i="11"/>
  <c r="B49" i="11"/>
  <c r="B50" i="11"/>
  <c r="B51" i="11"/>
  <c r="B52" i="11"/>
  <c r="B53" i="11"/>
  <c r="C48" i="11"/>
  <c r="C49" i="11"/>
  <c r="D49" i="11" s="1"/>
  <c r="C50" i="11"/>
  <c r="C51" i="11"/>
  <c r="D51" i="11" s="1"/>
  <c r="C52" i="11"/>
  <c r="C53" i="11"/>
  <c r="B57" i="11"/>
  <c r="D57" i="11" s="1"/>
  <c r="C57" i="11"/>
  <c r="B58" i="11"/>
  <c r="C58" i="11"/>
  <c r="B59" i="11"/>
  <c r="C59" i="11"/>
  <c r="B60" i="11"/>
  <c r="C60" i="11"/>
  <c r="B61" i="11"/>
  <c r="C61" i="11"/>
  <c r="B62" i="11"/>
  <c r="C62" i="11"/>
  <c r="B66" i="11"/>
  <c r="B71" i="11" s="1"/>
  <c r="C66" i="11"/>
  <c r="B73" i="11"/>
  <c r="C73" i="11"/>
  <c r="B74" i="11"/>
  <c r="C74" i="11"/>
  <c r="D74" i="11" s="1"/>
  <c r="B75" i="11"/>
  <c r="C75" i="11"/>
  <c r="B76" i="11"/>
  <c r="D76" i="11" s="1"/>
  <c r="C76" i="11"/>
  <c r="B77" i="11"/>
  <c r="C77" i="11"/>
  <c r="B84" i="11"/>
  <c r="C84" i="11"/>
  <c r="D84" i="11" s="1"/>
  <c r="B100" i="11"/>
  <c r="B105" i="11" s="1"/>
  <c r="C100" i="11"/>
  <c r="A4" i="8"/>
  <c r="D4" i="8"/>
  <c r="I4" i="8" s="1"/>
  <c r="J4" i="8" s="1"/>
  <c r="A5" i="8"/>
  <c r="D5" i="8"/>
  <c r="I5" i="8" s="1"/>
  <c r="J5" i="8" s="1"/>
  <c r="A6" i="8"/>
  <c r="D6" i="8"/>
  <c r="I6" i="8" s="1"/>
  <c r="J6" i="8" s="1"/>
  <c r="A7" i="8"/>
  <c r="D7" i="8"/>
  <c r="I7" i="8" s="1"/>
  <c r="A8" i="8"/>
  <c r="D8" i="8"/>
  <c r="I8" i="8" s="1"/>
  <c r="J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S38" i="4"/>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50" i="11"/>
  <c r="I63" i="13"/>
  <c r="I97" i="13"/>
  <c r="I105" i="13"/>
  <c r="I107" i="13"/>
  <c r="D54" i="11"/>
  <c r="J63" i="13"/>
  <c r="J97" i="13"/>
  <c r="J105" i="13"/>
  <c r="J107" i="13"/>
  <c r="L12" i="4"/>
  <c r="D48" i="11"/>
  <c r="D93" i="11"/>
  <c r="D5" i="11"/>
  <c r="D70" i="11"/>
  <c r="D80" i="11"/>
  <c r="D52" i="11"/>
  <c r="I12" i="4"/>
  <c r="D46" i="11"/>
  <c r="D6" i="11"/>
  <c r="L63" i="4"/>
  <c r="L97" i="4"/>
  <c r="L105" i="4"/>
  <c r="Q12" i="4"/>
  <c r="B11" i="4"/>
  <c r="O63" i="4"/>
  <c r="O97" i="4"/>
  <c r="O105" i="4"/>
  <c r="D18" i="11"/>
  <c r="R70" i="4"/>
  <c r="B8" i="4"/>
  <c r="N187" i="27" s="1"/>
  <c r="D10" i="11"/>
  <c r="G63" i="13"/>
  <c r="G97" i="13"/>
  <c r="G105" i="13"/>
  <c r="G107" i="13"/>
  <c r="D61" i="11"/>
  <c r="D20" i="11"/>
  <c r="D8" i="11"/>
  <c r="D85" i="11"/>
  <c r="D102" i="11"/>
  <c r="K12" i="4"/>
  <c r="C12" i="13"/>
  <c r="D63" i="4"/>
  <c r="D97" i="4"/>
  <c r="D105" i="4"/>
  <c r="B78" i="11"/>
  <c r="D7" i="11"/>
  <c r="J12" i="4"/>
  <c r="D22" i="11"/>
  <c r="O12" i="4"/>
  <c r="D95" i="11"/>
  <c r="D25" i="11"/>
  <c r="B11" i="13"/>
  <c r="D12" i="4"/>
  <c r="R77" i="4"/>
  <c r="H12" i="4"/>
  <c r="B9" i="11"/>
  <c r="C39" i="11"/>
  <c r="D23" i="11"/>
  <c r="D19" i="11"/>
  <c r="D89" i="11"/>
  <c r="D73" i="11"/>
  <c r="D44" i="11"/>
  <c r="D35" i="11"/>
  <c r="D31" i="11"/>
  <c r="D32" i="11"/>
  <c r="D15" i="11"/>
  <c r="D63" i="13"/>
  <c r="D97" i="13"/>
  <c r="D105" i="13"/>
  <c r="D14" i="11"/>
  <c r="Q63" i="4"/>
  <c r="Q97" i="4"/>
  <c r="Q105" i="4"/>
  <c r="D87" i="11"/>
  <c r="N63" i="4"/>
  <c r="N97" i="4"/>
  <c r="N105" i="4"/>
  <c r="N12" i="4"/>
  <c r="H63" i="4"/>
  <c r="H97" i="4" s="1"/>
  <c r="H105" i="4" s="1"/>
  <c r="F12" i="4"/>
  <c r="D60" i="11"/>
  <c r="M12" i="4"/>
  <c r="D59" i="11"/>
  <c r="D38" i="11"/>
  <c r="P63" i="4"/>
  <c r="P97" i="4"/>
  <c r="P105" i="4"/>
  <c r="C63" i="11"/>
  <c r="C9" i="11"/>
  <c r="C13" i="11" s="1"/>
  <c r="D13" i="11" s="1"/>
  <c r="D12" i="13"/>
  <c r="D58" i="11"/>
  <c r="D100" i="11"/>
  <c r="D62" i="11"/>
  <c r="D24" i="11"/>
  <c r="D101" i="11"/>
  <c r="D90" i="11"/>
  <c r="D66" i="11"/>
  <c r="D92" i="11"/>
  <c r="D75" i="11"/>
  <c r="D28" i="11"/>
  <c r="R54" i="4"/>
  <c r="D88" i="11"/>
  <c r="D42" i="11"/>
  <c r="D21" i="11"/>
  <c r="D16" i="11"/>
  <c r="B12" i="11"/>
  <c r="R26" i="4"/>
  <c r="D81" i="11"/>
  <c r="F63" i="13"/>
  <c r="AD199" i="20"/>
  <c r="D77" i="11"/>
  <c r="C71" i="11"/>
  <c r="M63" i="4"/>
  <c r="M97" i="4"/>
  <c r="M105" i="4"/>
  <c r="D91" i="11"/>
  <c r="J63" i="4"/>
  <c r="J97" i="4"/>
  <c r="J105" i="4"/>
  <c r="C12" i="11"/>
  <c r="K63" i="4"/>
  <c r="K97" i="4"/>
  <c r="K105" i="4"/>
  <c r="D104" i="11"/>
  <c r="E12" i="4"/>
  <c r="T63" i="4"/>
  <c r="T97" i="4"/>
  <c r="D11" i="11"/>
  <c r="C12" i="4"/>
  <c r="B12" i="13"/>
  <c r="D9" i="11"/>
  <c r="B13" i="11"/>
  <c r="D12" i="11"/>
  <c r="H63" i="13"/>
  <c r="T105" i="4"/>
  <c r="H97" i="13"/>
  <c r="D96" i="11"/>
  <c r="T107" i="4"/>
  <c r="H105" i="13"/>
  <c r="H107" i="13"/>
  <c r="AD11" i="15"/>
  <c r="I58" i="7" l="1"/>
  <c r="K53" i="7"/>
  <c r="M53" i="7" s="1"/>
  <c r="O53" i="7" s="1"/>
  <c r="Q53" i="7" s="1"/>
  <c r="S53" i="7" s="1"/>
  <c r="U53" i="7" s="1"/>
  <c r="W53" i="7" s="1"/>
  <c r="Y53" i="7" s="1"/>
  <c r="AA53" i="7" s="1"/>
  <c r="AC53" i="7" s="1"/>
  <c r="AE53" i="7" s="1"/>
  <c r="AG53" i="7" s="1"/>
  <c r="M55" i="7"/>
  <c r="J7" i="8"/>
  <c r="F63" i="4"/>
  <c r="F97" i="4" s="1"/>
  <c r="F105" i="4" s="1"/>
  <c r="F97" i="13"/>
  <c r="F105" i="13" s="1"/>
  <c r="F107" i="13" s="1"/>
  <c r="C63" i="13"/>
  <c r="C97" i="13" s="1"/>
  <c r="C105" i="13" s="1"/>
  <c r="R81" i="4"/>
  <c r="C78" i="11"/>
  <c r="D78" i="11"/>
  <c r="B77" i="4"/>
  <c r="I97" i="4"/>
  <c r="I105" i="4" s="1"/>
  <c r="R96" i="4"/>
  <c r="E97" i="4"/>
  <c r="E105" i="4" s="1"/>
  <c r="D47" i="11"/>
  <c r="B62" i="4"/>
  <c r="S63" i="4"/>
  <c r="S97" i="4" s="1"/>
  <c r="B42" i="4"/>
  <c r="D41" i="11"/>
  <c r="R38" i="4"/>
  <c r="R63" i="4" s="1"/>
  <c r="E38" i="13"/>
  <c r="G63" i="4"/>
  <c r="G97" i="4" s="1"/>
  <c r="G105" i="4" s="1"/>
  <c r="R12" i="4"/>
  <c r="G12" i="4"/>
  <c r="AH719" i="3"/>
  <c r="G67" i="21"/>
  <c r="B38" i="4"/>
  <c r="B39" i="11"/>
  <c r="D39" i="11" s="1"/>
  <c r="C55" i="11"/>
  <c r="C64" i="11" s="1"/>
  <c r="B55" i="11"/>
  <c r="D53" i="11"/>
  <c r="D71" i="11"/>
  <c r="B97" i="11"/>
  <c r="B96" i="4"/>
  <c r="B63" i="11"/>
  <c r="D63" i="11" s="1"/>
  <c r="B54" i="4"/>
  <c r="C105" i="11"/>
  <c r="D105" i="11" s="1"/>
  <c r="B104" i="4"/>
  <c r="B81" i="13"/>
  <c r="D82" i="11"/>
  <c r="C97" i="11"/>
  <c r="D97" i="11" s="1"/>
  <c r="N186" i="27"/>
  <c r="N193" i="27" s="1"/>
  <c r="B12" i="4"/>
  <c r="AH718" i="3"/>
  <c r="AH721" i="3"/>
  <c r="AH720" i="3"/>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O55" i="7"/>
  <c r="M58" i="7"/>
  <c r="R97" i="4"/>
  <c r="R105" i="4" s="1"/>
  <c r="E63" i="13"/>
  <c r="B64" i="11"/>
  <c r="B98" i="11" s="1"/>
  <c r="B106" i="11" s="1"/>
  <c r="E97" i="13"/>
  <c r="S105" i="4"/>
  <c r="B63" i="4"/>
  <c r="AS349" i="20"/>
  <c r="D55" i="11"/>
  <c r="C97" i="4"/>
  <c r="C105" i="4" s="1"/>
  <c r="AC455" i="3" s="1"/>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U679" i="3"/>
  <c r="BU687" i="3"/>
  <c r="BV687" i="3" s="1"/>
  <c r="BU695" i="3"/>
  <c r="BV695" i="3" s="1"/>
  <c r="BU681" i="3"/>
  <c r="BV681" i="3" s="1"/>
  <c r="BU689" i="3"/>
  <c r="BU698" i="3"/>
  <c r="BV698" i="3" s="1"/>
  <c r="BU684" i="3"/>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4" i="3"/>
  <c r="BV669" i="3"/>
  <c r="BV676" i="3"/>
  <c r="BV67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1" i="3"/>
  <c r="BI674" i="3"/>
  <c r="BI689" i="3"/>
  <c r="EH637" i="3"/>
  <c r="DR657" i="3"/>
  <c r="EM632" i="3"/>
  <c r="EM635" i="3"/>
  <c r="EM643" i="3"/>
  <c r="E6" i="7"/>
  <c r="K15" i="7"/>
  <c r="I22" i="7"/>
  <c r="I35" i="7" s="1"/>
  <c r="E27" i="21"/>
  <c r="G22" i="21"/>
  <c r="Q55" i="7" l="1"/>
  <c r="O58" i="7"/>
  <c r="S107" i="4"/>
  <c r="E105" i="13"/>
  <c r="B97" i="4"/>
  <c r="B105" i="13"/>
  <c r="AG258" i="20"/>
  <c r="B105" i="4"/>
  <c r="AC454" i="3" s="1"/>
  <c r="F457" i="3" s="1"/>
  <c r="B97" i="1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55" i="7" l="1"/>
  <c r="Q58" i="7"/>
  <c r="AC456" i="3"/>
  <c r="AF540" i="20"/>
  <c r="E107" i="13"/>
  <c r="AB47" i="15"/>
  <c r="AB49" i="15" s="1"/>
  <c r="AB54" i="15" s="1"/>
  <c r="AB55" i="15" s="1"/>
  <c r="N183" i="27"/>
  <c r="N184" i="27" s="1"/>
  <c r="AB255" i="20"/>
  <c r="AG257" i="20" s="1"/>
  <c r="AG259" i="20" s="1"/>
  <c r="AK262" i="20" s="1"/>
  <c r="T801" i="20" s="1"/>
  <c r="AF801" i="20"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U55" i="7" l="1"/>
  <c r="S58" i="7"/>
  <c r="T11" i="15"/>
  <c r="T23" i="15" s="1"/>
  <c r="T26" i="15" s="1"/>
  <c r="T28" i="15" s="1"/>
  <c r="Y11" i="15"/>
  <c r="Y23" i="15" s="1"/>
  <c r="Y26" i="15" s="1"/>
  <c r="Y28" i="15" s="1"/>
  <c r="AJ1044" i="3"/>
  <c r="AP541" i="20" s="1"/>
  <c r="AJ1028" i="3"/>
  <c r="N194" i="27"/>
  <c r="B1059" i="3"/>
  <c r="AJ1048" i="3"/>
  <c r="AP542" i="20" s="1"/>
  <c r="AP539" i="20"/>
  <c r="K4" i="7"/>
  <c r="M4" i="7" s="1"/>
  <c r="E45" i="7"/>
  <c r="E48" i="7" s="1"/>
  <c r="AJ1052" i="3"/>
  <c r="G45" i="7"/>
  <c r="G49" i="7"/>
  <c r="K6" i="7"/>
  <c r="I7" i="7"/>
  <c r="I11" i="7" s="1"/>
  <c r="I37" i="7" s="1"/>
  <c r="G24" i="21"/>
  <c r="F27" i="21"/>
  <c r="G27" i="21"/>
  <c r="O22" i="7"/>
  <c r="O35" i="7" s="1"/>
  <c r="Q15" i="7"/>
  <c r="O9" i="7"/>
  <c r="Q8" i="7"/>
  <c r="Y64" i="15" l="1"/>
  <c r="Y68" i="15" s="1"/>
  <c r="U58" i="7"/>
  <c r="W55" i="7"/>
  <c r="T29" i="15"/>
  <c r="AZ846" i="3"/>
  <c r="AZ843" i="3"/>
  <c r="AZ851" i="3" s="1"/>
  <c r="AP543" i="20"/>
  <c r="T24" i="15"/>
  <c r="Y38" i="15" s="1"/>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E67" i="7"/>
  <c r="W58" i="7"/>
  <c r="Y55" i="7"/>
  <c r="AP548" i="20"/>
  <c r="AF541" i="20" s="1"/>
  <c r="AF542" i="20" s="1"/>
  <c r="AK548" i="20" s="1"/>
  <c r="T807" i="20" s="1"/>
  <c r="AF807" i="20" s="1"/>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AA55"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5" i="7" l="1"/>
  <c r="AA58" i="7"/>
  <c r="AB57" i="15"/>
  <c r="U4" i="7"/>
  <c r="S5" i="7"/>
  <c r="P204" i="3"/>
  <c r="M48" i="7"/>
  <c r="M47" i="7"/>
  <c r="M60" i="7"/>
  <c r="O45" i="7"/>
  <c r="O49" i="7"/>
  <c r="K66" i="7"/>
  <c r="K67" i="7"/>
  <c r="K62" i="7"/>
  <c r="Q7" i="7"/>
  <c r="Q11" i="7" s="1"/>
  <c r="Q37" i="7" s="1"/>
  <c r="S6" i="7"/>
  <c r="I70" i="7"/>
  <c r="I72" i="7" s="1"/>
  <c r="W22" i="7"/>
  <c r="W35" i="7" s="1"/>
  <c r="Y15" i="7"/>
  <c r="W9" i="7"/>
  <c r="Y8" i="7"/>
  <c r="AE55" i="7" l="1"/>
  <c r="AC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5" i="7" l="1"/>
  <c r="AG58" i="7" s="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<sst xmlns="http://schemas.openxmlformats.org/spreadsheetml/2006/main" count="5303" uniqueCount="2757">
  <si>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</si>
  <si>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</si>
  <si>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</si>
  <si>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</si>
  <si>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</si>
  <si>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</si>
  <si>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</si>
  <si>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</si>
  <si>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</si>
  <si>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</si>
  <si>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</si>
  <si>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</si>
  <si>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</si>
  <si>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</si>
  <si>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</si>
  <si>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</si>
  <si>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</si>
  <si>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</si>
  <si>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</si>
  <si>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</si>
  <si>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</si>
  <si>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</si>
  <si>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</si>
  <si>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</si>
  <si>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</si>
  <si>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</si>
  <si>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</si>
  <si>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</si>
  <si>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</si>
  <si>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</si>
  <si>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</si>
  <si>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</si>
  <si>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</si>
  <si>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</si>
  <si>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</si>
  <si>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</si>
  <si>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</si>
  <si>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</si>
  <si>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</si>
  <si>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</si>
  <si>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</si>
  <si>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</si>
  <si>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</si>
  <si>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</si>
  <si>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</si>
  <si>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</si>
  <si>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</si>
  <si>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</si>
  <si>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</si>
  <si>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</si>
  <si>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</si>
  <si>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</si>
  <si>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</si>
  <si>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</si>
  <si>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</si>
  <si>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</si>
  <si>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</si>
  <si>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</si>
  <si>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</si>
  <si>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</si>
  <si>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</si>
  <si>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</si>
  <si>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</si>
  <si>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</si>
  <si>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</si>
  <si>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</si>
  <si>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</si>
  <si>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</si>
  <si>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</si>
  <si>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</si>
  <si>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</si>
  <si>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</si>
  <si>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</si>
  <si>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</si>
  <si>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</si>
  <si>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</si>
  <si>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</si>
  <si>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</si>
  <si>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</si>
  <si>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</si>
  <si>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</si>
  <si>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</si>
  <si>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</si>
  <si>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</si>
  <si>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</si>
  <si>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</si>
  <si>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</si>
  <si>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</si>
  <si>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</si>
  <si>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</si>
  <si>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</si>
  <si>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</si>
  <si>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</si>
  <si>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</si>
  <si>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</si>
  <si>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</si>
  <si>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</si>
  <si>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</si>
  <si>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</si>
  <si>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</si>
  <si>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</si>
  <si>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</si>
  <si>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</si>
  <si>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</si>
  <si>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</si>
  <si>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</si>
  <si>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</si>
  <si>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</si>
  <si>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</si>
  <si>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</si>
  <si>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</si>
  <si>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</si>
  <si>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</si>
  <si>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</si>
  <si>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</si>
  <si>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</si>
  <si>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</si>
  <si>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</si>
  <si>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</si>
  <si>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</si>
  <si>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</si>
  <si>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</si>
  <si>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</si>
  <si>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</si>
  <si>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</si>
  <si>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</si>
  <si>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</si>
  <si>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</si>
  <si>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</si>
  <si>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</si>
  <si>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</si>
  <si>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</si>
  <si>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</si>
  <si>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</si>
  <si>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</si>
  <si>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</si>
  <si>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</si>
  <si>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</si>
  <si>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</si>
  <si>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</si>
  <si>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</si>
  <si>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</si>
  <si>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</si>
  <si>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</si>
  <si>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</si>
  <si>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</si>
  <si>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</si>
  <si>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</si>
  <si>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</si>
  <si>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</si>
  <si>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</si>
  <si>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</si>
  <si>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</si>
  <si>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</si>
  <si>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</si>
  <si>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</si>
  <si>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</si>
  <si>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</si>
  <si>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</si>
  <si>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</si>
  <si>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</si>
  <si>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</si>
  <si>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</si>
  <si>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</si>
  <si>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</si>
  <si>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</si>
  <si>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</si>
  <si>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</si>
  <si>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</si>
  <si>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</si>
  <si>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</si>
  <si>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</si>
  <si>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</si>
  <si>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</si>
  <si>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</si>
  <si>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</si>
  <si>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</si>
  <si>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</si>
  <si>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</si>
  <si>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</si>
  <si>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</si>
  <si>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</si>
  <si>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</si>
  <si>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</si>
  <si>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</si>
  <si>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</si>
  <si>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</si>
  <si>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</si>
  <si>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</si>
  <si>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</si>
  <si>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</si>
  <si>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</si>
  <si>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</si>
  <si>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</si>
  <si>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</si>
  <si>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</si>
  <si>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</si>
  <si>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</si>
  <si>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</si>
  <si>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</si>
  <si>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</si>
  <si>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</si>
  <si>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</si>
  <si>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</si>
  <si>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</si>
  <si>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</si>
  <si>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</si>
  <si>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</si>
  <si>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</si>
  <si>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</si>
  <si>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</si>
  <si>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</si>
  <si>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</si>
  <si>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</si>
  <si>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</si>
  <si>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</si>
  <si>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</si>
  <si>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</si>
  <si>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</si>
  <si>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</si>
  <si>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</si>
  <si>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</si>
  <si>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</si>
  <si>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</si>
  <si>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</si>
  <si>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</si>
  <si>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</si>
  <si>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</si>
  <si>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</si>
  <si>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</si>
  <si>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</si>
  <si>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</si>
  <si>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</si>
  <si>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</si>
  <si>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</si>
  <si>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</si>
  <si>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</si>
  <si>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</si>
  <si>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</si>
  <si>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</si>
  <si>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</si>
  <si>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</si>
  <si>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</si>
  <si>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</si>
  <si>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</si>
  <si>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</si>
  <si>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</si>
  <si>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</si>
  <si>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</si>
  <si>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</si>
  <si>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</si>
  <si>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</si>
  <si>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</si>
  <si>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</si>
  <si>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</si>
  <si>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</si>
  <si>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</si>
  <si>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</si>
  <si>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</si>
  <si>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</si>
  <si>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</si>
  <si>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</si>
  <si>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</si>
  <si>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</si>
  <si>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</si>
  <si>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</si>
  <si>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</si>
  <si>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</si>
  <si>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</si>
  <si>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</si>
  <si>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</si>
  <si>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</si>
  <si>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</si>
  <si>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</si>
  <si>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</si>
  <si>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</si>
  <si>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</si>
  <si>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</si>
  <si>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</si>
  <si>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</si>
  <si>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</si>
  <si>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</si>
  <si>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</si>
  <si>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</si>
  <si>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</si>
  <si>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</si>
  <si>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</si>
  <si>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</si>
  <si>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</si>
  <si>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</si>
  <si>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</si>
  <si>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</si>
  <si>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</si>
  <si>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</si>
  <si>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</si>
  <si>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</si>
  <si>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</si>
  <si>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</si>
  <si>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</si>
  <si>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</si>
  <si>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</si>
  <si>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</si>
  <si>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</si>
  <si>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</si>
  <si>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</si>
  <si>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</si>
  <si>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</si>
  <si>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</si>
  <si>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</si>
  <si>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</si>
  <si>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</si>
  <si>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</si>
  <si>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</si>
  <si>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</si>
  <si>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</si>
  <si>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</si>
  <si>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</si>
  <si>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</si>
  <si>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</si>
  <si>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</si>
  <si>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</si>
  <si>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</si>
  <si>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</si>
  <si>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</si>
  <si>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</si>
  <si>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</si>
  <si>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</si>
  <si>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</si>
  <si>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</si>
  <si>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</si>
  <si>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</si>
  <si>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</si>
  <si>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</si>
  <si>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</si>
  <si>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</si>
  <si>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</si>
  <si>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</si>
  <si>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</si>
  <si>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</si>
  <si>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</si>
  <si>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</si>
  <si>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</si>
  <si>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</si>
  <si>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</si>
  <si>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</si>
  <si>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</si>
  <si>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</si>
  <si>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</si>
  <si>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</si>
  <si>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</si>
  <si>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</si>
  <si>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</si>
  <si>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</si>
  <si>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</si>
  <si>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</si>
  <si>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</si>
  <si>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</si>
  <si>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</si>
  <si>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</si>
  <si>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</si>
  <si>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</si>
  <si>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</si>
  <si>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</si>
  <si>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</si>
  <si>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</si>
  <si>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</si>
  <si>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</si>
  <si>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</si>
  <si>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</si>
  <si>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</si>
  <si>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</si>
  <si>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</si>
  <si>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</si>
  <si>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</si>
  <si>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</si>
  <si>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</si>
  <si>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</si>
  <si>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</si>
  <si>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</si>
  <si>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</si>
  <si>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</si>
  <si>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</si>
  <si>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</si>
  <si>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</si>
  <si>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</si>
  <si>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</si>
  <si>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</si>
  <si>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</si>
  <si>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</si>
  <si>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</si>
  <si>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</si>
  <si>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</si>
  <si>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</si>
  <si>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</si>
  <si>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</si>
  <si>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</si>
  <si>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</si>
  <si>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</si>
  <si>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</si>
  <si>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</si>
  <si>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</si>
  <si>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</si>
  <si>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</si>
  <si>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</si>
  <si>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</si>
  <si>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</si>
  <si>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</si>
  <si>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</si>
  <si>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</si>
  <si>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</si>
  <si>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</si>
  <si>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</si>
  <si>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</si>
  <si>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</si>
  <si>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</si>
  <si>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</si>
  <si>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</si>
  <si>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</si>
  <si>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</si>
  <si>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</si>
  <si>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</si>
  <si>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</si>
  <si>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</si>
  <si>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</si>
  <si>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</si>
  <si>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</si>
  <si>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</si>
  <si>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</si>
  <si>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</si>
  <si>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</si>
  <si>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</si>
  <si>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</si>
  <si>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</si>
  <si>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</si>
  <si>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</si>
  <si>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</si>
  <si>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</si>
  <si>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</si>
  <si>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</si>
  <si>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</si>
  <si>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</si>
  <si>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</si>
  <si>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</si>
  <si>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</si>
  <si>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</si>
  <si>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</si>
  <si>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</si>
  <si>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</si>
  <si>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</si>
  <si>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</si>
  <si>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</si>
  <si>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</si>
  <si>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</si>
  <si>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</si>
  <si>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</si>
  <si>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</si>
  <si>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</si>
  <si>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</si>
  <si>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</si>
  <si>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</si>
  <si>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</si>
  <si>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</si>
  <si>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</si>
  <si>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</si>
  <si>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</si>
  <si>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</si>
  <si>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</si>
  <si>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</si>
  <si>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</si>
  <si>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</si>
  <si>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</si>
  <si>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</si>
  <si>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</si>
  <si>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</si>
  <si>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</si>
  <si>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</si>
  <si>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</si>
  <si>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</si>
  <si>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</si>
  <si>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</si>
  <si>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</si>
  <si>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</si>
  <si>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</si>
  <si>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</si>
  <si>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</si>
  <si>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</si>
  <si>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</si>
  <si>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</si>
  <si>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</si>
  <si>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</si>
  <si>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</si>
  <si>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</si>
  <si>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</si>
  <si>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</si>
  <si>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</si>
  <si>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</si>
  <si>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</si>
  <si>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</si>
  <si>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</si>
  <si>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</si>
  <si>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</si>
  <si>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</si>
  <si>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</si>
  <si>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</si>
  <si>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</si>
  <si>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</si>
  <si>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</si>
  <si>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</si>
  <si>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</si>
  <si>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</si>
  <si>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</si>
  <si>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</si>
  <si>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</si>
  <si>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</si>
  <si>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</si>
  <si>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</si>
  <si>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</si>
  <si>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</si>
  <si>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</si>
  <si>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</si>
  <si>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</si>
  <si>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</si>
  <si>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</si>
  <si>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</si>
  <si>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</si>
  <si>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</si>
  <si>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</si>
  <si>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</si>
  <si>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</si>
  <si>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</si>
  <si>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</si>
  <si>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</si>
  <si>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</si>
  <si>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</si>
  <si>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</si>
  <si>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</si>
  <si>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</si>
  <si>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</si>
  <si>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</si>
  <si>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</si>
  <si>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</si>
  <si>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</si>
  <si>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</si>
  <si>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</si>
  <si>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</si>
  <si>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</si>
  <si>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</si>
  <si>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</si>
  <si>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</si>
  <si>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</si>
  <si>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</si>
  <si>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</si>
  <si>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</si>
  <si>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</si>
  <si>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</si>
  <si>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</si>
  <si>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</si>
  <si>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</si>
  <si>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</si>
  <si>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</si>
  <si>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</si>
  <si>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</si>
  <si>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</si>
  <si>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</si>
  <si>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</si>
  <si>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</si>
  <si>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</si>
  <si>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</si>
  <si>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</si>
  <si>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</si>
  <si>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</si>
  <si>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</si>
  <si>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</si>
  <si>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</si>
  <si>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</si>
  <si>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</si>
  <si>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</si>
  <si>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</si>
  <si>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</si>
  <si>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</si>
  <si>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</si>
  <si>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</si>
  <si>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</si>
  <si>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</si>
  <si>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</si>
  <si>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</si>
  <si>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</si>
  <si>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</si>
  <si>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</si>
  <si>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</si>
  <si>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</si>
  <si>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</si>
  <si>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</si>
  <si>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</si>
  <si>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</si>
  <si>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</si>
  <si>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</si>
  <si>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</si>
  <si>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</si>
  <si>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</si>
  <si>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</si>
  <si>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</si>
  <si>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</si>
  <si>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</si>
  <si>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</si>
  <si>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</si>
  <si>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</si>
  <si>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</si>
  <si>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</si>
  <si>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</si>
  <si>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</si>
  <si>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</si>
  <si>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</si>
  <si>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</si>
  <si>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</si>
  <si>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</si>
  <si>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</si>
  <si>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</si>
  <si>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</si>
  <si>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</si>
  <si>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</si>
  <si>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</si>
  <si>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</si>
  <si>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</si>
  <si>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</si>
  <si>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</si>
  <si>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</si>
  <si>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</si>
  <si>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</si>
  <si>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</si>
  <si>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</si>
  <si>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</si>
  <si>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</si>
  <si>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</si>
  <si>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</si>
  <si>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</si>
  <si>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</si>
  <si>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</si>
  <si>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</si>
  <si>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</si>
  <si>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</si>
  <si>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</si>
  <si>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</si>
  <si>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</si>
  <si>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</si>
  <si>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</si>
  <si>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</si>
  <si>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</si>
  <si>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</si>
  <si>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</si>
  <si>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</si>
  <si>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</si>
  <si>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</si>
  <si>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</si>
  <si>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</si>
  <si>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</si>
  <si>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</si>
  <si>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</si>
  <si>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</si>
  <si>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</si>
  <si>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</si>
  <si>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</si>
  <si>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</si>
  <si>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</si>
  <si>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</si>
  <si>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</si>
  <si>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</si>
  <si>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</si>
  <si>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</si>
  <si>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</si>
  <si>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</si>
  <si>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</si>
  <si>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</si>
  <si>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</si>
  <si>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</si>
  <si>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</si>
  <si>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</si>
  <si>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</si>
  <si>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</si>
  <si>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</si>
  <si>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</si>
  <si>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</si>
  <si>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</si>
  <si>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</si>
  <si>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</si>
  <si>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</si>
  <si>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</si>
  <si>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</si>
  <si>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</si>
  <si>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</si>
  <si>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</si>
  <si>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</si>
  <si>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</si>
  <si>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</si>
  <si>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</si>
  <si>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</si>
  <si>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</si>
  <si>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</si>
  <si>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</si>
  <si>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</si>
  <si>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</si>
  <si>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</si>
  <si>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</si>
  <si>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</si>
  <si>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</si>
  <si>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</si>
  <si>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</si>
  <si>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</si>
  <si>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</si>
  <si>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</si>
  <si>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</si>
  <si>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</si>
  <si>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</si>
  <si>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</si>
  <si>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</si>
  <si>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</si>
  <si>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</si>
  <si>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</si>
  <si>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</si>
  <si>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</si>
  <si>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</si>
  <si>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</si>
  <si>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</si>
  <si>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</si>
  <si>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</si>
  <si>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</si>
  <si>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</si>
  <si>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</si>
  <si>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</si>
  <si>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</si>
  <si>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</si>
  <si>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</si>
  <si>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</si>
  <si>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</si>
  <si>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</si>
  <si>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</si>
  <si>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</si>
  <si>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</si>
  <si>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</si>
  <si>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</si>
  <si>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</si>
  <si>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</si>
  <si>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</si>
  <si>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</si>
  <si>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</si>
  <si>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</si>
  <si>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</si>
  <si>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</si>
  <si>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</si>
  <si>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</si>
  <si>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</si>
  <si>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</si>
  <si>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</si>
  <si>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</si>
  <si>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</si>
  <si>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</si>
  <si>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</si>
  <si>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</si>
  <si>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</si>
  <si>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</si>
  <si>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</si>
  <si>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</si>
  <si>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</si>
  <si>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</si>
  <si>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</si>
  <si>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</si>
  <si>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</si>
  <si>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</si>
  <si>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</si>
  <si>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</si>
  <si>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</si>
  <si>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</si>
  <si>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</si>
  <si>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</si>
  <si>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</si>
  <si>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</si>
  <si>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</si>
  <si>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</si>
  <si>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</si>
  <si>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</si>
  <si>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</si>
  <si>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</si>
  <si>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</si>
  <si>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</si>
  <si>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</si>
  <si>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</si>
  <si>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</si>
  <si>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</si>
  <si>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</si>
  <si>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</si>
  <si>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</si>
  <si>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</si>
  <si>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</si>
  <si>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</si>
  <si>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</si>
  <si>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</si>
  <si>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</si>
  <si>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</si>
  <si>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</si>
  <si>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</si>
  <si>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</si>
  <si>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</si>
  <si>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</si>
  <si>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</si>
  <si>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</si>
  <si>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</si>
  <si>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</si>
  <si>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</si>
  <si>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</si>
  <si>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</si>
  <si>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</si>
  <si>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</si>
  <si>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</si>
  <si>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</si>
  <si>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</si>
  <si>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</si>
  <si>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</si>
  <si>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</si>
  <si>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</si>
  <si>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</si>
  <si>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</si>
  <si>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</si>
  <si>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</si>
  <si>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</si>
  <si>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</si>
  <si>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</si>
  <si>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</si>
  <si>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</si>
  <si>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</si>
  <si>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</si>
  <si>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</si>
  <si>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</si>
  <si>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</si>
  <si>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</si>
  <si>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</si>
  <si>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</si>
  <si>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</si>
  <si>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</si>
  <si>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</si>
  <si>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</si>
  <si>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</si>
  <si>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</si>
  <si>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</si>
  <si>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</si>
  <si>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</si>
  <si>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</si>
  <si>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</si>
  <si>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</si>
  <si>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</si>
  <si>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</si>
  <si>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</si>
  <si>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</si>
  <si>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</si>
  <si>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</si>
  <si>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</si>
  <si>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</si>
  <si>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</si>
  <si>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</si>
  <si>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</si>
  <si>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</si>
  <si>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</si>
  <si>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</si>
  <si>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</si>
  <si>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</si>
  <si>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</si>
  <si>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</si>
  <si>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</si>
  <si>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</si>
  <si>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</si>
  <si>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</si>
  <si>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</si>
  <si>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</si>
  <si>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</si>
  <si>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</si>
  <si>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</si>
  <si>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</si>
  <si>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</si>
  <si>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</si>
  <si>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</si>
  <si>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</si>
  <si>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</si>
  <si>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</si>
  <si>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</si>
  <si>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</si>
  <si>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</si>
  <si>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</si>
  <si>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</si>
  <si>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</si>
  <si>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</si>
  <si>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</si>
  <si>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</si>
  <si>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</si>
  <si>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</si>
  <si>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</si>
  <si>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</si>
  <si>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</si>
  <si>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</si>
  <si>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</si>
  <si>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</si>
  <si>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</si>
  <si>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</si>
  <si>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</si>
  <si>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</si>
  <si>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</si>
  <si>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</si>
  <si>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</si>
  <si>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</si>
  <si>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</si>
  <si>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</si>
  <si>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</si>
  <si>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</si>
  <si>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</si>
  <si>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</si>
  <si>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</si>
  <si>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</si>
  <si>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</si>
  <si>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</si>
  <si>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</si>
  <si>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</si>
  <si>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</si>
  <si>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</si>
  <si>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</si>
  <si>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</si>
  <si>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</si>
  <si>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</si>
  <si>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</si>
  <si>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</si>
  <si>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</si>
  <si>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</si>
  <si>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</si>
  <si>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</si>
  <si>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</si>
  <si>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</si>
  <si>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</si>
  <si>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</si>
  <si>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</si>
  <si>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</si>
  <si>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</si>
  <si>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</si>
  <si>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</si>
  <si>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</si>
  <si>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</si>
  <si>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</si>
  <si>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</si>
  <si>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</si>
  <si>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</si>
  <si>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</si>
  <si>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</si>
  <si>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</si>
  <si>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</si>
  <si>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</si>
  <si>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</si>
  <si>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</si>
  <si>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</si>
  <si>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</si>
  <si>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</si>
  <si>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</si>
  <si>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</si>
  <si>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</si>
  <si>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</si>
  <si>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</si>
  <si>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</si>
  <si>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</si>
  <si>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</si>
  <si>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</si>
  <si>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</si>
  <si>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</si>
  <si>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</si>
  <si>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</si>
  <si>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</si>
  <si>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</si>
  <si>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</si>
  <si>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</si>
  <si>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</si>
  <si>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</si>
  <si>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</si>
  <si>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</si>
  <si>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</si>
  <si>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</si>
  <si>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</si>
  <si>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</si>
  <si>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</si>
  <si>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</si>
  <si>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</si>
  <si>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</si>
  <si>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</si>
  <si>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</si>
  <si>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</si>
  <si>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</si>
  <si>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</si>
  <si>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</si>
  <si>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</si>
  <si>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</si>
  <si>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</si>
  <si>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</si>
  <si>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</si>
  <si>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</si>
  <si>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</si>
  <si>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</si>
  <si>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</si>
  <si>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</si>
  <si>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</si>
  <si>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</si>
  <si>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</si>
  <si>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</si>
  <si>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</si>
  <si>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</si>
  <si>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</si>
  <si>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</si>
  <si>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</si>
  <si>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</si>
  <si>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</si>
  <si>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</si>
  <si>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</si>
  <si>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</si>
  <si>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</si>
  <si>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</si>
  <si>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</si>
  <si>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</si>
  <si>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</si>
  <si>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</si>
  <si>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</si>
  <si>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</si>
  <si>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</si>
  <si>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</si>
  <si>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</si>
  <si>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</si>
  <si>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</si>
  <si>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</si>
  <si>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</si>
  <si>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</si>
  <si>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</si>
  <si>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</si>
  <si>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</si>
  <si>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</si>
  <si>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</si>
  <si>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</si>
  <si>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</si>
  <si>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</si>
  <si>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</si>
  <si>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</si>
  <si>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</si>
  <si>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</si>
  <si>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</si>
  <si>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</si>
  <si>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</si>
  <si>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</si>
  <si>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</si>
  <si>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</si>
  <si>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</si>
  <si>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</si>
  <si>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</si>
  <si>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</si>
  <si>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</si>
  <si>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</si>
  <si>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</si>
  <si>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</si>
  <si>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</si>
  <si>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</si>
  <si>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</si>
  <si>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</si>
  <si>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</si>
  <si>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</si>
  <si>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</si>
  <si>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</si>
  <si>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</si>
  <si>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</si>
  <si>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</si>
  <si>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</si>
  <si>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</si>
  <si>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</si>
  <si>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</si>
  <si>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</si>
  <si>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</si>
  <si>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</si>
  <si>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</si>
  <si>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</si>
  <si>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</si>
  <si>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</si>
  <si>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</si>
  <si>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</si>
  <si>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</si>
  <si>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</si>
  <si>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</si>
  <si>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</si>
  <si>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</si>
  <si>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</si>
  <si>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</si>
  <si>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</si>
  <si>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</si>
  <si>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</si>
  <si>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</si>
  <si>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</si>
  <si>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</si>
  <si>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</si>
  <si>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</si>
  <si>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</si>
  <si>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</si>
  <si>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</si>
  <si>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</si>
  <si>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</si>
  <si>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</si>
  <si>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</si>
  <si>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</si>
  <si>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</si>
  <si>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</si>
  <si>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</si>
  <si>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</si>
  <si>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</si>
  <si>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</si>
  <si>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</si>
  <si>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</si>
  <si>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</si>
  <si>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</si>
  <si>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</si>
  <si>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</si>
  <si>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</si>
  <si>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</si>
  <si>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</si>
  <si>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</si>
  <si>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</si>
  <si>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</si>
  <si>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</si>
  <si>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</si>
  <si>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</si>
  <si>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</si>
  <si>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</si>
  <si>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</si>
  <si>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</si>
  <si>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</si>
  <si>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</si>
  <si>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</si>
  <si>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</si>
  <si>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</si>
  <si>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</si>
  <si>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</si>
  <si>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</si>
  <si>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</si>
  <si>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</si>
  <si>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</si>
  <si>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</si>
  <si>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</si>
  <si>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</si>
  <si>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</si>
  <si>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</si>
  <si>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</si>
  <si>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</si>
  <si>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</si>
  <si>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</si>
  <si>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</si>
  <si>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</si>
  <si>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</si>
  <si>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</si>
  <si>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</si>
  <si>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</si>
  <si>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</si>
  <si>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</si>
  <si>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</si>
  <si>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</si>
  <si>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</si>
  <si>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</si>
  <si>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</si>
  <si>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</si>
  <si>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</si>
  <si>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</si>
  <si>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</si>
  <si>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</si>
  <si>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</si>
  <si>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</si>
  <si>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</si>
  <si>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</si>
  <si>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</si>
  <si>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</si>
  <si>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</si>
  <si>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</si>
  <si>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</si>
  <si>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</si>
  <si>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</si>
  <si>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</si>
  <si>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</si>
  <si>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</si>
  <si>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</si>
  <si>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</si>
  <si>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</si>
  <si>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</si>
  <si>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</si>
  <si>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</si>
  <si>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</si>
  <si>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</si>
  <si>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</si>
  <si>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</si>
  <si>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</si>
  <si>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</si>
  <si>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</si>
  <si>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</si>
  <si>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</si>
  <si>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</si>
  <si>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</si>
  <si>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</si>
  <si>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</si>
  <si>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</si>
  <si>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</si>
  <si>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</si>
  <si>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</si>
  <si>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</si>
  <si>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</si>
  <si>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</si>
  <si>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</si>
  <si>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</si>
  <si>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</si>
  <si>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</si>
  <si>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</si>
  <si>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</si>
  <si>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</si>
  <si>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</si>
  <si>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</si>
  <si>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</si>
  <si>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</si>
  <si>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</si>
  <si>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</si>
  <si>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</si>
  <si>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</si>
  <si>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</si>
  <si>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</si>
  <si>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</si>
  <si>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</si>
  <si>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</si>
  <si>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</si>
  <si>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</si>
  <si>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</si>
  <si>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</si>
  <si>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</si>
  <si>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</si>
  <si>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</si>
  <si>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</si>
  <si>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</si>
  <si>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</si>
  <si>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</si>
  <si>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</si>
  <si>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</si>
  <si>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</si>
  <si>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</si>
  <si>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</si>
  <si>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</si>
  <si>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</si>
  <si>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</si>
  <si>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</si>
  <si>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</si>
  <si>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</si>
  <si>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</si>
  <si>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</si>
  <si>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</si>
  <si>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</si>
  <si>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</si>
  <si>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</si>
  <si>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</si>
  <si>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</si>
  <si>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</si>
  <si>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</si>
  <si>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</si>
  <si>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</si>
  <si>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</si>
  <si>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</si>
  <si>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</si>
  <si>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</si>
  <si>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</si>
  <si>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</si>
  <si>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</si>
  <si>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</si>
  <si>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</si>
  <si>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</si>
  <si>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</si>
  <si>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</si>
  <si>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</si>
  <si>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</si>
  <si>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</si>
  <si>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</si>
  <si>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</si>
  <si>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</si>
  <si>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</si>
  <si>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</si>
  <si>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</si>
  <si>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</si>
  <si>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</si>
  <si>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</si>
  <si>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</si>
  <si>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</si>
  <si>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</si>
  <si>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</si>
  <si>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</si>
  <si>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</si>
  <si>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</si>
  <si>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</si>
  <si>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</si>
  <si>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</si>
  <si>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</si>
  <si>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</si>
  <si>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</si>
  <si>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</si>
  <si>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</si>
  <si>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</si>
  <si>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</si>
  <si>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</si>
  <si>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</si>
  <si>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</si>
  <si>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</si>
  <si>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</si>
  <si>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</si>
  <si>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</si>
  <si>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</si>
  <si>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</si>
  <si>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</si>
  <si>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</si>
  <si>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</si>
  <si>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</si>
  <si>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</si>
  <si>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</si>
  <si>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</si>
  <si>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</si>
  <si>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</si>
  <si>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</si>
  <si>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</si>
  <si>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</si>
  <si>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</si>
  <si>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</si>
  <si>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</si>
  <si>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</si>
  <si>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</si>
  <si>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</si>
  <si>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</si>
  <si>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</si>
  <si>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</si>
  <si>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</si>
  <si>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</si>
  <si>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</si>
  <si>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</si>
  <si>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</si>
  <si>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</si>
  <si>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</si>
  <si>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</si>
  <si>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</si>
  <si>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</si>
  <si>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</si>
  <si>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</si>
  <si>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</si>
  <si>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</si>
  <si>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</si>
  <si>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</si>
  <si>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</si>
  <si>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</si>
  <si>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</si>
  <si>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</si>
  <si>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</si>
  <si>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</si>
  <si>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</si>
  <si>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</si>
  <si>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</si>
  <si>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</si>
  <si>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</si>
  <si>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</si>
  <si>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</si>
  <si>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</si>
  <si>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</si>
  <si>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</si>
  <si>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</si>
  <si>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</si>
  <si>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</si>
  <si>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</si>
  <si>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</si>
  <si>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</si>
  <si>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</si>
  <si>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</si>
  <si>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</si>
  <si>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</si>
  <si>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</si>
  <si>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</si>
  <si>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</si>
  <si>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</si>
  <si>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</si>
  <si>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</si>
  <si>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</si>
  <si>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</si>
  <si>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</si>
  <si>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</si>
  <si>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</si>
  <si>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</si>
  <si>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</si>
  <si>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</si>
  <si>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</si>
  <si>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</si>
  <si>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</si>
  <si>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</si>
  <si>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</si>
  <si>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</si>
  <si>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</si>
  <si>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</si>
  <si>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</si>
  <si>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</si>
  <si>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</si>
  <si>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</si>
  <si>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</si>
  <si>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</si>
  <si>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</si>
  <si>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</si>
  <si>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</si>
  <si>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</si>
  <si>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</si>
  <si>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</si>
  <si>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</si>
  <si>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</si>
  <si>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</si>
  <si>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</si>
  <si>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</si>
  <si>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</si>
  <si>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</si>
  <si>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</si>
  <si>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</si>
  <si>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</si>
  <si>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</si>
  <si>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</si>
  <si>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</si>
  <si>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</si>
  <si>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</si>
  <si>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</si>
  <si>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</si>
  <si>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</si>
  <si>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</si>
  <si>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</si>
  <si>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</si>
  <si>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</si>
  <si>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</si>
  <si>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</si>
  <si>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</si>
  <si>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</si>
  <si>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</si>
  <si>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</si>
  <si>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</si>
  <si>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</si>
  <si>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</si>
  <si>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</si>
  <si>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</si>
  <si>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</si>
  <si>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</si>
  <si>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</si>
  <si>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</si>
  <si>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</si>
  <si>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</si>
  <si>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</si>
  <si>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</si>
  <si>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</si>
  <si>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</si>
  <si>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</si>
  <si>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</si>
  <si>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</si>
  <si>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</si>
  <si>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</si>
  <si>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</si>
  <si>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</si>
  <si>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</si>
  <si>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</si>
  <si>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</si>
  <si>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</si>
  <si>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</si>
  <si>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</si>
  <si>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</si>
  <si>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</si>
  <si>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</si>
  <si>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</si>
  <si>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</si>
  <si>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</si>
  <si>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</si>
  <si>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</si>
  <si>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</si>
  <si>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</si>
  <si>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</si>
  <si>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</si>
  <si>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</si>
  <si>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</si>
  <si>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</si>
  <si>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</si>
  <si>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</si>
  <si>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</si>
  <si>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</si>
  <si>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</si>
  <si>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</si>
  <si>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</si>
  <si>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</si>
  <si>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</si>
  <si>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</si>
  <si>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</si>
  <si>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</si>
  <si>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</si>
  <si>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</si>
  <si>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</si>
  <si>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</si>
  <si>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</si>
  <si>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</si>
  <si>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</si>
  <si>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</si>
  <si>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</si>
  <si>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</si>
  <si>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</si>
  <si>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</si>
  <si>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</si>
  <si>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</si>
  <si>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</si>
  <si>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</si>
  <si>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</si>
  <si>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</si>
  <si>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</si>
  <si>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</si>
  <si>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</si>
  <si>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</si>
  <si>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</si>
  <si>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</si>
  <si>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</si>
  <si>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</si>
  <si>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</si>
  <si>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</si>
  <si>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</si>
  <si>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</si>
  <si>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</si>
  <si>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</si>
  <si>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</si>
  <si>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</si>
  <si>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</si>
  <si>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</si>
  <si>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</si>
  <si>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</si>
  <si>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</si>
  <si>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</si>
  <si>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</si>
  <si>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</si>
  <si>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</si>
  <si>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</si>
  <si>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</si>
  <si>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</si>
  <si>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</si>
  <si>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</si>
  <si>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</si>
  <si>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</si>
  <si>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</si>
  <si>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</si>
  <si>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</si>
  <si>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</si>
  <si>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</si>
  <si>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</si>
  <si>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</si>
  <si>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</si>
  <si>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</si>
  <si>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</si>
  <si>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</si>
  <si>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</si>
  <si>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</si>
  <si>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</si>
  <si>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</si>
  <si>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</si>
  <si>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</si>
  <si>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</si>
  <si>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</si>
  <si>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</si>
  <si>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</si>
  <si>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</si>
  <si>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</si>
  <si>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</si>
  <si>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</si>
  <si>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</si>
  <si>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</si>
  <si>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</si>
  <si>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</si>
  <si>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</si>
  <si>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</si>
  <si>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</si>
  <si>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</si>
  <si>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</si>
  <si>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</si>
  <si>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</si>
  <si>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</si>
  <si>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</si>
  <si>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</si>
  <si>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</si>
  <si>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</si>
  <si>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</si>
  <si>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</si>
  <si>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</si>
  <si>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</si>
  <si>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</si>
  <si>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</si>
  <si>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</si>
  <si>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</si>
  <si>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</si>
  <si>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</si>
  <si>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</si>
  <si>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</si>
  <si>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</si>
  <si>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</si>
  <si>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</si>
  <si>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</si>
  <si>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</si>
  <si>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</si>
  <si>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</si>
  <si>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</si>
  <si>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</si>
  <si>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</si>
  <si>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</si>
  <si>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</si>
  <si>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</si>
  <si>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</si>
  <si>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</si>
  <si>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</si>
  <si>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</si>
  <si>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</si>
  <si>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</si>
  <si>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</si>
  <si>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</si>
  <si>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</si>
  <si>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</si>
  <si>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</si>
  <si>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</si>
  <si>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</si>
  <si>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</si>
  <si>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</si>
  <si>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</si>
  <si>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</si>
  <si>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</si>
  <si>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</si>
  <si>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</si>
  <si>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</si>
  <si>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</si>
  <si>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</si>
  <si>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</si>
  <si>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</si>
  <si>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</si>
  <si>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</si>
  <si>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</si>
  <si>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</si>
  <si>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</si>
  <si>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</si>
  <si>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</si>
  <si>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</si>
  <si>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</si>
  <si>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</si>
  <si>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</si>
  <si>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</si>
  <si>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</si>
  <si>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</si>
  <si>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</si>
  <si>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</si>
  <si>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</si>
  <si>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</si>
  <si>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</si>
  <si>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</si>
  <si>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</si>
  <si>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</si>
  <si>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</si>
  <si>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</si>
  <si>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</si>
  <si>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</si>
  <si>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</si>
  <si>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</si>
  <si>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</si>
  <si>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</si>
  <si>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</si>
  <si>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</si>
  <si>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</si>
  <si>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</si>
  <si>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</si>
  <si>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</si>
  <si>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</si>
  <si>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</si>
  <si>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</si>
  <si>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</si>
  <si>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</si>
  <si>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</si>
  <si>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</si>
  <si>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</si>
  <si>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</si>
  <si>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</si>
  <si>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</si>
  <si>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</si>
  <si>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</si>
  <si>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</si>
  <si>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</si>
  <si>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</si>
  <si>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</si>
  <si>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</si>
  <si>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</si>
  <si>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</si>
  <si>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</si>
  <si>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</si>
  <si>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</si>
  <si>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</si>
  <si>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</si>
  <si>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</si>
  <si>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</si>
  <si>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</si>
  <si>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</si>
  <si>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</si>
  <si>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</si>
  <si>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</si>
  <si>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</si>
  <si>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</si>
  <si>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</si>
  <si>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</si>
  <si>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</si>
  <si>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</si>
  <si>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</si>
  <si>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</si>
  <si>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</si>
  <si>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</si>
  <si>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</si>
  <si>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</si>
  <si>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</si>
  <si>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</si>
  <si>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</si>
  <si>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</si>
  <si>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</si>
  <si>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</si>
  <si>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</si>
  <si>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</si>
  <si>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</si>
  <si>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</si>
  <si>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</si>
  <si>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</si>
  <si>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</si>
  <si>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</si>
  <si>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</si>
  <si>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</si>
  <si>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</si>
  <si>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</si>
  <si>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</si>
  <si>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</si>
  <si>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</si>
  <si>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</si>
  <si>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</si>
  <si>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</si>
  <si>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</si>
  <si>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</si>
  <si>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</si>
  <si>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</si>
  <si>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</si>
  <si>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</si>
  <si>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</si>
  <si>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</si>
  <si>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</si>
  <si>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</si>
  <si>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</si>
  <si>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</si>
  <si>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</si>
  <si>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</si>
  <si>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</si>
  <si>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</si>
  <si>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</si>
  <si>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</si>
  <si>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</si>
  <si>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</si>
  <si>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</si>
  <si>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</si>
  <si>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</si>
  <si>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</si>
  <si>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</si>
  <si>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</si>
  <si>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</si>
  <si>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</si>
  <si>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</si>
  <si>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</si>
  <si>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</si>
  <si>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</si>
  <si>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</si>
  <si>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</si>
  <si>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</si>
  <si>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</si>
  <si>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</si>
  <si>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</si>
  <si>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</si>
  <si>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</si>
  <si>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</si>
  <si>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</si>
  <si>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</si>
  <si>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</si>
  <si>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</si>
  <si>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</si>
  <si>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</si>
  <si>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</si>
  <si>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</si>
  <si>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</si>
  <si>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</si>
  <si>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</si>
  <si>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</si>
  <si>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</si>
  <si>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</si>
  <si>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</si>
  <si>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</si>
  <si>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</si>
  <si>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</si>
  <si>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</si>
  <si>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</si>
  <si>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</si>
  <si>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</si>
  <si>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</si>
  <si>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</si>
  <si>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</si>
  <si>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</si>
  <si>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</si>
  <si>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</si>
  <si>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</si>
  <si>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</si>
  <si>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</si>
  <si>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</si>
  <si>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</si>
  <si>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</si>
  <si>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</si>
  <si>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</si>
  <si>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</si>
  <si>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</si>
  <si>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</si>
  <si>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</si>
  <si>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</si>
  <si>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</si>
  <si>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</si>
  <si>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</si>
  <si>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</si>
  <si>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</si>
  <si>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</si>
  <si>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</si>
  <si>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</si>
  <si>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</si>
  <si>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</si>
  <si>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</si>
  <si>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</si>
  <si>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</si>
  <si>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</si>
  <si>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</si>
  <si>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</si>
  <si>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</si>
  <si>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</si>
  <si>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</si>
  <si>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</si>
  <si>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</si>
  <si>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</si>
  <si>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</si>
  <si>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</si>
  <si>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</si>
  <si>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</si>
  <si>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</si>
  <si>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</si>
  <si>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</si>
  <si>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</si>
  <si>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</si>
  <si>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</si>
  <si>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</si>
  <si>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</si>
  <si>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</si>
  <si>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</si>
  <si>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</si>
  <si>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</si>
  <si>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</si>
  <si>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</si>
  <si>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</si>
  <si>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</si>
  <si>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</si>
  <si>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</si>
  <si>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</si>
  <si>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</si>
  <si>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</si>
  <si>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</si>
  <si>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</si>
  <si>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</si>
  <si>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</si>
  <si>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</si>
  <si>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</si>
  <si>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</si>
  <si>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</si>
  <si>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</si>
  <si>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</si>
  <si>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</si>
  <si>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</si>
  <si>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</si>
  <si>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</si>
  <si>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</si>
  <si>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</si>
  <si>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</si>
  <si>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</si>
  <si>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</si>
  <si>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</si>
  <si>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</si>
  <si>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</si>
  <si>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</si>
  <si>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</si>
  <si>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</si>
  <si>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</si>
  <si>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</si>
  <si>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</si>
  <si>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</si>
  <si>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</si>
  <si>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</si>
  <si>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</si>
  <si>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</si>
  <si>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</si>
  <si>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</si>
  <si>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</si>
  <si>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</si>
  <si>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</si>
  <si>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</si>
  <si>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</si>
  <si>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</si>
  <si>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</si>
  <si>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</si>
  <si>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</si>
  <si>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</si>
  <si>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</si>
  <si>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</si>
  <si>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</si>
  <si>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</si>
  <si>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</si>
  <si>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</si>
  <si>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</si>
  <si>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</si>
  <si>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</si>
  <si>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</si>
  <si>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</si>
  <si>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</si>
  <si>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</si>
  <si>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</si>
  <si>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</si>
  <si>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</si>
  <si>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</si>
  <si>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</si>
  <si>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</si>
  <si>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</si>
  <si>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</si>
  <si>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</si>
  <si>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</si>
  <si>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</si>
  <si>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</si>
  <si>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</si>
  <si>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</si>
  <si>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</si>
  <si>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</si>
  <si>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</si>
  <si>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</si>
  <si>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</si>
  <si>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</si>
  <si>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</si>
  <si>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</si>
  <si>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</si>
  <si>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</si>
  <si>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</si>
  <si>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</si>
  <si>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</si>
  <si>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</si>
  <si>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</si>
  <si>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</si>
  <si>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</si>
  <si>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</si>
  <si>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</si>
  <si>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</si>
  <si>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</si>
  <si>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</si>
  <si>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</si>
  <si>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</si>
  <si>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</si>
  <si>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</si>
  <si>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</si>
  <si>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</si>
  <si>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</si>
  <si>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</si>
  <si>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</si>
  <si>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</si>
  <si>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</si>
  <si>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</si>
  <si>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</si>
  <si>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</si>
  <si>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</si>
  <si>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</si>
  <si>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</si>
  <si>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</si>
  <si>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</si>
  <si>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</si>
  <si>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</si>
  <si>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</si>
  <si>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</si>
  <si>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</si>
  <si>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</si>
  <si>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</si>
  <si>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</si>
  <si>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</si>
  <si>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</si>
  <si>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</si>
  <si>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</si>
  <si>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</si>
  <si>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</si>
  <si>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</si>
  <si>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</si>
  <si>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</si>
  <si>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</si>
  <si>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</si>
  <si>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</si>
  <si>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</si>
  <si>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</si>
  <si>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</si>
  <si>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</si>
  <si>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</si>
  <si>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</si>
  <si>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</si>
  <si>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</si>
  <si>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</si>
  <si>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</si>
  <si>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</si>
  <si>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</si>
  <si>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</si>
  <si>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</si>
  <si>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</si>
  <si>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</si>
  <si>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</si>
  <si>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</si>
  <si>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</si>
  <si>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</si>
  <si>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</si>
  <si>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</si>
  <si>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</si>
  <si>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</si>
  <si>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</si>
  <si>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</si>
  <si>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</si>
  <si>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</si>
  <si>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</si>
  <si>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</si>
  <si>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</si>
  <si>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</si>
  <si>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</si>
  <si>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</si>
  <si>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</si>
  <si>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</si>
  <si>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</si>
  <si>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</si>
  <si>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</si>
  <si>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</si>
  <si>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</si>
  <si>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</si>
  <si>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</si>
  <si>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</si>
  <si>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</si>
  <si>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</si>
  <si>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</si>
  <si>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</si>
  <si>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</si>
  <si>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</si>
  <si>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</si>
  <si>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</si>
  <si>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</si>
  <si>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</si>
  <si>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</si>
  <si>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</si>
  <si>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</si>
  <si>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</si>
  <si>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</si>
  <si>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</si>
  <si>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</si>
  <si>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</si>
  <si>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</si>
  <si>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</si>
  <si>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</si>
  <si>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</si>
  <si>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</si>
  <si>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</si>
  <si>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</si>
  <si>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</si>
  <si>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</si>
  <si>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</si>
  <si>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</si>
  <si>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</si>
  <si>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</si>
  <si>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</si>
  <si>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</si>
  <si>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</si>
  <si>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</si>
  <si>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</si>
  <si>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</si>
  <si>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</si>
  <si>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</si>
  <si>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</si>
  <si>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</si>
  <si>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</si>
  <si>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</si>
  <si>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</si>
  <si>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</si>
  <si>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</si>
  <si>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</si>
  <si>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</si>
  <si>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</si>
  <si>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</si>
  <si>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</si>
  <si>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</si>
  <si>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</si>
  <si>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</si>
  <si>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</si>
  <si>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</si>
  <si>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</si>
  <si>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</si>
  <si>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</si>
  <si>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</si>
  <si>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</si>
  <si>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</si>
  <si>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</si>
  <si>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</si>
  <si>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</si>
  <si>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</si>
  <si>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</si>
  <si>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</si>
  <si>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</si>
  <si>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</si>
  <si>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</si>
  <si>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</si>
  <si>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</si>
  <si>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</si>
  <si>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</si>
  <si>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</si>
  <si>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</si>
  <si>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</si>
  <si>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</si>
  <si>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</si>
  <si>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</si>
  <si>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</si>
  <si>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</si>
  <si>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</si>
  <si>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</si>
  <si>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</si>
  <si>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</si>
  <si>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</si>
  <si>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</si>
  <si>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</si>
  <si>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</si>
  <si>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</si>
  <si>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</si>
  <si>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</si>
  <si>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</si>
  <si>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</si>
  <si>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</si>
  <si>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</si>
  <si>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</si>
  <si>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</si>
  <si>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</si>
  <si>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</si>
  <si>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</si>
  <si>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</si>
  <si>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</si>
  <si>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</si>
  <si>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</si>
  <si>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</si>
  <si>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</si>
  <si>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</si>
  <si>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</si>
  <si>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</si>
  <si>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</si>
  <si>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</si>
  <si>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</si>
  <si>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</si>
  <si>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</si>
  <si>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</si>
  <si>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</si>
  <si>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</si>
  <si>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</si>
  <si>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</si>
  <si>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</si>
  <si>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</si>
  <si>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</si>
  <si>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</si>
  <si>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</si>
  <si>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</si>
  <si>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</si>
  <si>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</si>
  <si>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</si>
  <si>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</si>
  <si>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</si>
  <si>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</si>
  <si>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</si>
  <si>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</si>
  <si>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</si>
  <si>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</si>
  <si>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</si>
  <si>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</si>
  <si>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</si>
  <si>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</si>
  <si>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</si>
  <si>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</si>
  <si>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</si>
  <si>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</si>
  <si>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</si>
  <si>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</si>
  <si>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</si>
  <si>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</si>
  <si>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</si>
  <si>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</si>
  <si>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</si>
  <si>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</si>
  <si>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</si>
  <si>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</si>
  <si>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</si>
  <si>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</si>
  <si>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</si>
  <si>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</si>
  <si>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</si>
  <si>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</si>
  <si>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</si>
  <si>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</si>
  <si>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</si>
  <si>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</si>
  <si>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</si>
  <si>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</si>
  <si>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</si>
  <si>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</si>
  <si>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</si>
  <si>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</si>
  <si>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</si>
  <si>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</si>
  <si>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</si>
  <si>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</si>
  <si>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</si>
  <si>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</si>
  <si>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</si>
  <si>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</si>
  <si>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</si>
  <si>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</si>
  <si>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</si>
  <si>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</si>
  <si>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</si>
  <si>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</si>
  <si>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</si>
  <si>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</si>
  <si>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</si>
  <si>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</si>
  <si>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</si>
  <si>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</si>
  <si>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</si>
  <si>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</si>
  <si>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</si>
  <si>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</si>
  <si>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</si>
  <si>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</si>
  <si>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</si>
  <si>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</si>
  <si>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</si>
  <si>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</si>
  <si>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</si>
  <si>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</si>
  <si>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</si>
  <si>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</si>
  <si>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</si>
  <si>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</si>
  <si>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</si>
  <si>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</si>
  <si>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</si>
  <si>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</si>
  <si>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</si>
  <si>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</si>
  <si>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</si>
  <si>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</si>
  <si>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</si>
  <si>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</si>
  <si>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</si>
  <si>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</si>
  <si>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</si>
  <si>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</si>
  <si>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</si>
  <si>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</si>
  <si>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</si>
  <si>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</si>
  <si>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</si>
  <si>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</si>
  <si>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</si>
  <si>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</si>
  <si>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</si>
  <si>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</si>
  <si>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</si>
  <si>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</si>
  <si>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</si>
  <si>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</si>
  <si>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</si>
  <si>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</si>
  <si>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</si>
  <si>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</si>
  <si>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</si>
  <si>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</si>
  <si>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</si>
  <si>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</si>
  <si>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</si>
  <si>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</si>
  <si>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</si>
  <si>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</si>
  <si>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</si>
  <si>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</si>
  <si>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</si>
  <si>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</si>
  <si>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</si>
  <si>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</si>
  <si>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</si>
  <si>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</si>
  <si>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</si>
  <si>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</si>
  <si>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</si>
  <si>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</si>
  <si>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</si>
  <si>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</si>
  <si>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</si>
  <si>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</si>
  <si>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</si>
  <si>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</si>
  <si>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</si>
  <si>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</si>
  <si>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</si>
  <si>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</si>
  <si>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</si>
  <si>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</si>
  <si>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</si>
  <si>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</si>
  <si>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</si>
  <si>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</si>
  <si>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</si>
  <si>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</si>
  <si>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</si>
  <si>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</si>
  <si>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</si>
  <si>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</si>
  <si>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</si>
  <si>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</si>
  <si>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</si>
  <si>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</si>
  <si>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</si>
  <si>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</si>
  <si>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</si>
  <si>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</si>
  <si>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</si>
  <si>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</si>
  <si>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</si>
  <si>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</si>
  <si>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</si>
  <si>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</si>
  <si>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</si>
  <si>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</si>
  <si>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</si>
  <si>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</si>
  <si>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</si>
  <si>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</si>
  <si>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</si>
  <si>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</si>
  <si>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</si>
  <si>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</si>
  <si>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</si>
  <si>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</si>
  <si>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</si>
  <si>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</si>
  <si>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</si>
  <si>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</si>
  <si>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</si>
  <si>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</si>
  <si>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</si>
  <si>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</si>
  <si>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</si>
  <si>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</si>
  <si>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</si>
  <si>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</si>
  <si>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</si>
  <si>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</si>
  <si>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</si>
  <si>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</si>
  <si>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</si>
  <si>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</si>
  <si>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</si>
  <si>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</si>
  <si>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</si>
  <si>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</si>
  <si>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</si>
  <si>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</si>
  <si>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</si>
  <si>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</si>
  <si>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</si>
  <si>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</si>
  <si>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</si>
  <si>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</si>
  <si>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</si>
  <si>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</si>
  <si>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</si>
  <si>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</si>
  <si>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</si>
  <si>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</si>
  <si>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</si>
  <si>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</si>
  <si>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</si>
  <si>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</si>
  <si>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</si>
  <si>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</si>
  <si>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</si>
  <si>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</si>
  <si>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</si>
  <si>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</si>
  <si>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</si>
  <si>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</si>
  <si>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</si>
  <si>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</si>
  <si>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</si>
  <si>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</si>
  <si>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</si>
  <si>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</si>
  <si>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</si>
  <si>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</si>
  <si>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</si>
  <si>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</si>
  <si>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</si>
  <si>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</si>
  <si>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</si>
  <si>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</si>
  <si>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</si>
  <si>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</si>
  <si>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</si>
  <si>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</si>
  <si>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</si>
  <si>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</si>
  <si>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</si>
  <si>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</si>
  <si>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</si>
  <si>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</si>
  <si>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</si>
  <si>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</si>
  <si>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</si>
  <si>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</si>
  <si>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</si>
  <si>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</si>
  <si>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</si>
  <si>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</si>
  <si>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</si>
  <si>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</si>
  <si>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</si>
  <si>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</si>
  <si>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</si>
  <si>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</si>
  <si>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</si>
  <si>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</si>
  <si>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</si>
  <si>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</si>
  <si>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</si>
  <si>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</si>
  <si>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</si>
  <si>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</si>
  <si>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</si>
  <si>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</si>
  <si>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</si>
  <si>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</si>
  <si>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</si>
  <si>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</si>
  <si>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</si>
  <si>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</si>
  <si>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</si>
  <si>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</si>
  <si>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</si>
  <si>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</si>
  <si>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</si>
  <si>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</si>
  <si>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</si>
  <si>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</si>
  <si>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</si>
  <si>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</si>
  <si>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</si>
  <si>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</si>
  <si>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</si>
  <si>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</si>
  <si>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</si>
  <si>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</si>
  <si>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</si>
  <si>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</si>
  <si>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</si>
  <si>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</si>
  <si>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</si>
  <si>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</si>
  <si>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</si>
  <si>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</si>
  <si>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</si>
  <si>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</si>
  <si>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</si>
  <si>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</si>
  <si>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</si>
  <si>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</si>
  <si>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</si>
  <si>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</si>
  <si>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</si>
  <si>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</si>
  <si>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</si>
  <si>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</si>
  <si>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</si>
  <si>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</si>
  <si>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</si>
  <si>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</si>
  <si>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</si>
  <si>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</si>
  <si>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</si>
  <si>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</si>
  <si>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</si>
  <si>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</si>
  <si>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</si>
  <si>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</si>
  <si>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</si>
  <si>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</si>
  <si>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</si>
  <si>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</si>
  <si>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</si>
  <si>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</si>
  <si>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</si>
  <si>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</si>
  <si>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</si>
  <si>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</si>
  <si>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</si>
  <si>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</si>
  <si>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</si>
  <si>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</si>
  <si>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</si>
  <si>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</si>
  <si>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</si>
  <si>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</si>
  <si>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</si>
  <si>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</si>
  <si>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</si>
  <si>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</si>
  <si>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</si>
  <si>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</si>
  <si>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</si>
  <si>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</si>
  <si>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</si>
  <si>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</si>
  <si>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</si>
  <si>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</si>
  <si>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</si>
  <si>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</si>
  <si>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</si>
  <si>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</si>
  <si>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</si>
  <si>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</si>
  <si>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</si>
  <si>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</si>
  <si>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</si>
  <si>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</si>
  <si>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</si>
  <si>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</si>
  <si>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</si>
  <si>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</si>
  <si>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</si>
  <si>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</si>
  <si>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</si>
  <si>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</si>
  <si>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</si>
  <si>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</si>
  <si>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</si>
  <si>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</si>
  <si>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</si>
  <si>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</si>
  <si>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</si>
  <si>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</si>
  <si>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</si>
  <si>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</si>
  <si>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</si>
  <si>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</si>
  <si>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</si>
  <si>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</si>
  <si>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</si>
  <si>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</si>
  <si>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</si>
  <si>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</si>
  <si>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</si>
  <si>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</si>
  <si>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</si>
  <si>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</si>
  <si>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</si>
  <si>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</si>
  <si>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</si>
  <si>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</si>
  <si>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</si>
  <si>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</si>
  <si>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</si>
  <si>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</si>
  <si>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</si>
  <si>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</si>
  <si>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</si>
  <si>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</si>
  <si>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</si>
  <si>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</si>
  <si>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</si>
  <si>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</si>
  <si>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</si>
  <si>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</si>
  <si>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</si>
  <si>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</si>
  <si>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</si>
  <si>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</si>
  <si>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</si>
  <si>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</si>
  <si>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</si>
  <si>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</si>
  <si>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</si>
  <si>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</si>
  <si>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</si>
  <si>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</si>
  <si>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</si>
  <si>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</si>
  <si>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</si>
  <si>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</si>
  <si>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</si>
  <si>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</si>
  <si>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</si>
  <si>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</si>
  <si>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</si>
  <si>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</si>
  <si>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</si>
  <si>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</si>
  <si>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</si>
  <si>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</si>
  <si>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</si>
  <si>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</si>
  <si>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</si>
  <si>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</si>
  <si>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</si>
  <si>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</si>
  <si>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</si>
  <si>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</si>
  <si>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</si>
  <si>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</si>
  <si>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</si>
  <si>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</si>
  <si>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</si>
  <si>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</si>
  <si>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</si>
  <si>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</si>
  <si>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</si>
  <si>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</si>
  <si>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</si>
  <si>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</si>
  <si>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</si>
  <si>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</si>
  <si>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</si>
  <si>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</si>
  <si>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</si>
  <si>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Hollister Lofts</t>
  </si>
  <si>
    <t>061-040-048</t>
  </si>
  <si>
    <t>Hollister Lofts, L.P.</t>
  </si>
  <si>
    <t>815 W. Ocean Ave</t>
  </si>
  <si>
    <t>Lompoc</t>
  </si>
  <si>
    <t xml:space="preserve">CA </t>
  </si>
  <si>
    <t>40%/60%</t>
  </si>
  <si>
    <t>Deferred Costs</t>
  </si>
  <si>
    <t>Banc of California</t>
  </si>
  <si>
    <t>NPLH</t>
  </si>
  <si>
    <t>Robert P. Havlicek Jr</t>
  </si>
  <si>
    <t>(805) 736-3423</t>
  </si>
  <si>
    <t>bobhavlicek@hasbarco.org</t>
  </si>
  <si>
    <t xml:space="preserve">Surf Development Company </t>
  </si>
  <si>
    <t>Managing GP</t>
  </si>
  <si>
    <t>CA</t>
  </si>
  <si>
    <t>Housing Authority of the County of Santa Barbara</t>
  </si>
  <si>
    <t>Lompoc, CA 93436</t>
  </si>
  <si>
    <t>RRM Design Group</t>
  </si>
  <si>
    <t>10 E. Figueroa St. #200</t>
  </si>
  <si>
    <t>Santa Barbara, CA 93101</t>
  </si>
  <si>
    <t>Price, Postal &amp; Parma LLP</t>
  </si>
  <si>
    <t>200 East Carrillo St. Suite 40</t>
  </si>
  <si>
    <t>Mark S. Manion</t>
  </si>
  <si>
    <t>(805) 962-0011</t>
  </si>
  <si>
    <t>mmanion@ppplaw.com</t>
  </si>
  <si>
    <t>Dauby O'Conner &amp; Zaleski, LLC</t>
  </si>
  <si>
    <t>In Balance Green Consulting</t>
  </si>
  <si>
    <t>1411 Marsh St. #109</t>
  </si>
  <si>
    <t>San Luis Obispo, CA 93401</t>
  </si>
  <si>
    <t>Jennifer Rennick</t>
  </si>
  <si>
    <t>(805) 423-8359</t>
  </si>
  <si>
    <t>County of Santa Barbara</t>
  </si>
  <si>
    <t>One or Two Story Garden</t>
  </si>
  <si>
    <t>Other: CDLAC Fees</t>
  </si>
  <si>
    <t>Prop &amp; Liability Insurance</t>
  </si>
  <si>
    <t>Payroll Taxes, Workers Comp</t>
  </si>
  <si>
    <t>Office Expense</t>
  </si>
  <si>
    <t>Supplies</t>
  </si>
  <si>
    <t>1 bedroom</t>
  </si>
  <si>
    <t>(805) 568-3070</t>
  </si>
  <si>
    <t>Director of General Services</t>
  </si>
  <si>
    <t>260 N. San Antonio Rd. Casa Nueva, Santa Barbara, CA 93110</t>
  </si>
  <si>
    <t>997 Monterey St. 3rd Floor</t>
  </si>
  <si>
    <t>Nathan Roddick</t>
  </si>
  <si>
    <t>(805) 548-8210</t>
  </si>
  <si>
    <t>Red Stone Equity Partner (Tax Credit Proceeds)</t>
  </si>
  <si>
    <t>401 West A St. Suite 1830</t>
  </si>
  <si>
    <t>San Diego, CA 93105</t>
  </si>
  <si>
    <t>Matt Grosz</t>
  </si>
  <si>
    <t>(858) 752-2066</t>
  </si>
  <si>
    <t xml:space="preserve">Nathan Roddick </t>
  </si>
  <si>
    <t>Not Applicable</t>
  </si>
  <si>
    <t>Provided</t>
  </si>
  <si>
    <t>Other: P&amp;P Bond</t>
  </si>
  <si>
    <t>Project-based vouchers (PBVs)</t>
  </si>
  <si>
    <t>Administrative GP</t>
  </si>
  <si>
    <t>TBD</t>
  </si>
  <si>
    <t>501 Congressional Blvd.</t>
  </si>
  <si>
    <t>Carmel, IN 46032</t>
  </si>
  <si>
    <t>Thomas Wilson</t>
  </si>
  <si>
    <t>twilson@dozllc.com</t>
  </si>
  <si>
    <t>Carmet, IN 46032</t>
  </si>
  <si>
    <t>twilson@dozll.com</t>
  </si>
  <si>
    <t>(317) 848-5700</t>
  </si>
  <si>
    <t>Red Stone Equity Partners, LLC</t>
  </si>
  <si>
    <t>matt.grosz@redstoneequity.com</t>
  </si>
  <si>
    <t>Novogradac Consulting LLP</t>
  </si>
  <si>
    <t>6700 Antioch Rd, Suite 450</t>
  </si>
  <si>
    <t>Merriam, Kansas 66204</t>
  </si>
  <si>
    <t>Rachel Denton</t>
  </si>
  <si>
    <t>(913) 312-4612</t>
  </si>
  <si>
    <t>rachel.denton@novoco.com</t>
  </si>
  <si>
    <t xml:space="preserve">Robert P. Havlicek Jr. </t>
  </si>
  <si>
    <t xml:space="preserve">Novogradac Consulting LLP </t>
  </si>
  <si>
    <t>6700 Antioch Road, Suite 450</t>
  </si>
  <si>
    <t>Merriam, KS 66204</t>
  </si>
  <si>
    <t>(913) 677-4600</t>
  </si>
  <si>
    <t>n/a</t>
  </si>
  <si>
    <t>Banc of CA (Tax-Exempt)</t>
  </si>
  <si>
    <t xml:space="preserve">Banc of CA (Taxable) </t>
  </si>
  <si>
    <t>San Diego, CA 93101</t>
  </si>
  <si>
    <t xml:space="preserve">Ammortized Loan </t>
  </si>
  <si>
    <t xml:space="preserve">Tax Credit Equity </t>
  </si>
  <si>
    <t>Ammortized Loan</t>
  </si>
  <si>
    <t>2020 W. El Camino Ave, Suite 200</t>
  </si>
  <si>
    <t xml:space="preserve">Sacramento, CA </t>
  </si>
  <si>
    <t>Robert P. Havlilcek Jr</t>
  </si>
  <si>
    <t>123 East Anapamu Street 2nd Floor</t>
  </si>
  <si>
    <t>Carlos Jimenez</t>
  </si>
  <si>
    <t>(805) 568-3529</t>
  </si>
  <si>
    <t>Residual Receipts</t>
  </si>
  <si>
    <t>HUD Section 8</t>
  </si>
  <si>
    <t xml:space="preserve">April </t>
  </si>
  <si>
    <t>Executive Director</t>
  </si>
  <si>
    <t>City of Santa Barbara</t>
  </si>
  <si>
    <t>P.O. Box 1990</t>
  </si>
  <si>
    <t>San Barbara</t>
  </si>
  <si>
    <t>93102-1990</t>
  </si>
  <si>
    <t>Rebecca Bjork</t>
  </si>
  <si>
    <t>(805) 564-5301</t>
  </si>
  <si>
    <t>rbjork@santabarbaraca.gov</t>
  </si>
  <si>
    <t>Rachel Raynor Hollander</t>
  </si>
  <si>
    <t>(805) 963-8283</t>
  </si>
  <si>
    <t>rcraynor@rrmdesign.com</t>
  </si>
  <si>
    <t>Fixed</t>
  </si>
  <si>
    <t>Housing Authority of the County of Santa Barbara - Project Based Vouchers</t>
  </si>
  <si>
    <t>AGP Fee</t>
  </si>
  <si>
    <t>HASBARCO Loan</t>
  </si>
  <si>
    <t>REC</t>
  </si>
  <si>
    <t>Kirk Lagerquist</t>
  </si>
  <si>
    <t>Institutional-Governmental</t>
  </si>
  <si>
    <t>County of SB</t>
  </si>
  <si>
    <t>Public Loan</t>
  </si>
  <si>
    <t xml:space="preserve">Lisa </t>
  </si>
  <si>
    <t>HASBARCO Public Loan</t>
  </si>
  <si>
    <t>4570 S. Hollister Ave</t>
  </si>
  <si>
    <t>Administrative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</si>
</sst>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105" xfId="0" applyFont="1" applyFill="1" applyBorder="1" applyAlignment="1" applyProtection="1">
      <alignment horizontal="left"/>
      <protection locked="0"/>
    </xf>
    <xf numFmtId="0" fontId="0" fillId="5" borderId="105" xfId="0"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38" sqref="E38:AK3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3" sqref="A3:J3"/>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76" workbookViewId="0">
      <selection activeCell="J845" sqref="J84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2692</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2692</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2691</v>
      </c>
      <c r="D24" s="1295" t="s">
        <v>1154</v>
      </c>
      <c r="E24" s="1295"/>
      <c r="F24" s="1295"/>
      <c r="I24" s="524" t="s">
        <v>2075</v>
      </c>
    </row>
    <row r="25" spans="1:9" ht="14.25">
      <c r="A25" s="518"/>
      <c r="B25" s="518"/>
      <c r="D25" s="1295"/>
      <c r="E25" s="1295"/>
      <c r="F25" s="1295"/>
      <c r="I25" s="524"/>
    </row>
    <row r="26" spans="1:9">
      <c r="I26" s="524"/>
    </row>
    <row r="27" spans="1:9" ht="14.25">
      <c r="A27" s="518"/>
      <c r="B27" s="519" t="s">
        <v>2692</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308</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2692</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308</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308</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2691</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2692</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2691</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2691</v>
      </c>
      <c r="D65" s="1295" t="s">
        <v>1163</v>
      </c>
      <c r="E65" s="1295"/>
      <c r="F65" s="1295"/>
      <c r="I65" s="524" t="s">
        <v>2077</v>
      </c>
    </row>
    <row r="66" spans="1:9">
      <c r="D66" s="1295"/>
      <c r="E66" s="1295"/>
      <c r="F66" s="1295"/>
      <c r="I66" s="524"/>
    </row>
    <row r="67" spans="1:9">
      <c r="I67" s="524"/>
    </row>
    <row r="68" spans="1:9" ht="14.25">
      <c r="A68" s="518"/>
      <c r="B68" s="519" t="s">
        <v>308</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308</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2692</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308</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308</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308</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2691</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2691</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308</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308</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308</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308</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308</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308</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308</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308</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308</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308</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2692</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308</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308</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308</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308</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308</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308</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308</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308</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308</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308</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308</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308</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308</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308</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308</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308</v>
      </c>
      <c r="D305" s="1296" t="s">
        <v>1216</v>
      </c>
      <c r="E305" s="1296"/>
      <c r="F305" s="1296"/>
      <c r="I305" s="524" t="s">
        <v>2092</v>
      </c>
    </row>
    <row r="306" spans="1:9" ht="14.25">
      <c r="A306" s="518"/>
      <c r="B306" s="518"/>
      <c r="D306" s="528"/>
      <c r="E306" s="529"/>
      <c r="F306" s="529"/>
      <c r="I306" s="524"/>
    </row>
    <row r="307" spans="1:9" ht="13.7" customHeight="1">
      <c r="B307" s="519" t="s">
        <v>308</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308</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308</v>
      </c>
      <c r="D316" s="1296" t="s">
        <v>1219</v>
      </c>
      <c r="E316" s="1296"/>
      <c r="F316" s="1296"/>
      <c r="I316" s="524" t="s">
        <v>2078</v>
      </c>
    </row>
    <row r="317" spans="1:9">
      <c r="E317" s="480"/>
      <c r="F317" s="480"/>
      <c r="I317" s="524"/>
    </row>
    <row r="318" spans="1:9" ht="14.25">
      <c r="A318" s="518"/>
      <c r="B318" s="519" t="s">
        <v>308</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308</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308</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308</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308</v>
      </c>
      <c r="C360" s="510"/>
      <c r="D360" s="1281" t="s">
        <v>2372</v>
      </c>
      <c r="E360" s="1281"/>
      <c r="F360" s="1281"/>
      <c r="I360" s="514"/>
    </row>
    <row r="361" spans="1:9">
      <c r="A361" s="510"/>
      <c r="B361" s="510"/>
      <c r="C361" s="510"/>
      <c r="D361" s="481"/>
      <c r="E361" s="481"/>
      <c r="F361" s="480"/>
      <c r="I361" s="524"/>
    </row>
    <row r="362" spans="1:9">
      <c r="A362" s="510"/>
      <c r="B362" s="519" t="s">
        <v>308</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308</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308</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308</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308</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308</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308</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308</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308</v>
      </c>
      <c r="C471" s="518"/>
      <c r="D471" s="1295" t="s">
        <v>1304</v>
      </c>
      <c r="E471" s="1295"/>
      <c r="F471" s="1295"/>
      <c r="I471" s="524"/>
    </row>
    <row r="472" spans="1:9">
      <c r="D472" s="1295"/>
      <c r="E472" s="1295"/>
      <c r="F472" s="1295"/>
      <c r="I472" s="524"/>
    </row>
    <row r="473" spans="1:9">
      <c r="D473" s="480"/>
      <c r="E473" s="480"/>
      <c r="F473" s="480"/>
      <c r="I473" s="524"/>
    </row>
    <row r="474" spans="1:9" ht="14.25">
      <c r="B474" s="519" t="s">
        <v>308</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308</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308</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308</v>
      </c>
      <c r="C486" s="433"/>
      <c r="D486" s="1295"/>
      <c r="E486" s="1295"/>
      <c r="F486" s="1295"/>
      <c r="I486" s="524"/>
    </row>
    <row r="487" spans="1:9">
      <c r="A487" s="433"/>
      <c r="C487" s="433"/>
      <c r="D487" s="1295"/>
      <c r="E487" s="1295"/>
      <c r="F487" s="1295"/>
      <c r="I487" s="524"/>
    </row>
    <row r="488" spans="1:9">
      <c r="A488" s="433"/>
      <c r="B488" s="519" t="s">
        <v>308</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308</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308</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308</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308</v>
      </c>
      <c r="D509" s="1296" t="s">
        <v>1243</v>
      </c>
      <c r="E509" s="1296"/>
      <c r="F509" s="1296"/>
      <c r="I509" s="524" t="s">
        <v>2097</v>
      </c>
    </row>
    <row r="510" spans="1:9" ht="14.25">
      <c r="A510" s="518"/>
      <c r="B510" s="518"/>
      <c r="D510" s="480"/>
      <c r="I510" s="524"/>
    </row>
    <row r="511" spans="1:9" ht="14.25">
      <c r="A511" s="518"/>
      <c r="B511" s="519" t="s">
        <v>308</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308</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2692</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308</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308</v>
      </c>
      <c r="C543" s="521"/>
      <c r="D543" s="1296" t="s">
        <v>897</v>
      </c>
      <c r="E543" s="1296"/>
      <c r="F543" s="1296"/>
      <c r="I543" s="524" t="s">
        <v>2148</v>
      </c>
    </row>
    <row r="544" spans="1:9" ht="13.7" customHeight="1">
      <c r="A544" s="521"/>
      <c r="B544" s="521"/>
      <c r="C544" s="521"/>
      <c r="D544" s="480"/>
      <c r="I544" s="524"/>
    </row>
    <row r="545" spans="1:9" ht="14.25">
      <c r="A545" s="518"/>
      <c r="B545" s="519" t="s">
        <v>308</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308</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308</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308</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308</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308</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308</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308</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308</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308</v>
      </c>
      <c r="D583" s="1282" t="s">
        <v>903</v>
      </c>
      <c r="E583" s="1282"/>
      <c r="F583" s="1282"/>
      <c r="I583" s="524"/>
    </row>
    <row r="584" spans="1:9">
      <c r="A584" s="524"/>
      <c r="B584" s="524"/>
      <c r="D584" s="510"/>
      <c r="I584" s="524"/>
    </row>
    <row r="585" spans="1:9">
      <c r="A585" s="524"/>
      <c r="B585" s="519" t="s">
        <v>2692</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308</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308</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2691</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2692</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308</v>
      </c>
      <c r="D615" s="1293" t="s">
        <v>1189</v>
      </c>
      <c r="E615" s="1293"/>
      <c r="F615" s="1293"/>
      <c r="I615" s="524" t="s">
        <v>2153</v>
      </c>
    </row>
    <row r="616" spans="1:9">
      <c r="D616" s="1293"/>
      <c r="E616" s="1293"/>
      <c r="F616" s="1293"/>
      <c r="I616" s="524"/>
    </row>
    <row r="617" spans="1:9">
      <c r="I617" s="524"/>
    </row>
    <row r="618" spans="1:9">
      <c r="B618" s="519" t="s">
        <v>308</v>
      </c>
      <c r="D618" s="1293" t="s">
        <v>1190</v>
      </c>
      <c r="E618" s="1293"/>
      <c r="F618" s="1293"/>
      <c r="I618" s="524" t="s">
        <v>2106</v>
      </c>
    </row>
    <row r="619" spans="1:9">
      <c r="C619" s="534"/>
      <c r="D619" s="1293"/>
      <c r="E619" s="1293"/>
      <c r="F619" s="1293"/>
      <c r="I619" s="524"/>
    </row>
    <row r="620" spans="1:9">
      <c r="C620" s="534"/>
      <c r="I620" s="524"/>
    </row>
    <row r="621" spans="1:9">
      <c r="B621" s="519" t="s">
        <v>308</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308</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308</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308</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308</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308</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308</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308</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308</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308</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308</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308</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308</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308</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308</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308</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308</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308</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308</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308</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308</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308</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308</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308</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308</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308</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2692</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2692</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2691</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308</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308</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308</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308</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2692</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308</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308</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308</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308</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308</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308</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308</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308</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308</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2691</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308</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308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308</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308</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308</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308</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308</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308</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74" zoomScale="145" zoomScaleNormal="145" workbookViewId="0">
      <selection activeCell="AR188" sqref="AR18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0" t="s">
        <v>2638</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784" t="s">
        <v>2641</v>
      </c>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row>
    <row r="17" spans="1:52" ht="12.95" customHeight="1"/>
    <row r="18" spans="1:52" ht="12.95" customHeight="1">
      <c r="A18" s="57" t="s">
        <v>101</v>
      </c>
      <c r="C18" s="4"/>
      <c r="D18" s="4"/>
      <c r="E18" s="4"/>
      <c r="F18" s="4"/>
      <c r="G18" s="4"/>
      <c r="H18" s="1445" t="s">
        <v>2639</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5" customHeight="1"/>
    <row r="20" spans="1:52" ht="12.95" customHeight="1">
      <c r="A20" s="1441" t="s">
        <v>885</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786" t="s">
        <v>1034</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3">
        <f>'Basis &amp; Credits'!AB56</f>
        <v>1317520</v>
      </c>
      <c r="N26" s="1783"/>
      <c r="O26" s="1783"/>
      <c r="P26" s="1783"/>
      <c r="Q26" s="1783"/>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8">
        <f>'Basis &amp; Credits'!AB77</f>
        <v>3001075</v>
      </c>
      <c r="N27" s="1388"/>
      <c r="O27" s="1388"/>
      <c r="P27" s="1388"/>
      <c r="Q27" s="1388"/>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2" t="s">
        <v>2511</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03" t="s">
        <v>678</v>
      </c>
      <c r="P33" s="1403"/>
      <c r="Q33" s="1443" t="s">
        <v>2512</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5" customHeight="1">
      <c r="A34" s="1442" t="s">
        <v>2513</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4" t="s">
        <v>2520</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4" t="s">
        <v>2521</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2" t="s">
        <v>2522</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8" t="s">
        <v>2523</v>
      </c>
      <c r="B75" s="1808"/>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K75" s="1808"/>
      <c r="AL75" s="1808"/>
      <c r="AM75" s="1808"/>
      <c r="AN75" s="1808"/>
      <c r="AO75" s="1808"/>
      <c r="AP75" s="1808"/>
      <c r="AQ75" s="1808"/>
      <c r="AR75" s="1808"/>
      <c r="AS75" s="1808"/>
      <c r="AT75" s="1808"/>
      <c r="AU75" s="20"/>
      <c r="AV75" s="20"/>
      <c r="AW75" s="20"/>
      <c r="AX75" s="20"/>
      <c r="AY75" s="20"/>
      <c r="AZ75" s="20"/>
    </row>
    <row r="76" spans="1:52" ht="12.95" customHeight="1">
      <c r="A76" s="1808"/>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20"/>
      <c r="AV76" s="20"/>
      <c r="AW76" s="20"/>
      <c r="AX76" s="20"/>
      <c r="AY76" s="20"/>
      <c r="AZ76" s="17"/>
    </row>
    <row r="77" spans="1:52" ht="12.95" customHeight="1">
      <c r="A77" s="1808"/>
      <c r="B77" s="1808"/>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c r="AQ77" s="1808"/>
      <c r="AR77" s="1808"/>
      <c r="AS77" s="1808"/>
      <c r="AT77" s="180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4" t="s">
        <v>2524</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7" t="s">
        <v>2527</v>
      </c>
      <c r="B89" s="1807"/>
      <c r="C89" s="1807"/>
      <c r="D89" s="1807"/>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1807"/>
      <c r="AE89" s="1807"/>
      <c r="AF89" s="1807"/>
      <c r="AG89" s="1807"/>
      <c r="AH89" s="1807"/>
      <c r="AI89" s="1807"/>
      <c r="AJ89" s="1807"/>
      <c r="AK89" s="1807"/>
      <c r="AL89" s="1807"/>
      <c r="AM89" s="1807"/>
      <c r="AN89" s="1807"/>
      <c r="AO89" s="1807"/>
      <c r="AP89" s="1807"/>
      <c r="AQ89" s="1807"/>
      <c r="AR89" s="1807"/>
      <c r="AS89" s="1807"/>
      <c r="AT89" s="1807"/>
      <c r="AU89" s="17"/>
      <c r="AV89" s="17"/>
      <c r="AW89" s="17"/>
      <c r="AX89" s="17"/>
      <c r="AY89" s="17"/>
      <c r="AZ89" s="20"/>
    </row>
    <row r="90" spans="1:52" ht="12.95" customHeight="1">
      <c r="A90" s="1807"/>
      <c r="B90" s="1807"/>
      <c r="C90" s="1807"/>
      <c r="D90" s="1807"/>
      <c r="E90" s="1807"/>
      <c r="F90" s="1807"/>
      <c r="G90" s="1807"/>
      <c r="H90" s="1807"/>
      <c r="I90" s="1807"/>
      <c r="J90" s="1807"/>
      <c r="K90" s="1807"/>
      <c r="L90" s="1807"/>
      <c r="M90" s="1807"/>
      <c r="N90" s="1807"/>
      <c r="O90" s="1807"/>
      <c r="P90" s="1807"/>
      <c r="Q90" s="1807"/>
      <c r="R90" s="1807"/>
      <c r="S90" s="1807"/>
      <c r="T90" s="1807"/>
      <c r="U90" s="1807"/>
      <c r="V90" s="1807"/>
      <c r="W90" s="1807"/>
      <c r="X90" s="1807"/>
      <c r="Y90" s="1807"/>
      <c r="Z90" s="1807"/>
      <c r="AA90" s="1807"/>
      <c r="AB90" s="1807"/>
      <c r="AC90" s="1807"/>
      <c r="AD90" s="1807"/>
      <c r="AE90" s="1807"/>
      <c r="AF90" s="1807"/>
      <c r="AG90" s="1807"/>
      <c r="AH90" s="1807"/>
      <c r="AI90" s="1807"/>
      <c r="AJ90" s="1807"/>
      <c r="AK90" s="1807"/>
      <c r="AL90" s="1807"/>
      <c r="AM90" s="1807"/>
      <c r="AN90" s="1807"/>
      <c r="AO90" s="1807"/>
      <c r="AP90" s="1807"/>
      <c r="AQ90" s="1807"/>
      <c r="AR90" s="1807"/>
      <c r="AS90" s="1807"/>
      <c r="AT90" s="180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8" t="s">
        <v>2528</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c r="AL92" s="1808"/>
      <c r="AM92" s="1808"/>
      <c r="AN92" s="1808"/>
      <c r="AO92" s="1808"/>
      <c r="AP92" s="1808"/>
      <c r="AQ92" s="1808"/>
      <c r="AR92" s="1808"/>
      <c r="AS92" s="1808"/>
      <c r="AT92" s="1808"/>
      <c r="AU92" s="20"/>
      <c r="AV92" s="20"/>
      <c r="AW92" s="20"/>
      <c r="AX92" s="20"/>
      <c r="AY92" s="20"/>
      <c r="AZ92" s="20"/>
    </row>
    <row r="93" spans="1:52" ht="12.95" customHeight="1">
      <c r="A93" s="1808"/>
      <c r="B93" s="1808"/>
      <c r="C93" s="1808"/>
      <c r="D93" s="1808"/>
      <c r="E93" s="1808"/>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8"/>
      <c r="AK93" s="1808"/>
      <c r="AL93" s="1808"/>
      <c r="AM93" s="1808"/>
      <c r="AN93" s="1808"/>
      <c r="AO93" s="1808"/>
      <c r="AP93" s="1808"/>
      <c r="AQ93" s="1808"/>
      <c r="AR93" s="1808"/>
      <c r="AS93" s="1808"/>
      <c r="AT93" s="1808"/>
      <c r="AU93" s="20"/>
      <c r="AV93" s="20"/>
      <c r="AW93" s="20"/>
      <c r="AX93" s="20"/>
      <c r="AY93" s="20"/>
      <c r="AZ93" s="20"/>
    </row>
    <row r="94" spans="1:52" ht="12.95" customHeight="1">
      <c r="A94" s="1808"/>
      <c r="B94" s="1808"/>
      <c r="C94" s="1808"/>
      <c r="D94" s="1808"/>
      <c r="E94" s="1808"/>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8"/>
      <c r="AK94" s="1808"/>
      <c r="AL94" s="1808"/>
      <c r="AM94" s="1808"/>
      <c r="AN94" s="1808"/>
      <c r="AO94" s="1808"/>
      <c r="AP94" s="1808"/>
      <c r="AQ94" s="1808"/>
      <c r="AR94" s="1808"/>
      <c r="AS94" s="1808"/>
      <c r="AT94" s="1808"/>
      <c r="AU94" s="20"/>
      <c r="AV94" s="20"/>
      <c r="AW94" s="20"/>
      <c r="AX94" s="20"/>
      <c r="AY94" s="20"/>
      <c r="AZ94" s="20"/>
    </row>
    <row r="95" spans="1:52" ht="12.95" customHeight="1">
      <c r="A95" s="1808"/>
      <c r="B95" s="1808"/>
      <c r="C95" s="1808"/>
      <c r="D95" s="1808"/>
      <c r="E95" s="1808"/>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8"/>
      <c r="AK95" s="1808"/>
      <c r="AL95" s="1808"/>
      <c r="AM95" s="1808"/>
      <c r="AN95" s="1808"/>
      <c r="AO95" s="1808"/>
      <c r="AP95" s="1808"/>
      <c r="AQ95" s="1808"/>
      <c r="AR95" s="1808"/>
      <c r="AS95" s="1808"/>
      <c r="AT95" s="1808"/>
      <c r="AU95" s="20"/>
      <c r="AV95" s="20"/>
      <c r="AW95" s="20"/>
      <c r="AX95" s="20"/>
      <c r="AY95" s="20"/>
      <c r="AZ95" s="20"/>
    </row>
    <row r="96" spans="1:52" ht="12.95" customHeight="1">
      <c r="A96" s="1808"/>
      <c r="B96" s="1808"/>
      <c r="C96" s="1808"/>
      <c r="D96" s="1808"/>
      <c r="E96" s="1808"/>
      <c r="F96" s="1808"/>
      <c r="G96" s="1808"/>
      <c r="H96" s="1808"/>
      <c r="I96" s="1808"/>
      <c r="J96" s="1808"/>
      <c r="K96" s="1808"/>
      <c r="L96" s="1808"/>
      <c r="M96" s="1808"/>
      <c r="N96" s="1808"/>
      <c r="O96" s="1808"/>
      <c r="P96" s="1808"/>
      <c r="Q96" s="1808"/>
      <c r="R96" s="1808"/>
      <c r="S96" s="1808"/>
      <c r="T96" s="1808"/>
      <c r="U96" s="1808"/>
      <c r="V96" s="1808"/>
      <c r="W96" s="1808"/>
      <c r="X96" s="1808"/>
      <c r="Y96" s="1808"/>
      <c r="Z96" s="1808"/>
      <c r="AA96" s="1808"/>
      <c r="AB96" s="1808"/>
      <c r="AC96" s="1808"/>
      <c r="AD96" s="1808"/>
      <c r="AE96" s="1808"/>
      <c r="AF96" s="1808"/>
      <c r="AG96" s="1808"/>
      <c r="AH96" s="1808"/>
      <c r="AI96" s="1808"/>
      <c r="AJ96" s="1808"/>
      <c r="AK96" s="1808"/>
      <c r="AL96" s="1808"/>
      <c r="AM96" s="1808"/>
      <c r="AN96" s="1808"/>
      <c r="AO96" s="1808"/>
      <c r="AP96" s="1808"/>
      <c r="AQ96" s="1808"/>
      <c r="AR96" s="1808"/>
      <c r="AS96" s="1808"/>
      <c r="AT96" s="1808"/>
      <c r="AU96" s="20"/>
      <c r="AV96" s="20"/>
      <c r="AW96" s="20"/>
      <c r="AX96" s="20"/>
      <c r="AY96" s="20"/>
      <c r="AZ96" s="20"/>
    </row>
    <row r="97" spans="1:52" ht="12.95" customHeight="1">
      <c r="A97" s="1808"/>
      <c r="B97" s="1808"/>
      <c r="C97" s="1808"/>
      <c r="D97" s="1808"/>
      <c r="E97" s="1808"/>
      <c r="F97" s="1808"/>
      <c r="G97" s="1808"/>
      <c r="H97" s="1808"/>
      <c r="I97" s="1808"/>
      <c r="J97" s="1808"/>
      <c r="K97" s="1808"/>
      <c r="L97" s="1808"/>
      <c r="M97" s="1808"/>
      <c r="N97" s="1808"/>
      <c r="O97" s="1808"/>
      <c r="P97" s="1808"/>
      <c r="Q97" s="1808"/>
      <c r="R97" s="1808"/>
      <c r="S97" s="1808"/>
      <c r="T97" s="1808"/>
      <c r="U97" s="1808"/>
      <c r="V97" s="1808"/>
      <c r="W97" s="1808"/>
      <c r="X97" s="1808"/>
      <c r="Y97" s="1808"/>
      <c r="Z97" s="1808"/>
      <c r="AA97" s="1808"/>
      <c r="AB97" s="1808"/>
      <c r="AC97" s="1808"/>
      <c r="AD97" s="1808"/>
      <c r="AE97" s="1808"/>
      <c r="AF97" s="1808"/>
      <c r="AG97" s="1808"/>
      <c r="AH97" s="1808"/>
      <c r="AI97" s="1808"/>
      <c r="AJ97" s="1808"/>
      <c r="AK97" s="1808"/>
      <c r="AL97" s="1808"/>
      <c r="AM97" s="1808"/>
      <c r="AN97" s="1808"/>
      <c r="AO97" s="1808"/>
      <c r="AP97" s="1808"/>
      <c r="AQ97" s="1808"/>
      <c r="AR97" s="1808"/>
      <c r="AS97" s="1808"/>
      <c r="AT97" s="1808"/>
      <c r="AU97" s="20"/>
      <c r="AV97" s="20"/>
      <c r="AW97" s="20"/>
      <c r="AX97" s="20"/>
      <c r="AY97" s="20"/>
      <c r="AZ97" s="20"/>
    </row>
    <row r="98" spans="1:52" ht="12.95" customHeight="1">
      <c r="A98" s="1808"/>
      <c r="B98" s="1808"/>
      <c r="C98" s="1808"/>
      <c r="D98" s="1808"/>
      <c r="E98" s="1808"/>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8"/>
      <c r="AK98" s="1808"/>
      <c r="AL98" s="1808"/>
      <c r="AM98" s="1808"/>
      <c r="AN98" s="1808"/>
      <c r="AO98" s="1808"/>
      <c r="AP98" s="1808"/>
      <c r="AQ98" s="1808"/>
      <c r="AR98" s="1808"/>
      <c r="AS98" s="1808"/>
      <c r="AT98" s="180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7">
        <v>22</v>
      </c>
      <c r="H113" s="1797"/>
      <c r="I113" s="3" t="s">
        <v>182</v>
      </c>
      <c r="L113" s="1797" t="s">
        <v>2732</v>
      </c>
      <c r="M113" s="1797"/>
      <c r="N113" s="1797"/>
      <c r="O113" s="1797"/>
      <c r="P113" s="1792" t="s">
        <v>2532</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2" t="s">
        <v>2643</v>
      </c>
      <c r="D115" s="1812"/>
      <c r="E115" s="1812"/>
      <c r="F115" s="1812"/>
      <c r="G115" s="1812"/>
      <c r="H115" s="1812"/>
      <c r="I115" s="1812"/>
      <c r="J115" s="1812"/>
      <c r="K115" s="181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97"/>
      <c r="Z117" s="1797"/>
      <c r="AA117" s="1797"/>
      <c r="AB117" s="1797"/>
      <c r="AC117" s="1797"/>
      <c r="AD117" s="1797"/>
      <c r="AE117" s="1797"/>
      <c r="AF117" s="1797"/>
      <c r="AG117" s="1797"/>
      <c r="AH117" s="1797"/>
      <c r="AI117" s="1797"/>
      <c r="AJ117" s="1797"/>
      <c r="AK117" s="179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7" t="s">
        <v>2649</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7" t="s">
        <v>2733</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5" t="s">
        <v>2734</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5" customHeight="1">
      <c r="D154" s="325" t="s">
        <v>442</v>
      </c>
      <c r="O154" s="1489" t="s">
        <v>2738</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444</v>
      </c>
      <c r="F155" s="8"/>
      <c r="G155" s="8"/>
      <c r="H155" s="8"/>
      <c r="I155" s="8"/>
      <c r="J155" s="8"/>
      <c r="K155" s="8"/>
      <c r="L155" s="8"/>
      <c r="M155" s="8"/>
      <c r="N155" s="8"/>
      <c r="O155" s="1788" t="s">
        <v>443</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2.95" customHeight="1">
      <c r="D156" t="s">
        <v>314</v>
      </c>
      <c r="O156" s="1404" t="s">
        <v>2735</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2.95" customHeight="1">
      <c r="D157" t="s">
        <v>315</v>
      </c>
      <c r="O157" s="1445" t="s">
        <v>2736</v>
      </c>
      <c r="P157" s="1446"/>
      <c r="Q157" s="1446"/>
      <c r="R157" s="1446"/>
      <c r="S157" s="1446"/>
      <c r="T157" s="1446"/>
      <c r="U157" s="1446"/>
      <c r="V157" s="1446"/>
      <c r="W157" s="1446"/>
      <c r="X157" s="1446"/>
      <c r="Y157" s="8"/>
      <c r="Z157" s="8"/>
      <c r="AA157" s="8"/>
      <c r="AB157" s="8"/>
      <c r="AC157" s="8"/>
      <c r="AD157" s="8"/>
      <c r="AE157" s="8"/>
      <c r="AF157" s="8"/>
      <c r="BN157" s="23" t="s">
        <v>645</v>
      </c>
      <c r="BT157" t="s">
        <v>485</v>
      </c>
    </row>
    <row r="158" spans="1:72" ht="12.95" customHeight="1">
      <c r="D158" t="s">
        <v>316</v>
      </c>
      <c r="O158" s="1789" t="s">
        <v>2737</v>
      </c>
      <c r="P158" s="1789"/>
      <c r="Q158" s="1789"/>
      <c r="R158" s="1789"/>
      <c r="S158" s="9"/>
      <c r="T158" s="9"/>
      <c r="U158" s="9"/>
      <c r="V158" s="9"/>
      <c r="W158" s="9"/>
      <c r="X158" s="9"/>
      <c r="Y158" s="9"/>
      <c r="Z158" s="9"/>
      <c r="AA158" s="9"/>
      <c r="AB158" s="9"/>
      <c r="AC158" s="9"/>
      <c r="AD158" s="9"/>
      <c r="AE158" s="9"/>
      <c r="AF158" s="9"/>
      <c r="BN158" s="23" t="s">
        <v>646</v>
      </c>
      <c r="BT158" t="s">
        <v>486</v>
      </c>
    </row>
    <row r="159" spans="1:72" ht="12.95" customHeight="1">
      <c r="D159" t="s">
        <v>317</v>
      </c>
      <c r="O159" s="1791" t="s">
        <v>2739</v>
      </c>
      <c r="P159" s="1791"/>
      <c r="Q159" s="1791"/>
      <c r="R159" s="1791"/>
      <c r="S159" s="1791"/>
      <c r="T159" s="1791"/>
      <c r="V159" s="97" t="s">
        <v>272</v>
      </c>
      <c r="W159" s="1790"/>
      <c r="X159" s="1790"/>
      <c r="Y159" s="10"/>
      <c r="Z159" s="10"/>
      <c r="AA159" s="10"/>
      <c r="AB159" s="10"/>
      <c r="AC159" s="10"/>
      <c r="AD159" s="10"/>
      <c r="AE159" s="10"/>
      <c r="AF159" s="10"/>
      <c r="BN159" s="23" t="s">
        <v>340</v>
      </c>
      <c r="BT159" t="s">
        <v>487</v>
      </c>
    </row>
    <row r="160" spans="1:72" ht="12.95" customHeight="1">
      <c r="D160" t="s">
        <v>318</v>
      </c>
      <c r="O160" s="1791"/>
      <c r="P160" s="1791"/>
      <c r="Q160" s="1791"/>
      <c r="R160" s="1791"/>
      <c r="S160" s="1791"/>
      <c r="T160" s="1791"/>
      <c r="U160" s="10"/>
      <c r="V160" s="10"/>
      <c r="W160" s="10"/>
      <c r="X160" s="10"/>
      <c r="Y160" s="10"/>
      <c r="Z160" s="10"/>
      <c r="AA160" s="10"/>
      <c r="AB160" s="10"/>
      <c r="AC160" s="10"/>
      <c r="AD160" s="10"/>
      <c r="AE160" s="10"/>
      <c r="AF160" s="10"/>
      <c r="BN160" s="23" t="s">
        <v>669</v>
      </c>
      <c r="BT160" t="s">
        <v>488</v>
      </c>
    </row>
    <row r="161" spans="1:72" ht="12.95" customHeight="1">
      <c r="D161" t="s">
        <v>319</v>
      </c>
      <c r="O161" s="1781" t="s">
        <v>2740</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13" t="s">
        <v>2627</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65" t="s">
        <v>548</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682</v>
      </c>
      <c r="BT169" t="s">
        <v>497</v>
      </c>
    </row>
    <row r="170" spans="1:72" ht="12.9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87" t="s">
        <v>372</v>
      </c>
      <c r="K173" s="1787"/>
      <c r="L173" s="1787"/>
      <c r="M173" s="1787"/>
      <c r="N173" s="1787"/>
      <c r="O173" s="1787"/>
      <c r="P173" s="1787"/>
      <c r="Q173" s="1787"/>
      <c r="R173" s="1787"/>
      <c r="S173" s="1787"/>
      <c r="U173" s="25"/>
      <c r="X173" s="25"/>
      <c r="BB173" s="3" t="s">
        <v>308</v>
      </c>
      <c r="BN173" s="23" t="s">
        <v>215</v>
      </c>
      <c r="BT173" t="s">
        <v>501</v>
      </c>
    </row>
    <row r="174" spans="1:72" ht="12.95" customHeight="1">
      <c r="C174" s="24"/>
      <c r="D174" s="3" t="s">
        <v>1309</v>
      </c>
      <c r="J174" s="1404" t="s">
        <v>2422</v>
      </c>
      <c r="K174" s="1404"/>
      <c r="L174" s="1404"/>
      <c r="M174" s="1404"/>
      <c r="N174" s="1404"/>
      <c r="O174" s="1404"/>
      <c r="P174" s="1404"/>
      <c r="Q174" s="1404"/>
      <c r="R174" s="1404"/>
      <c r="S174" s="1404"/>
      <c r="T174" s="1404"/>
      <c r="U174" s="1404"/>
      <c r="V174" s="1404"/>
      <c r="W174" s="1404"/>
      <c r="X174" s="1404"/>
      <c r="Y174" s="1404"/>
      <c r="Z174" s="1404"/>
      <c r="AA174" s="1404"/>
      <c r="AB174" s="1404"/>
      <c r="BB174" t="s">
        <v>2275</v>
      </c>
      <c r="BN174" s="23" t="s">
        <v>217</v>
      </c>
      <c r="BT174" t="s">
        <v>502</v>
      </c>
    </row>
    <row r="175" spans="1:72" ht="12.95" customHeight="1">
      <c r="C175" s="8"/>
      <c r="D175" s="3" t="s">
        <v>323</v>
      </c>
      <c r="O175" s="27"/>
      <c r="U175" s="1403" t="s">
        <v>678</v>
      </c>
      <c r="V175" s="1403"/>
      <c r="BB175" t="s">
        <v>2239</v>
      </c>
      <c r="BN175" s="23" t="s">
        <v>218</v>
      </c>
      <c r="BT175" t="s">
        <v>503</v>
      </c>
    </row>
    <row r="176" spans="1:72" ht="12.95" customHeight="1">
      <c r="C176" s="8"/>
      <c r="D176" s="26"/>
      <c r="E176" t="s">
        <v>305</v>
      </c>
      <c r="O176" s="27"/>
      <c r="P176" t="s">
        <v>2397</v>
      </c>
      <c r="T176" s="27" t="s">
        <v>306</v>
      </c>
      <c r="U176" s="1457"/>
      <c r="V176" s="1457"/>
      <c r="W176" s="1" t="s">
        <v>307</v>
      </c>
      <c r="X176" s="1809"/>
      <c r="Y176" s="1809"/>
      <c r="BB176" t="s">
        <v>2276</v>
      </c>
      <c r="BN176" s="23" t="s">
        <v>220</v>
      </c>
      <c r="BT176" t="s">
        <v>504</v>
      </c>
    </row>
    <row r="177" spans="1:72" ht="12.95" customHeight="1">
      <c r="C177" s="24"/>
      <c r="D177" t="s">
        <v>250</v>
      </c>
      <c r="R177" s="1403"/>
      <c r="S177" s="1403"/>
      <c r="BB177" t="s">
        <v>2581</v>
      </c>
      <c r="BN177" s="23" t="s">
        <v>221</v>
      </c>
      <c r="BT177" t="s">
        <v>505</v>
      </c>
    </row>
    <row r="178" spans="1:72" ht="12.95" customHeight="1">
      <c r="C178" s="24"/>
      <c r="D178" s="3" t="s">
        <v>1310</v>
      </c>
      <c r="AA178" t="s">
        <v>2397</v>
      </c>
      <c r="AE178" s="27" t="s">
        <v>306</v>
      </c>
      <c r="AF178" s="1636"/>
      <c r="AG178" s="1636"/>
      <c r="AH178" s="1" t="s">
        <v>307</v>
      </c>
      <c r="AI178" s="1688"/>
      <c r="AJ178" s="1688"/>
      <c r="AK178" s="1688"/>
      <c r="BB178" t="s">
        <v>2582</v>
      </c>
      <c r="BN178" s="23" t="s">
        <v>222</v>
      </c>
      <c r="BT178" t="s">
        <v>53</v>
      </c>
    </row>
    <row r="179" spans="1:72" ht="12.95" customHeight="1">
      <c r="C179" s="24"/>
      <c r="BN179" s="23" t="s">
        <v>223</v>
      </c>
      <c r="BT179" t="s">
        <v>54</v>
      </c>
    </row>
    <row r="180" spans="1:72" ht="12.95" customHeight="1">
      <c r="C180" s="24"/>
      <c r="D180" t="s">
        <v>2398</v>
      </c>
      <c r="X180" s="1403"/>
      <c r="Y180" s="140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49" t="str">
        <f>H18</f>
        <v>Hollister Lofts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596</v>
      </c>
      <c r="BN184" s="23" t="s">
        <v>231</v>
      </c>
      <c r="BT184" t="s">
        <v>62</v>
      </c>
    </row>
    <row r="185" spans="1:72" ht="12.95" customHeight="1">
      <c r="C185" s="21"/>
      <c r="D185" t="s">
        <v>588</v>
      </c>
      <c r="I185" s="1489" t="s">
        <v>2755</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597</v>
      </c>
      <c r="BN185" s="23" t="s">
        <v>232</v>
      </c>
      <c r="BT185" t="s">
        <v>63</v>
      </c>
    </row>
    <row r="186" spans="1:72" ht="12.95" customHeight="1">
      <c r="C186" s="21"/>
      <c r="E186" t="s">
        <v>168</v>
      </c>
      <c r="BN186" s="23" t="s">
        <v>233</v>
      </c>
      <c r="BT186" t="s">
        <v>64</v>
      </c>
    </row>
    <row r="187" spans="1:72"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2.9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2.95" customHeight="1">
      <c r="C189" s="21"/>
      <c r="D189" t="s">
        <v>589</v>
      </c>
      <c r="I189" s="1445" t="s">
        <v>192</v>
      </c>
      <c r="J189" s="1404"/>
      <c r="K189" s="1404"/>
      <c r="L189" s="1404"/>
      <c r="M189" s="1404"/>
      <c r="N189" s="1404"/>
      <c r="O189" s="1404"/>
      <c r="P189" s="1404"/>
      <c r="Q189" t="s">
        <v>591</v>
      </c>
      <c r="T189" s="1404" t="s">
        <v>192</v>
      </c>
      <c r="U189" s="1404"/>
      <c r="V189" s="1404"/>
      <c r="W189" s="1404"/>
      <c r="X189" s="1404"/>
      <c r="Y189" s="1404"/>
      <c r="Z189" s="1404"/>
      <c r="AA189" s="1404"/>
      <c r="AB189" s="1404"/>
      <c r="AC189" s="1404"/>
      <c r="AD189" s="1404"/>
      <c r="AE189" s="1404"/>
      <c r="BC189" t="s">
        <v>308</v>
      </c>
      <c r="BH189" s="3" t="s">
        <v>600</v>
      </c>
      <c r="BN189" s="23" t="s">
        <v>237</v>
      </c>
      <c r="BT189" t="s">
        <v>67</v>
      </c>
    </row>
    <row r="190" spans="1:72" ht="12.95" customHeight="1">
      <c r="C190" s="21"/>
      <c r="D190" t="s">
        <v>592</v>
      </c>
      <c r="I190" s="1405">
        <v>93110</v>
      </c>
      <c r="J190" s="1405"/>
      <c r="K190" s="1405"/>
      <c r="L190" s="1405"/>
      <c r="M190" s="1405"/>
      <c r="N190" s="1405"/>
      <c r="O190" t="s">
        <v>594</v>
      </c>
      <c r="T190" s="1798">
        <v>30.05</v>
      </c>
      <c r="U190" s="1798"/>
      <c r="V190" s="1798"/>
      <c r="W190" s="1798"/>
      <c r="X190" s="1798"/>
      <c r="Y190" s="1798"/>
      <c r="Z190" s="1798"/>
      <c r="AA190" s="1798"/>
      <c r="AB190" s="1798"/>
      <c r="AC190" s="1798"/>
      <c r="AD190" s="1798"/>
      <c r="AE190" s="1798"/>
      <c r="BC190" t="s">
        <v>1066</v>
      </c>
      <c r="BH190" t="s">
        <v>1066</v>
      </c>
      <c r="BN190" s="23" t="s">
        <v>644</v>
      </c>
      <c r="BT190" t="s">
        <v>68</v>
      </c>
    </row>
    <row r="191" spans="1:72" ht="12.95" customHeight="1">
      <c r="C191" s="21"/>
      <c r="D191" t="s">
        <v>471</v>
      </c>
      <c r="N191" s="1800" t="s">
        <v>2640</v>
      </c>
      <c r="O191" s="1801"/>
      <c r="P191" s="1801"/>
      <c r="Q191" s="1801"/>
      <c r="R191" s="1801"/>
      <c r="S191" s="1801"/>
      <c r="T191" s="1801"/>
      <c r="U191" s="1801"/>
      <c r="V191" s="1801"/>
      <c r="W191" s="1801"/>
      <c r="X191" s="1801"/>
      <c r="Y191" s="1801"/>
      <c r="Z191" s="1801"/>
      <c r="AA191" s="1801"/>
      <c r="AB191" s="1801"/>
      <c r="AC191" s="1801"/>
      <c r="AD191" s="1801"/>
      <c r="AE191" s="1801"/>
      <c r="BC191" t="s">
        <v>1065</v>
      </c>
      <c r="BH191" t="s">
        <v>1065</v>
      </c>
      <c r="BN191" s="23" t="s">
        <v>698</v>
      </c>
      <c r="BT191" t="s">
        <v>737</v>
      </c>
    </row>
    <row r="192" spans="1:72" ht="12.9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1068</v>
      </c>
      <c r="BH192" s="3" t="s">
        <v>1476</v>
      </c>
      <c r="BN192" s="23" t="s">
        <v>699</v>
      </c>
      <c r="BT192" t="s">
        <v>738</v>
      </c>
    </row>
    <row r="193" spans="1:74" ht="12.95" customHeight="1">
      <c r="C193" s="21"/>
      <c r="D193" t="s">
        <v>2399</v>
      </c>
      <c r="M193" s="40"/>
      <c r="N193" s="928"/>
      <c r="O193" s="928"/>
      <c r="P193" s="928"/>
      <c r="Q193" s="928"/>
      <c r="R193" s="928"/>
      <c r="S193" s="928"/>
      <c r="T193" s="1806" t="s">
        <v>308</v>
      </c>
      <c r="U193" s="1806"/>
      <c r="V193" s="1806"/>
      <c r="W193" s="1806"/>
      <c r="X193" s="1806"/>
      <c r="Y193" s="1806"/>
      <c r="Z193" s="1806"/>
      <c r="AA193" s="1806"/>
      <c r="AB193" s="1806"/>
      <c r="AC193" s="1806"/>
      <c r="AD193" s="1806"/>
      <c r="AE193" s="1806"/>
      <c r="AF193" s="1806"/>
      <c r="AG193" s="1806"/>
      <c r="AH193" s="1806"/>
      <c r="AI193" s="1806"/>
      <c r="BC193" t="s">
        <v>1067</v>
      </c>
      <c r="BH193" s="3" t="s">
        <v>1743</v>
      </c>
      <c r="BN193" s="23" t="s">
        <v>700</v>
      </c>
      <c r="BT193" t="s">
        <v>739</v>
      </c>
    </row>
    <row r="194" spans="1:74" ht="12.95" customHeight="1">
      <c r="C194" s="21"/>
      <c r="D194" s="3" t="s">
        <v>2583</v>
      </c>
      <c r="M194" s="40"/>
      <c r="N194" s="928"/>
      <c r="O194" s="928"/>
      <c r="P194" s="928"/>
      <c r="Q194" s="928"/>
      <c r="R194" s="928"/>
      <c r="S194" s="928"/>
      <c r="AH194" s="1403" t="s">
        <v>678</v>
      </c>
      <c r="AI194" s="1403"/>
      <c r="BC194" t="s">
        <v>1476</v>
      </c>
      <c r="BN194" s="23" t="s">
        <v>701</v>
      </c>
      <c r="BT194" t="s">
        <v>740</v>
      </c>
    </row>
    <row r="195" spans="1:74" ht="12.95" customHeight="1">
      <c r="C195" s="21"/>
      <c r="D195" t="s">
        <v>332</v>
      </c>
      <c r="T195" s="1403" t="s">
        <v>554</v>
      </c>
      <c r="U195" s="1403"/>
      <c r="W195" t="s">
        <v>694</v>
      </c>
      <c r="AH195" s="1403">
        <v>24</v>
      </c>
      <c r="AI195" s="1403"/>
      <c r="BC195" t="s">
        <v>2049</v>
      </c>
      <c r="BN195" s="23" t="s">
        <v>243</v>
      </c>
      <c r="BT195" t="s">
        <v>741</v>
      </c>
    </row>
    <row r="196" spans="1:74" ht="12.95" customHeight="1">
      <c r="C196" s="21"/>
      <c r="D196" t="s">
        <v>387</v>
      </c>
      <c r="T196" s="1434" t="s">
        <v>554</v>
      </c>
      <c r="U196" s="1434"/>
      <c r="W196" t="s">
        <v>695</v>
      </c>
      <c r="AH196" s="1403">
        <v>37</v>
      </c>
      <c r="AI196" s="1403"/>
      <c r="BN196" s="23" t="s">
        <v>244</v>
      </c>
      <c r="BT196" t="s">
        <v>69</v>
      </c>
    </row>
    <row r="197" spans="1:74" ht="12.95" customHeight="1">
      <c r="C197" s="21"/>
      <c r="D197" s="3" t="s">
        <v>169</v>
      </c>
      <c r="T197" s="1434" t="s">
        <v>678</v>
      </c>
      <c r="U197" s="1434"/>
      <c r="W197" t="s">
        <v>696</v>
      </c>
      <c r="AH197" s="1403">
        <v>19</v>
      </c>
      <c r="AI197" s="1403"/>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34">
        <v>0</v>
      </c>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03" t="s">
        <v>678</v>
      </c>
      <c r="AA199" s="140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49" t="s">
        <v>386</v>
      </c>
      <c r="E204" s="1449"/>
      <c r="F204" s="1449"/>
      <c r="G204" s="1449"/>
      <c r="H204" s="1449"/>
      <c r="I204" s="1449"/>
      <c r="J204" s="1449"/>
      <c r="K204" s="1449"/>
      <c r="L204" s="1449"/>
      <c r="M204" s="1449"/>
      <c r="P204" s="1814">
        <f>M26</f>
        <v>1317520</v>
      </c>
      <c r="Q204" s="1796"/>
      <c r="R204" s="1796"/>
      <c r="S204" s="1796"/>
      <c r="T204" s="1796"/>
      <c r="U204" s="1796"/>
      <c r="Z204" s="1794" t="s">
        <v>2631</v>
      </c>
      <c r="AA204" s="1794"/>
      <c r="AB204" s="1794"/>
      <c r="AC204" s="1794"/>
      <c r="AD204" s="1794"/>
      <c r="AE204" s="1794"/>
      <c r="AF204" s="1794"/>
      <c r="BC204" t="s">
        <v>619</v>
      </c>
      <c r="BN204" s="23" t="s">
        <v>713</v>
      </c>
      <c r="BT204" s="32" t="s">
        <v>198</v>
      </c>
      <c r="BU204" s="14"/>
    </row>
    <row r="205" spans="1:74" ht="12.95" customHeight="1">
      <c r="C205" s="21"/>
      <c r="D205" s="1793" t="s">
        <v>1356</v>
      </c>
      <c r="E205" s="1449"/>
      <c r="F205" s="1449"/>
      <c r="G205" s="1449"/>
      <c r="H205" s="1449"/>
      <c r="I205" s="1449"/>
      <c r="J205" s="1449"/>
      <c r="K205" s="1449"/>
      <c r="L205" s="1449"/>
      <c r="M205" s="1449"/>
      <c r="P205" s="1796">
        <f>M27</f>
        <v>3001075</v>
      </c>
      <c r="Q205" s="1796"/>
      <c r="R205" s="1796"/>
      <c r="S205" s="1796"/>
      <c r="T205" s="1796"/>
      <c r="U205" s="1796"/>
      <c r="V205" s="28"/>
      <c r="W205" s="3" t="s">
        <v>1911</v>
      </c>
      <c r="Z205" s="1794"/>
      <c r="AA205" s="1794"/>
      <c r="AB205" s="1794"/>
      <c r="AC205" s="1794"/>
      <c r="AD205" s="1794"/>
      <c r="AE205" s="1794"/>
      <c r="AF205" s="1794"/>
      <c r="AG205" t="s">
        <v>1357</v>
      </c>
      <c r="AP205" s="1403" t="s">
        <v>678</v>
      </c>
      <c r="AQ205" s="14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95"/>
      <c r="AA206" s="1795"/>
      <c r="AB206" s="1795"/>
      <c r="AC206" s="1795"/>
      <c r="AD206" s="1795"/>
      <c r="AE206" s="1795"/>
      <c r="AF206" s="1795"/>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46" t="s">
        <v>2645</v>
      </c>
      <c r="E208" s="1446"/>
      <c r="F208" s="1446"/>
      <c r="G208" s="1446"/>
      <c r="H208" s="1446"/>
      <c r="I208" s="1446"/>
      <c r="J208" s="1446"/>
      <c r="K208" s="1446"/>
      <c r="L208" s="1446"/>
      <c r="M208" s="1446"/>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46" t="s">
        <v>1068</v>
      </c>
      <c r="E211" s="1446"/>
      <c r="F211" s="1446"/>
      <c r="G211" s="1446"/>
      <c r="H211" s="1446"/>
      <c r="I211" s="1446"/>
      <c r="J211" s="1446"/>
      <c r="K211" s="1446"/>
      <c r="L211" s="1446"/>
      <c r="M211" s="1446"/>
      <c r="BN211" s="23" t="s">
        <v>129</v>
      </c>
      <c r="BT211" s="32" t="s">
        <v>130</v>
      </c>
    </row>
    <row r="212" spans="1:72" ht="12.95" customHeight="1">
      <c r="C212" s="21"/>
      <c r="D212" t="s">
        <v>1353</v>
      </c>
      <c r="Y212" s="1403">
        <v>34</v>
      </c>
      <c r="Z212" s="1403"/>
      <c r="AB212" s="1804">
        <f>IFERROR(Y212/AG440,"")</f>
        <v>1</v>
      </c>
      <c r="AC212" s="1805"/>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11" t="s">
        <v>600</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539</v>
      </c>
      <c r="BI214" t="s">
        <v>2637</v>
      </c>
      <c r="BN214" s="23" t="s">
        <v>327</v>
      </c>
      <c r="BT214" s="32" t="s">
        <v>206</v>
      </c>
    </row>
    <row r="215" spans="1:72" ht="12.95" customHeight="1">
      <c r="D215" s="3" t="s">
        <v>1767</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6" t="s">
        <v>2573</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2.95" customHeight="1">
      <c r="A221" s="2"/>
      <c r="B221" s="14"/>
      <c r="C221" s="2"/>
      <c r="AU221" s="95"/>
      <c r="AV221" s="95"/>
      <c r="AW221" s="95"/>
      <c r="AX221" s="95"/>
      <c r="AY221" s="95"/>
      <c r="BA221" s="3"/>
    </row>
    <row r="222" spans="1:72" ht="12.95" customHeight="1">
      <c r="A222" s="1465" t="s">
        <v>549</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2.9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600</v>
      </c>
      <c r="AJ226" s="140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600</v>
      </c>
      <c r="AJ227" s="140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554</v>
      </c>
      <c r="AJ228" s="140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600</v>
      </c>
      <c r="AJ229" s="140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99" t="str">
        <f>H16</f>
        <v>Hollister Lofts, L.P.</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5" t="s">
        <v>2642</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547</v>
      </c>
      <c r="BG233" s="259">
        <f>IF(AND(AND($M$249="nonprofit",$M$257="for profit",$M$265="nonprofit")),2,0)</f>
        <v>0</v>
      </c>
    </row>
    <row r="234" spans="1:69" ht="12.95" customHeight="1">
      <c r="D234" s="4" t="s">
        <v>589</v>
      </c>
      <c r="E234" s="4"/>
      <c r="M234" s="1445" t="s">
        <v>2643</v>
      </c>
      <c r="N234" s="1446"/>
      <c r="O234" s="1446"/>
      <c r="P234" s="1446"/>
      <c r="Q234" s="1446"/>
      <c r="R234" s="1446"/>
      <c r="S234" s="1446"/>
      <c r="T234" s="1446"/>
      <c r="V234" s="33" t="s">
        <v>86</v>
      </c>
      <c r="W234" s="1489" t="s">
        <v>2644</v>
      </c>
      <c r="X234" s="1488"/>
      <c r="Y234" s="4" t="s">
        <v>592</v>
      </c>
      <c r="AC234" s="1446">
        <v>93436</v>
      </c>
      <c r="AD234" s="1446"/>
      <c r="AE234" s="1446"/>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5" t="s">
        <v>2649</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5" customHeight="1">
      <c r="D236" s="4" t="s">
        <v>88</v>
      </c>
      <c r="E236" s="4"/>
      <c r="F236" s="4"/>
      <c r="M236" s="1686" t="s">
        <v>2650</v>
      </c>
      <c r="N236" s="1464"/>
      <c r="O236" s="1464"/>
      <c r="P236" s="1464"/>
      <c r="Q236" s="1464"/>
      <c r="R236" s="1464"/>
      <c r="S236" s="4" t="s">
        <v>207</v>
      </c>
      <c r="T236" s="4"/>
      <c r="U236" s="1488"/>
      <c r="V236" s="1488"/>
      <c r="W236" s="1488"/>
      <c r="X236" s="4" t="s">
        <v>89</v>
      </c>
      <c r="Z236" s="1464"/>
      <c r="AA236" s="1464"/>
      <c r="AB236" s="1464"/>
      <c r="AC236" s="1464"/>
      <c r="AD236" s="1464"/>
      <c r="AE236" s="1464"/>
      <c r="AU236" s="4"/>
      <c r="AV236" s="4"/>
      <c r="AW236" s="4"/>
      <c r="AX236" s="4"/>
      <c r="AY236" s="4"/>
      <c r="AZ236" s="4"/>
      <c r="BB236" s="218" t="s">
        <v>546</v>
      </c>
      <c r="BG236" s="259">
        <f>IF(AND(AND($M$249="nonprofit",$M$257="nonprofit",$M$265="(select one)")),1,0)</f>
        <v>1</v>
      </c>
    </row>
    <row r="237" spans="1:69" ht="12.95" customHeight="1">
      <c r="D237" s="4" t="s">
        <v>90</v>
      </c>
      <c r="E237" s="4"/>
      <c r="F237" s="4"/>
      <c r="M237" s="1781" t="s">
        <v>2651</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05" t="s">
        <v>537</v>
      </c>
      <c r="N238" s="1405"/>
      <c r="O238" s="1405"/>
      <c r="P238" s="1405"/>
      <c r="Q238" s="1405"/>
      <c r="R238" s="1405"/>
      <c r="S238" s="1405"/>
      <c r="T238" s="1405"/>
      <c r="U238" s="218" t="s">
        <v>922</v>
      </c>
      <c r="V238" s="218"/>
      <c r="W238" s="218"/>
      <c r="X238" s="218"/>
      <c r="Y238" s="218"/>
      <c r="Z238" s="218"/>
      <c r="AA238" s="1803"/>
      <c r="AB238" s="1803"/>
      <c r="AC238" s="1803"/>
      <c r="AD238" s="1803"/>
      <c r="AE238" s="1803"/>
      <c r="AF238" s="1803"/>
      <c r="AG238" s="1803"/>
      <c r="AH238" s="1803"/>
      <c r="AI238" s="1803"/>
      <c r="AJ238" s="1803"/>
      <c r="AK238" s="180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84" t="s">
        <v>2652</v>
      </c>
      <c r="N243" s="1785"/>
      <c r="O243" s="1785"/>
      <c r="P243" s="1785"/>
      <c r="Q243" s="1785"/>
      <c r="R243" s="1785"/>
      <c r="S243" s="1785"/>
      <c r="T243" s="1785"/>
      <c r="U243" s="1785"/>
      <c r="V243" s="1785"/>
      <c r="W243" s="1785"/>
      <c r="X243" s="1785"/>
      <c r="Y243" s="1785"/>
      <c r="Z243" s="1785"/>
      <c r="AA243" s="1785"/>
      <c r="AB243" s="1785"/>
      <c r="AC243" s="1785"/>
      <c r="AD243" s="1785"/>
      <c r="AE243" s="1785"/>
      <c r="AF243" s="1785" t="s">
        <v>2653</v>
      </c>
      <c r="AG243" s="1785"/>
      <c r="AH243" s="1785"/>
      <c r="AI243" s="1785"/>
      <c r="AJ243" s="1785"/>
      <c r="AK243" s="178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45" t="s">
        <v>2642</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5" t="s">
        <v>2643</v>
      </c>
      <c r="N245" s="1446"/>
      <c r="O245" s="1446"/>
      <c r="P245" s="1446"/>
      <c r="Q245" s="1446"/>
      <c r="R245" s="1446"/>
      <c r="S245" s="1446"/>
      <c r="T245" s="1446"/>
      <c r="V245" s="33" t="s">
        <v>86</v>
      </c>
      <c r="W245" s="1489" t="s">
        <v>2654</v>
      </c>
      <c r="X245" s="1488"/>
      <c r="Y245" s="4" t="s">
        <v>592</v>
      </c>
      <c r="AC245" s="1446">
        <v>93436</v>
      </c>
      <c r="AD245" s="1446"/>
      <c r="AE245" s="1446"/>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45" t="s">
        <v>2649</v>
      </c>
      <c r="N246" s="1446"/>
      <c r="O246" s="1446"/>
      <c r="P246" s="1446"/>
      <c r="Q246" s="1446"/>
      <c r="R246" s="1446"/>
      <c r="S246" s="1446"/>
      <c r="T246" s="1446"/>
      <c r="U246" s="1446"/>
      <c r="V246" s="1446"/>
      <c r="W246" s="1446"/>
      <c r="X246" s="1446"/>
      <c r="Y246" s="1446"/>
      <c r="Z246" s="1446"/>
      <c r="AA246" s="1446"/>
      <c r="AB246" s="1446"/>
      <c r="AC246" s="1446"/>
      <c r="AD246" s="1446"/>
      <c r="AE246" s="1446"/>
      <c r="AH246" s="1782">
        <v>5.0000000000000001E-3</v>
      </c>
      <c r="AI246" s="1782"/>
      <c r="AJ246" s="1782"/>
      <c r="AK246" s="1782"/>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686" t="s">
        <v>2650</v>
      </c>
      <c r="N247" s="1464"/>
      <c r="O247" s="1464"/>
      <c r="P247" s="1464"/>
      <c r="Q247" s="1464"/>
      <c r="R247" s="1464"/>
      <c r="S247" s="4" t="s">
        <v>207</v>
      </c>
      <c r="T247" s="4"/>
      <c r="U247" s="1488"/>
      <c r="V247" s="1488"/>
      <c r="W247" s="1488"/>
      <c r="X247" s="4" t="s">
        <v>89</v>
      </c>
      <c r="Z247" s="1464"/>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781" t="s">
        <v>2651</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05" t="s">
        <v>543</v>
      </c>
      <c r="N249" s="1405"/>
      <c r="O249" s="1405"/>
      <c r="P249" s="1405"/>
      <c r="Q249" s="1405"/>
      <c r="R249" s="1405"/>
      <c r="S249" s="1405"/>
      <c r="T249" s="1405"/>
      <c r="U249" s="218" t="s">
        <v>922</v>
      </c>
      <c r="V249" s="218"/>
      <c r="W249" s="218"/>
      <c r="X249" s="218"/>
      <c r="Y249" s="218"/>
      <c r="Z249" s="218"/>
      <c r="AA249" s="1803"/>
      <c r="AB249" s="1803"/>
      <c r="AC249" s="1803"/>
      <c r="AD249" s="1803"/>
      <c r="AE249" s="1803"/>
      <c r="AF249" s="1803"/>
      <c r="AG249" s="1803"/>
      <c r="AH249" s="1803"/>
      <c r="AI249" s="1803"/>
      <c r="AJ249" s="1803"/>
      <c r="AK249" s="180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84" t="s">
        <v>2655</v>
      </c>
      <c r="N251" s="1785"/>
      <c r="O251" s="1785"/>
      <c r="P251" s="1785"/>
      <c r="Q251" s="1785"/>
      <c r="R251" s="1785"/>
      <c r="S251" s="1785"/>
      <c r="T251" s="1785"/>
      <c r="U251" s="1785"/>
      <c r="V251" s="1785"/>
      <c r="W251" s="1785"/>
      <c r="X251" s="1785"/>
      <c r="Y251" s="1785"/>
      <c r="Z251" s="1785"/>
      <c r="AA251" s="1785"/>
      <c r="AB251" s="1785"/>
      <c r="AC251" s="1785"/>
      <c r="AD251" s="1785"/>
      <c r="AE251" s="1785"/>
      <c r="AF251" s="1785" t="s">
        <v>2695</v>
      </c>
      <c r="AG251" s="1785"/>
      <c r="AH251" s="1785"/>
      <c r="AI251" s="1785"/>
      <c r="AJ251" s="1785"/>
      <c r="AK251" s="1785"/>
      <c r="AU251" s="4"/>
      <c r="AV251" s="4"/>
      <c r="AW251" s="4"/>
      <c r="AX251" s="4"/>
      <c r="AY251" s="4"/>
      <c r="BN251" s="34"/>
    </row>
    <row r="252" spans="1:71" ht="12.95" customHeight="1">
      <c r="A252" s="19"/>
      <c r="B252" s="4"/>
      <c r="C252" s="4"/>
      <c r="D252" s="4" t="s">
        <v>85</v>
      </c>
      <c r="E252" s="4"/>
      <c r="F252" s="4"/>
      <c r="G252" s="4"/>
      <c r="H252" s="4"/>
      <c r="I252" s="4"/>
      <c r="J252" s="4"/>
      <c r="K252" s="4"/>
      <c r="L252" s="4"/>
      <c r="M252" s="1445" t="s">
        <v>2642</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1286</v>
      </c>
      <c r="AL252" s="4"/>
      <c r="AM252" s="4"/>
      <c r="AN252" s="4"/>
      <c r="AO252" s="4"/>
      <c r="AP252" s="4"/>
      <c r="AQ252" s="4"/>
      <c r="AR252" s="4"/>
      <c r="AS252" s="4"/>
      <c r="AT252" s="4"/>
      <c r="BN252" s="34"/>
    </row>
    <row r="253" spans="1:71" ht="12.95" customHeight="1">
      <c r="A253" s="19"/>
      <c r="B253" s="4"/>
      <c r="C253" s="4"/>
      <c r="D253" s="4" t="s">
        <v>589</v>
      </c>
      <c r="E253" s="4"/>
      <c r="M253" s="1445" t="s">
        <v>2643</v>
      </c>
      <c r="N253" s="1446"/>
      <c r="O253" s="1446"/>
      <c r="P253" s="1446"/>
      <c r="Q253" s="1446"/>
      <c r="R253" s="1446"/>
      <c r="S253" s="1446"/>
      <c r="T253" s="1446"/>
      <c r="V253" s="33" t="s">
        <v>86</v>
      </c>
      <c r="W253" s="1489" t="s">
        <v>2654</v>
      </c>
      <c r="X253" s="1488"/>
      <c r="Y253" s="4" t="s">
        <v>592</v>
      </c>
      <c r="AC253" s="1446">
        <v>93436</v>
      </c>
      <c r="AD253" s="1446"/>
      <c r="AE253" s="1446"/>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45" t="s">
        <v>2649</v>
      </c>
      <c r="N254" s="1446"/>
      <c r="O254" s="1446"/>
      <c r="P254" s="1446"/>
      <c r="Q254" s="1446"/>
      <c r="R254" s="1446"/>
      <c r="S254" s="1446"/>
      <c r="T254" s="1446"/>
      <c r="U254" s="1446"/>
      <c r="V254" s="1446"/>
      <c r="W254" s="1446"/>
      <c r="X254" s="1446"/>
      <c r="Y254" s="1446"/>
      <c r="Z254" s="1446"/>
      <c r="AA254" s="1446"/>
      <c r="AB254" s="1446"/>
      <c r="AC254" s="1446"/>
      <c r="AD254" s="1446"/>
      <c r="AE254" s="1446"/>
      <c r="AH254" s="1782">
        <v>5.0000000000000001E-3</v>
      </c>
      <c r="AI254" s="1782"/>
      <c r="AJ254" s="1782"/>
      <c r="AK254" s="1782"/>
      <c r="AL254" s="4"/>
      <c r="AM254" s="4"/>
      <c r="AN254" s="4"/>
      <c r="AO254" s="4"/>
      <c r="AP254" s="4"/>
      <c r="AQ254" s="4"/>
      <c r="AR254" s="4"/>
      <c r="AS254" s="4"/>
      <c r="AT254" s="4"/>
    </row>
    <row r="255" spans="1:71" ht="12.95" customHeight="1">
      <c r="A255" s="19"/>
      <c r="B255" s="4"/>
      <c r="C255" s="4"/>
      <c r="D255" s="4" t="s">
        <v>88</v>
      </c>
      <c r="E255" s="4"/>
      <c r="F255" s="4"/>
      <c r="M255" s="1686" t="s">
        <v>2650</v>
      </c>
      <c r="N255" s="1464"/>
      <c r="O255" s="1464"/>
      <c r="P255" s="1464"/>
      <c r="Q255" s="1464"/>
      <c r="R255" s="1464"/>
      <c r="S255" s="4" t="s">
        <v>207</v>
      </c>
      <c r="T255" s="4"/>
      <c r="U255" s="1488"/>
      <c r="V255" s="1488"/>
      <c r="W255" s="1488"/>
      <c r="X255" s="4" t="s">
        <v>89</v>
      </c>
      <c r="Z255" s="1464"/>
      <c r="AA255" s="1464"/>
      <c r="AB255" s="1464"/>
      <c r="AC255" s="1464"/>
      <c r="AD255" s="1464"/>
      <c r="AE255" s="1464"/>
      <c r="AU255" s="4"/>
      <c r="AV255" s="4"/>
      <c r="AW255" s="4"/>
      <c r="AX255" s="4"/>
      <c r="AY255" s="4"/>
      <c r="BN255" s="34"/>
    </row>
    <row r="256" spans="1:71" ht="12.95" customHeight="1">
      <c r="A256" s="19"/>
      <c r="B256" s="4"/>
      <c r="C256" s="4"/>
      <c r="D256" s="4" t="s">
        <v>90</v>
      </c>
      <c r="E256" s="4"/>
      <c r="F256" s="4"/>
      <c r="M256" s="1781" t="s">
        <v>2651</v>
      </c>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05" t="s">
        <v>543</v>
      </c>
      <c r="N257" s="1405"/>
      <c r="O257" s="1405"/>
      <c r="P257" s="1405"/>
      <c r="Q257" s="1405"/>
      <c r="R257" s="1405"/>
      <c r="S257" s="1405"/>
      <c r="T257" s="1405"/>
      <c r="U257" s="218" t="s">
        <v>922</v>
      </c>
      <c r="V257" s="218"/>
      <c r="W257" s="218"/>
      <c r="X257" s="218"/>
      <c r="Y257" s="218"/>
      <c r="Z257" s="218"/>
      <c r="AA257" s="1803"/>
      <c r="AB257" s="1803"/>
      <c r="AC257" s="1803"/>
      <c r="AD257" s="1803"/>
      <c r="AE257" s="1803"/>
      <c r="AF257" s="1803"/>
      <c r="AG257" s="1803"/>
      <c r="AH257" s="1803"/>
      <c r="AI257" s="1803"/>
      <c r="AJ257" s="1803"/>
      <c r="AK257" s="180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85"/>
      <c r="N259" s="1785"/>
      <c r="O259" s="1785"/>
      <c r="P259" s="1785"/>
      <c r="Q259" s="1785"/>
      <c r="R259" s="1785"/>
      <c r="S259" s="1785"/>
      <c r="T259" s="1785"/>
      <c r="U259" s="1785"/>
      <c r="V259" s="1785"/>
      <c r="W259" s="1785"/>
      <c r="X259" s="1785"/>
      <c r="Y259" s="1785"/>
      <c r="Z259" s="1785"/>
      <c r="AA259" s="1785"/>
      <c r="AB259" s="1785"/>
      <c r="AC259" s="1785"/>
      <c r="AD259" s="1785"/>
      <c r="AE259" s="1785"/>
      <c r="AF259" s="1785" t="s">
        <v>308</v>
      </c>
      <c r="AG259" s="1785"/>
      <c r="AH259" s="1785"/>
      <c r="AI259" s="1785"/>
      <c r="AJ259" s="1785"/>
      <c r="AK259" s="178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6"/>
      <c r="N261" s="1446"/>
      <c r="O261" s="1446"/>
      <c r="P261" s="1446"/>
      <c r="Q261" s="1446"/>
      <c r="R261" s="1446"/>
      <c r="S261" s="1446"/>
      <c r="T261" s="1446"/>
      <c r="V261" s="33" t="s">
        <v>86</v>
      </c>
      <c r="W261" s="1488"/>
      <c r="X261" s="1488"/>
      <c r="Y261" s="4" t="s">
        <v>592</v>
      </c>
      <c r="AC261" s="1446"/>
      <c r="AD261" s="1446"/>
      <c r="AE261" s="1446"/>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2"/>
      <c r="AI262" s="1782"/>
      <c r="AJ262" s="1782"/>
      <c r="AK262" s="178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4"/>
      <c r="N263" s="1464"/>
      <c r="O263" s="1464"/>
      <c r="P263" s="1464"/>
      <c r="Q263" s="1464"/>
      <c r="R263" s="1464"/>
      <c r="S263" s="4" t="s">
        <v>207</v>
      </c>
      <c r="T263" s="4"/>
      <c r="U263" s="1488"/>
      <c r="V263" s="1488"/>
      <c r="W263" s="1488"/>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19"/>
      <c r="AB264" s="1819"/>
      <c r="AC264" s="1819"/>
      <c r="AD264" s="1819"/>
      <c r="AE264" s="18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05" t="s">
        <v>308</v>
      </c>
      <c r="N265" s="1405"/>
      <c r="O265" s="1405"/>
      <c r="P265" s="1405"/>
      <c r="Q265" s="1405"/>
      <c r="R265" s="1405"/>
      <c r="S265" s="1405"/>
      <c r="T265" s="1405"/>
      <c r="U265" s="218" t="s">
        <v>922</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5" t="str">
        <f>IFERROR(BO245,"")</f>
        <v>Nonprofit</v>
      </c>
      <c r="U267" s="1815"/>
      <c r="V267" s="1815"/>
      <c r="W267" s="1815"/>
      <c r="X267" s="1815"/>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46" t="s">
        <v>281</v>
      </c>
      <c r="E270" s="1446"/>
      <c r="F270" s="1446"/>
      <c r="G270" s="1446"/>
      <c r="H270" s="1446"/>
      <c r="J270" t="s">
        <v>280</v>
      </c>
      <c r="X270" s="1477"/>
      <c r="Y270" s="1477"/>
      <c r="Z270" s="1477"/>
      <c r="AA270" s="1477"/>
      <c r="AB270" s="1477"/>
      <c r="AC270" s="147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4" t="s">
        <v>2655</v>
      </c>
      <c r="M274" s="1785"/>
      <c r="N274" s="1785"/>
      <c r="O274" s="1785"/>
      <c r="P274" s="1785"/>
      <c r="Q274" s="1785"/>
      <c r="R274" s="1785"/>
      <c r="S274" s="1785"/>
      <c r="T274" s="1785"/>
      <c r="U274" s="1785"/>
      <c r="V274" s="1785"/>
      <c r="W274" s="1785"/>
      <c r="X274" s="1785"/>
      <c r="Y274" s="1785"/>
      <c r="Z274" s="1785"/>
      <c r="AA274" s="1785"/>
      <c r="AB274" s="1785"/>
      <c r="AC274" s="1785"/>
      <c r="AD274" s="1785"/>
      <c r="AE274" s="1785"/>
      <c r="AF274" s="1785"/>
      <c r="AG274" s="1785"/>
      <c r="AH274" s="1785"/>
      <c r="AI274" s="1785"/>
      <c r="AJ274" s="178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5" t="s">
        <v>2642</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5" t="s">
        <v>2643</v>
      </c>
      <c r="M276" s="1446"/>
      <c r="N276" s="1446"/>
      <c r="O276" s="1446"/>
      <c r="P276" s="1446"/>
      <c r="Q276" s="1446"/>
      <c r="R276" s="1446"/>
      <c r="S276" s="1446"/>
      <c r="U276" s="33" t="s">
        <v>86</v>
      </c>
      <c r="V276" s="1489" t="s">
        <v>2654</v>
      </c>
      <c r="W276" s="1488"/>
      <c r="X276" s="4" t="s">
        <v>592</v>
      </c>
      <c r="AB276" s="1446">
        <v>93436</v>
      </c>
      <c r="AC276" s="1446"/>
      <c r="AD276" s="144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5" t="s">
        <v>2649</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5" customHeight="1">
      <c r="D278" s="4" t="s">
        <v>88</v>
      </c>
      <c r="E278" s="4"/>
      <c r="F278" s="4"/>
      <c r="L278" s="1686" t="s">
        <v>2650</v>
      </c>
      <c r="M278" s="1464"/>
      <c r="N278" s="1464"/>
      <c r="O278" s="1464"/>
      <c r="P278" s="1464"/>
      <c r="Q278" s="1464"/>
      <c r="R278" s="4" t="s">
        <v>207</v>
      </c>
      <c r="S278" s="4"/>
      <c r="T278" s="1488"/>
      <c r="U278" s="1488"/>
      <c r="V278" s="1488"/>
      <c r="W278" s="4" t="s">
        <v>89</v>
      </c>
      <c r="Y278" s="1464"/>
      <c r="Z278" s="1464"/>
      <c r="AA278" s="1464"/>
      <c r="AB278" s="1464"/>
      <c r="AC278" s="1464"/>
      <c r="AD278" s="1464"/>
      <c r="BN278" s="34"/>
    </row>
    <row r="279" spans="1:66" ht="12.95" customHeight="1">
      <c r="D279" s="4" t="s">
        <v>90</v>
      </c>
      <c r="E279" s="4"/>
      <c r="F279" s="4"/>
      <c r="L279" s="1781" t="s">
        <v>2651</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c r="BN279" s="34"/>
    </row>
    <row r="280" spans="1:66" ht="12.95" customHeight="1">
      <c r="D280" s="3" t="s">
        <v>632</v>
      </c>
      <c r="E280" s="3"/>
      <c r="F280" s="3"/>
      <c r="G280" s="3"/>
      <c r="H280" s="3"/>
      <c r="I280" s="3"/>
      <c r="L280" s="1489" t="s">
        <v>2756</v>
      </c>
      <c r="M280" s="1489"/>
      <c r="N280" s="1489"/>
      <c r="O280" s="1489"/>
      <c r="P280" s="1489"/>
      <c r="Q280" s="1489"/>
      <c r="R280" s="1489"/>
      <c r="S280" s="1489"/>
      <c r="T280" s="1489"/>
      <c r="U280" s="1489"/>
      <c r="V280" s="1489"/>
      <c r="W280" s="1489"/>
      <c r="X280" s="1489"/>
      <c r="Y280" s="1489"/>
      <c r="Z280" s="1489"/>
      <c r="AA280" s="1489"/>
      <c r="AB280" s="1489"/>
      <c r="AC280" s="1489"/>
      <c r="AD280" s="1489"/>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5" t="s">
        <v>550</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2.9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5" t="s">
        <v>2655</v>
      </c>
      <c r="I287" s="1404"/>
      <c r="J287" s="1404"/>
      <c r="K287" s="1404"/>
      <c r="L287" s="1404"/>
      <c r="M287" s="1404"/>
      <c r="N287" s="1404"/>
      <c r="O287" s="1404"/>
      <c r="P287" s="1404"/>
      <c r="Q287" s="1404"/>
      <c r="R287" s="1404"/>
      <c r="T287" s="3" t="s">
        <v>576</v>
      </c>
      <c r="V287" s="3"/>
      <c r="W287" s="3"/>
      <c r="X287" s="3"/>
      <c r="Y287" s="3"/>
      <c r="AA287" s="1445" t="s">
        <v>2657</v>
      </c>
      <c r="AB287" s="1404"/>
      <c r="AC287" s="1404"/>
      <c r="AD287" s="1404"/>
      <c r="AE287" s="1404"/>
      <c r="AF287" s="1404"/>
      <c r="AG287" s="1404"/>
      <c r="AH287" s="1404"/>
      <c r="AI287" s="1404"/>
      <c r="AJ287" s="1404"/>
      <c r="AK287" s="1404"/>
      <c r="BN287" s="34"/>
    </row>
    <row r="288" spans="1:66" ht="12.95" customHeight="1">
      <c r="B288" s="3" t="s">
        <v>480</v>
      </c>
      <c r="C288" s="3"/>
      <c r="D288" s="3"/>
      <c r="E288" s="3"/>
      <c r="F288" s="3"/>
      <c r="H288" s="1489" t="s">
        <v>2642</v>
      </c>
      <c r="I288" s="1405"/>
      <c r="J288" s="1405"/>
      <c r="K288" s="1405"/>
      <c r="L288" s="1405"/>
      <c r="M288" s="1405"/>
      <c r="N288" s="1405"/>
      <c r="O288" s="1405"/>
      <c r="P288" s="1405"/>
      <c r="Q288" s="1405"/>
      <c r="R288" s="1405"/>
      <c r="T288" s="3" t="s">
        <v>480</v>
      </c>
      <c r="V288" s="3"/>
      <c r="W288" s="3"/>
      <c r="X288" s="3"/>
      <c r="Y288" s="3"/>
      <c r="AA288" s="1489" t="s">
        <v>2658</v>
      </c>
      <c r="AB288" s="1405"/>
      <c r="AC288" s="1405"/>
      <c r="AD288" s="1405"/>
      <c r="AE288" s="1405"/>
      <c r="AF288" s="1405"/>
      <c r="AG288" s="1405"/>
      <c r="AH288" s="1405"/>
      <c r="AI288" s="1405"/>
      <c r="AJ288" s="1405"/>
      <c r="AK288" s="1405"/>
      <c r="BN288" s="34"/>
    </row>
    <row r="289" spans="2:66" ht="12.95" customHeight="1">
      <c r="B289" s="3" t="s">
        <v>481</v>
      </c>
      <c r="C289" s="3"/>
      <c r="D289" s="3"/>
      <c r="E289" s="3"/>
      <c r="F289" s="3"/>
      <c r="H289" s="1489" t="s">
        <v>2656</v>
      </c>
      <c r="I289" s="1405"/>
      <c r="J289" s="1405"/>
      <c r="K289" s="1405"/>
      <c r="L289" s="1405"/>
      <c r="M289" s="1405"/>
      <c r="N289" s="1405"/>
      <c r="O289" s="1405"/>
      <c r="P289" s="1405"/>
      <c r="Q289" s="1405"/>
      <c r="R289" s="1405"/>
      <c r="T289" s="3" t="s">
        <v>75</v>
      </c>
      <c r="V289" s="3"/>
      <c r="W289" s="3"/>
      <c r="X289" s="3"/>
      <c r="Y289" s="3"/>
      <c r="AA289" s="1489" t="s">
        <v>2659</v>
      </c>
      <c r="AB289" s="1405"/>
      <c r="AC289" s="1405"/>
      <c r="AD289" s="1405"/>
      <c r="AE289" s="1405"/>
      <c r="AF289" s="1405"/>
      <c r="AG289" s="1405"/>
      <c r="AH289" s="1405"/>
      <c r="AI289" s="1405"/>
      <c r="AJ289" s="1405"/>
      <c r="AK289" s="1405"/>
      <c r="BN289" s="34"/>
    </row>
    <row r="290" spans="2:66" ht="12.95" customHeight="1">
      <c r="B290" s="3" t="s">
        <v>87</v>
      </c>
      <c r="C290" s="3"/>
      <c r="D290" s="3"/>
      <c r="E290" s="3"/>
      <c r="F290" s="3"/>
      <c r="H290" s="1489" t="s">
        <v>2649</v>
      </c>
      <c r="I290" s="1405"/>
      <c r="J290" s="1405"/>
      <c r="K290" s="1405"/>
      <c r="L290" s="1405"/>
      <c r="M290" s="1405"/>
      <c r="N290" s="1405"/>
      <c r="O290" s="1405"/>
      <c r="P290" s="1405"/>
      <c r="Q290" s="1405"/>
      <c r="R290" s="1405"/>
      <c r="T290" s="3" t="s">
        <v>87</v>
      </c>
      <c r="V290" s="3"/>
      <c r="W290" s="3"/>
      <c r="X290" s="3"/>
      <c r="Y290" s="3"/>
      <c r="AA290" s="1405" t="s">
        <v>2741</v>
      </c>
      <c r="AB290" s="1405"/>
      <c r="AC290" s="1405"/>
      <c r="AD290" s="1405"/>
      <c r="AE290" s="1405"/>
      <c r="AF290" s="1405"/>
      <c r="AG290" s="1405"/>
      <c r="AH290" s="1405"/>
      <c r="AI290" s="1405"/>
      <c r="AJ290" s="1405"/>
      <c r="AK290" s="1405"/>
      <c r="BN290" s="34"/>
    </row>
    <row r="291" spans="2:66" ht="12.95" customHeight="1">
      <c r="B291" s="3" t="s">
        <v>88</v>
      </c>
      <c r="C291" s="3"/>
      <c r="D291" s="3"/>
      <c r="E291" s="3"/>
      <c r="F291" s="3"/>
      <c r="G291" s="3"/>
      <c r="H291" s="1467" t="s">
        <v>2650</v>
      </c>
      <c r="I291" s="1468"/>
      <c r="J291" s="1468"/>
      <c r="K291" s="1468"/>
      <c r="L291" s="1468"/>
      <c r="M291" s="1468"/>
      <c r="N291" s="4" t="s">
        <v>207</v>
      </c>
      <c r="O291" s="4"/>
      <c r="P291" s="1446"/>
      <c r="Q291" s="1446"/>
      <c r="R291" s="1446"/>
      <c r="S291" s="3"/>
      <c r="T291" s="3" t="s">
        <v>88</v>
      </c>
      <c r="V291" s="3"/>
      <c r="W291" s="3"/>
      <c r="X291" s="3"/>
      <c r="Y291" s="3"/>
      <c r="AA291" s="1467" t="s">
        <v>2742</v>
      </c>
      <c r="AB291" s="1468"/>
      <c r="AC291" s="1468"/>
      <c r="AD291" s="1468"/>
      <c r="AE291" s="1468"/>
      <c r="AF291" s="1468"/>
      <c r="AG291" s="4" t="s">
        <v>207</v>
      </c>
      <c r="AH291" s="4"/>
      <c r="AI291" s="1446"/>
      <c r="AJ291" s="1446"/>
      <c r="AK291" s="1446"/>
      <c r="BN291" s="34"/>
    </row>
    <row r="292" spans="2:66" ht="12.95" customHeight="1">
      <c r="B292" s="3" t="s">
        <v>89</v>
      </c>
      <c r="C292" s="3"/>
      <c r="D292" s="3"/>
      <c r="E292" s="3"/>
      <c r="F292" s="3"/>
      <c r="G292" s="3"/>
      <c r="H292" s="1464"/>
      <c r="I292" s="1464"/>
      <c r="J292" s="1464"/>
      <c r="K292" s="1464"/>
      <c r="L292" s="1464"/>
      <c r="M292" s="1464"/>
      <c r="N292" s="4"/>
      <c r="O292" s="4"/>
      <c r="P292" s="35"/>
      <c r="Q292" s="35"/>
      <c r="R292" s="35"/>
      <c r="S292" s="3"/>
      <c r="T292" s="3" t="s">
        <v>89</v>
      </c>
      <c r="V292" s="3"/>
      <c r="W292" s="3"/>
      <c r="X292" s="3"/>
      <c r="Y292" s="3"/>
      <c r="AA292" s="1464"/>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489" t="s">
        <v>2651</v>
      </c>
      <c r="I293" s="1405"/>
      <c r="J293" s="1405"/>
      <c r="K293" s="1405"/>
      <c r="L293" s="1405"/>
      <c r="M293" s="1405"/>
      <c r="N293" s="1404"/>
      <c r="O293" s="1404"/>
      <c r="P293" s="1404"/>
      <c r="Q293" s="1404"/>
      <c r="R293" s="1404"/>
      <c r="S293" s="3"/>
      <c r="T293" s="3" t="s">
        <v>76</v>
      </c>
      <c r="V293" s="3"/>
      <c r="W293" s="3"/>
      <c r="X293" s="3"/>
      <c r="Y293" s="3"/>
      <c r="AA293" s="1405" t="s">
        <v>2743</v>
      </c>
      <c r="AB293" s="1405"/>
      <c r="AC293" s="1405"/>
      <c r="AD293" s="1405"/>
      <c r="AE293" s="1405"/>
      <c r="AF293" s="1405"/>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5" t="s">
        <v>2660</v>
      </c>
      <c r="I295" s="1404"/>
      <c r="J295" s="1404"/>
      <c r="K295" s="1404"/>
      <c r="L295" s="1404"/>
      <c r="M295" s="1404"/>
      <c r="N295" s="1404"/>
      <c r="O295" s="1404"/>
      <c r="P295" s="1404"/>
      <c r="Q295" s="1404"/>
      <c r="R295" s="1404"/>
      <c r="T295" s="3" t="s">
        <v>365</v>
      </c>
      <c r="V295" s="3"/>
      <c r="W295" s="3"/>
      <c r="X295" s="3"/>
      <c r="Y295" s="3"/>
      <c r="AA295" s="1404" t="s">
        <v>2696</v>
      </c>
      <c r="AB295" s="1404"/>
      <c r="AC295" s="1404"/>
      <c r="AD295" s="1404"/>
      <c r="AE295" s="1404"/>
      <c r="AF295" s="1404"/>
      <c r="AG295" s="1404"/>
      <c r="AH295" s="1404"/>
      <c r="AI295" s="1404"/>
      <c r="AJ295" s="1404"/>
      <c r="AK295" s="1404"/>
      <c r="BN295" s="34"/>
    </row>
    <row r="296" spans="2:66" ht="12.95" customHeight="1">
      <c r="B296" s="3" t="s">
        <v>480</v>
      </c>
      <c r="C296" s="3"/>
      <c r="D296" s="3"/>
      <c r="E296" s="3"/>
      <c r="F296" s="3"/>
      <c r="H296" s="1489" t="s">
        <v>2661</v>
      </c>
      <c r="I296" s="1405"/>
      <c r="J296" s="1405"/>
      <c r="K296" s="1405"/>
      <c r="L296" s="1405"/>
      <c r="M296" s="1405"/>
      <c r="N296" s="1405"/>
      <c r="O296" s="1405"/>
      <c r="P296" s="1405"/>
      <c r="Q296" s="1405"/>
      <c r="R296" s="1405"/>
      <c r="T296" s="3" t="s">
        <v>480</v>
      </c>
      <c r="V296" s="3"/>
      <c r="W296" s="3"/>
      <c r="X296" s="3"/>
      <c r="Y296" s="3"/>
      <c r="AA296" s="1405"/>
      <c r="AB296" s="1405"/>
      <c r="AC296" s="1405"/>
      <c r="AD296" s="1405"/>
      <c r="AE296" s="1405"/>
      <c r="AF296" s="1405"/>
      <c r="AG296" s="1405"/>
      <c r="AH296" s="1405"/>
      <c r="AI296" s="1405"/>
      <c r="AJ296" s="1405"/>
      <c r="AK296" s="1405"/>
      <c r="BN296" s="34"/>
    </row>
    <row r="297" spans="2:66" ht="12.95" customHeight="1">
      <c r="B297" s="3" t="s">
        <v>481</v>
      </c>
      <c r="C297" s="3"/>
      <c r="D297" s="3"/>
      <c r="E297" s="3"/>
      <c r="F297" s="3"/>
      <c r="H297" s="1489" t="s">
        <v>2659</v>
      </c>
      <c r="I297" s="1405"/>
      <c r="J297" s="1405"/>
      <c r="K297" s="1405"/>
      <c r="L297" s="1405"/>
      <c r="M297" s="1405"/>
      <c r="N297" s="1405"/>
      <c r="O297" s="1405"/>
      <c r="P297" s="1405"/>
      <c r="Q297" s="1405"/>
      <c r="R297" s="1405"/>
      <c r="T297" s="3" t="s">
        <v>75</v>
      </c>
      <c r="V297" s="3"/>
      <c r="W297" s="3"/>
      <c r="X297" s="3"/>
      <c r="Y297" s="3"/>
      <c r="AA297" s="1405"/>
      <c r="AB297" s="1405"/>
      <c r="AC297" s="1405"/>
      <c r="AD297" s="1405"/>
      <c r="AE297" s="1405"/>
      <c r="AF297" s="1405"/>
      <c r="AG297" s="1405"/>
      <c r="AH297" s="1405"/>
      <c r="AI297" s="1405"/>
      <c r="AJ297" s="1405"/>
      <c r="AK297" s="1405"/>
      <c r="BN297" s="34"/>
    </row>
    <row r="298" spans="2:66" ht="12.95" customHeight="1">
      <c r="B298" s="3" t="s">
        <v>87</v>
      </c>
      <c r="C298" s="3"/>
      <c r="D298" s="3"/>
      <c r="E298" s="3"/>
      <c r="F298" s="3"/>
      <c r="H298" s="1489" t="s">
        <v>2662</v>
      </c>
      <c r="I298" s="1405"/>
      <c r="J298" s="1405"/>
      <c r="K298" s="1405"/>
      <c r="L298" s="1405"/>
      <c r="M298" s="1405"/>
      <c r="N298" s="1405"/>
      <c r="O298" s="1405"/>
      <c r="P298" s="1405"/>
      <c r="Q298" s="1405"/>
      <c r="R298" s="1405"/>
      <c r="T298" s="3" t="s">
        <v>87</v>
      </c>
      <c r="V298" s="3"/>
      <c r="W298" s="3"/>
      <c r="X298" s="3"/>
      <c r="Y298" s="3"/>
      <c r="AA298" s="1405"/>
      <c r="AB298" s="1405"/>
      <c r="AC298" s="1405"/>
      <c r="AD298" s="1405"/>
      <c r="AE298" s="1405"/>
      <c r="AF298" s="1405"/>
      <c r="AG298" s="1405"/>
      <c r="AH298" s="1405"/>
      <c r="AI298" s="1405"/>
      <c r="AJ298" s="1405"/>
      <c r="AK298" s="1405"/>
      <c r="BN298" s="34"/>
    </row>
    <row r="299" spans="2:66" ht="12.95" customHeight="1">
      <c r="B299" s="3" t="s">
        <v>88</v>
      </c>
      <c r="C299" s="3"/>
      <c r="D299" s="3"/>
      <c r="E299" s="3"/>
      <c r="F299" s="3"/>
      <c r="G299" s="3"/>
      <c r="H299" s="1467" t="s">
        <v>2663</v>
      </c>
      <c r="I299" s="1468"/>
      <c r="J299" s="1468"/>
      <c r="K299" s="1468"/>
      <c r="L299" s="1468"/>
      <c r="M299" s="1468"/>
      <c r="N299" s="4" t="s">
        <v>207</v>
      </c>
      <c r="O299" s="4"/>
      <c r="P299" s="1446">
        <v>105</v>
      </c>
      <c r="Q299" s="1446"/>
      <c r="R299" s="1446"/>
      <c r="S299" s="3"/>
      <c r="T299" s="3" t="s">
        <v>88</v>
      </c>
      <c r="V299" s="3"/>
      <c r="W299" s="3"/>
      <c r="X299" s="3"/>
      <c r="Y299" s="3"/>
      <c r="AA299" s="1468"/>
      <c r="AB299" s="1468"/>
      <c r="AC299" s="1468"/>
      <c r="AD299" s="1468"/>
      <c r="AE299" s="1468"/>
      <c r="AF299" s="1468"/>
      <c r="AG299" s="4" t="s">
        <v>207</v>
      </c>
      <c r="AH299" s="4"/>
      <c r="AI299" s="1446"/>
      <c r="AJ299" s="1446"/>
      <c r="AK299" s="1446"/>
      <c r="BN299" s="34"/>
    </row>
    <row r="300" spans="2:66" ht="12.95" customHeight="1">
      <c r="B300" s="3" t="s">
        <v>89</v>
      </c>
      <c r="C300" s="3"/>
      <c r="D300" s="3"/>
      <c r="E300" s="3"/>
      <c r="F300" s="3"/>
      <c r="G300" s="3"/>
      <c r="H300" s="1464"/>
      <c r="I300" s="1464"/>
      <c r="J300" s="1464"/>
      <c r="K300" s="1464"/>
      <c r="L300" s="1464"/>
      <c r="M300" s="1464"/>
      <c r="N300" s="4"/>
      <c r="O300" s="4"/>
      <c r="P300" s="35"/>
      <c r="Q300" s="35"/>
      <c r="R300" s="35"/>
      <c r="S300" s="3"/>
      <c r="T300" s="3" t="s">
        <v>89</v>
      </c>
      <c r="V300" s="3"/>
      <c r="W300" s="3"/>
      <c r="X300" s="3"/>
      <c r="Y300" s="3"/>
      <c r="AA300" s="1464"/>
      <c r="AB300" s="1464"/>
      <c r="AC300" s="1464"/>
      <c r="AD300" s="1464"/>
      <c r="AE300" s="1464"/>
      <c r="AF300" s="1464"/>
      <c r="AG300" s="4"/>
      <c r="AH300" s="4"/>
      <c r="AI300" s="35"/>
      <c r="AJ300" s="35"/>
      <c r="AK300" s="35"/>
      <c r="BN300" s="34"/>
    </row>
    <row r="301" spans="2:66" ht="12.95" customHeight="1">
      <c r="B301" s="3" t="s">
        <v>76</v>
      </c>
      <c r="C301" s="3"/>
      <c r="D301" s="3"/>
      <c r="E301" s="3"/>
      <c r="F301" s="3"/>
      <c r="G301" s="3"/>
      <c r="H301" s="1489" t="s">
        <v>2664</v>
      </c>
      <c r="I301" s="1405"/>
      <c r="J301" s="1405"/>
      <c r="K301" s="1405"/>
      <c r="L301" s="1405"/>
      <c r="M301" s="1405"/>
      <c r="N301" s="1404"/>
      <c r="O301" s="1404"/>
      <c r="P301" s="1404"/>
      <c r="Q301" s="1404"/>
      <c r="R301" s="1404"/>
      <c r="S301" s="3"/>
      <c r="T301" s="3" t="s">
        <v>76</v>
      </c>
      <c r="V301" s="3"/>
      <c r="W301" s="3"/>
      <c r="X301" s="3"/>
      <c r="Y301" s="3"/>
      <c r="AA301" s="1405"/>
      <c r="AB301" s="1405"/>
      <c r="AC301" s="1405"/>
      <c r="AD301" s="1405"/>
      <c r="AE301" s="1405"/>
      <c r="AF301" s="1405"/>
      <c r="AG301" s="1404"/>
      <c r="AH301" s="1404"/>
      <c r="AI301" s="1404"/>
      <c r="AJ301" s="1404"/>
      <c r="AK301" s="1404"/>
      <c r="BN301" s="34"/>
    </row>
    <row r="302" spans="2:66" ht="12.95" customHeight="1">
      <c r="BN302" s="34"/>
    </row>
    <row r="303" spans="2:66" ht="12.95" customHeight="1">
      <c r="B303" s="3" t="s">
        <v>77</v>
      </c>
      <c r="C303" s="3"/>
      <c r="D303" s="3"/>
      <c r="E303" s="3"/>
      <c r="F303" s="3"/>
      <c r="H303" s="1445" t="s">
        <v>2665</v>
      </c>
      <c r="I303" s="1404"/>
      <c r="J303" s="1404"/>
      <c r="K303" s="1404"/>
      <c r="L303" s="1404"/>
      <c r="M303" s="1404"/>
      <c r="N303" s="1404"/>
      <c r="O303" s="1404"/>
      <c r="P303" s="1404"/>
      <c r="Q303" s="1404"/>
      <c r="R303" s="1404"/>
      <c r="T303" s="4" t="s">
        <v>891</v>
      </c>
      <c r="V303" s="3"/>
      <c r="W303" s="3"/>
      <c r="X303" s="3"/>
      <c r="Y303" s="3"/>
      <c r="AA303" s="1817" t="s">
        <v>2666</v>
      </c>
      <c r="AB303" s="1818"/>
      <c r="AC303" s="1818"/>
      <c r="AD303" s="1818"/>
      <c r="AE303" s="1818"/>
      <c r="AF303" s="1818"/>
      <c r="AG303" s="1818"/>
      <c r="AH303" s="1818"/>
      <c r="AI303" s="1818"/>
      <c r="AJ303" s="1818"/>
      <c r="AK303" s="1818"/>
      <c r="BN303" s="34"/>
    </row>
    <row r="304" spans="2:66" ht="12.95" customHeight="1">
      <c r="B304" s="3" t="s">
        <v>480</v>
      </c>
      <c r="C304" s="3"/>
      <c r="D304" s="3"/>
      <c r="E304" s="3"/>
      <c r="F304" s="3"/>
      <c r="H304" s="1405" t="s">
        <v>2697</v>
      </c>
      <c r="I304" s="1405"/>
      <c r="J304" s="1405"/>
      <c r="K304" s="1405"/>
      <c r="L304" s="1405"/>
      <c r="M304" s="1405"/>
      <c r="N304" s="1405"/>
      <c r="O304" s="1405"/>
      <c r="P304" s="1405"/>
      <c r="Q304" s="1405"/>
      <c r="R304" s="1405"/>
      <c r="T304" s="3" t="s">
        <v>480</v>
      </c>
      <c r="V304" s="3"/>
      <c r="W304" s="3"/>
      <c r="X304" s="3"/>
      <c r="Y304" s="3"/>
      <c r="AA304" s="1489" t="s">
        <v>2667</v>
      </c>
      <c r="AB304" s="1405"/>
      <c r="AC304" s="1405"/>
      <c r="AD304" s="1405"/>
      <c r="AE304" s="1405"/>
      <c r="AF304" s="1405"/>
      <c r="AG304" s="1405"/>
      <c r="AH304" s="1405"/>
      <c r="AI304" s="1405"/>
      <c r="AJ304" s="1405"/>
      <c r="AK304" s="1405"/>
      <c r="BN304" s="34"/>
    </row>
    <row r="305" spans="2:66" ht="12.95" customHeight="1">
      <c r="B305" s="3" t="s">
        <v>481</v>
      </c>
      <c r="C305" s="3"/>
      <c r="D305" s="3"/>
      <c r="E305" s="3"/>
      <c r="F305" s="3"/>
      <c r="H305" s="1405" t="s">
        <v>2698</v>
      </c>
      <c r="I305" s="1405"/>
      <c r="J305" s="1405"/>
      <c r="K305" s="1405"/>
      <c r="L305" s="1405"/>
      <c r="M305" s="1405"/>
      <c r="N305" s="1405"/>
      <c r="O305" s="1405"/>
      <c r="P305" s="1405"/>
      <c r="Q305" s="1405"/>
      <c r="R305" s="1405"/>
      <c r="T305" s="3" t="s">
        <v>75</v>
      </c>
      <c r="V305" s="3"/>
      <c r="W305" s="3"/>
      <c r="X305" s="3"/>
      <c r="Y305" s="3"/>
      <c r="AA305" s="1489" t="s">
        <v>2668</v>
      </c>
      <c r="AB305" s="1405"/>
      <c r="AC305" s="1405"/>
      <c r="AD305" s="1405"/>
      <c r="AE305" s="1405"/>
      <c r="AF305" s="1405"/>
      <c r="AG305" s="1405"/>
      <c r="AH305" s="1405"/>
      <c r="AI305" s="1405"/>
      <c r="AJ305" s="1405"/>
      <c r="AK305" s="1405"/>
      <c r="BN305" s="34"/>
    </row>
    <row r="306" spans="2:66" ht="12.95" customHeight="1">
      <c r="B306" s="3" t="s">
        <v>87</v>
      </c>
      <c r="C306" s="3"/>
      <c r="D306" s="3"/>
      <c r="E306" s="3"/>
      <c r="F306" s="3"/>
      <c r="H306" s="1405" t="s">
        <v>2699</v>
      </c>
      <c r="I306" s="1405"/>
      <c r="J306" s="1405"/>
      <c r="K306" s="1405"/>
      <c r="L306" s="1405"/>
      <c r="M306" s="1405"/>
      <c r="N306" s="1405"/>
      <c r="O306" s="1405"/>
      <c r="P306" s="1405"/>
      <c r="Q306" s="1405"/>
      <c r="R306" s="1405"/>
      <c r="T306" s="3" t="s">
        <v>87</v>
      </c>
      <c r="V306" s="3"/>
      <c r="W306" s="3"/>
      <c r="X306" s="3"/>
      <c r="Y306" s="3"/>
      <c r="AA306" s="1489" t="s">
        <v>2669</v>
      </c>
      <c r="AB306" s="1405"/>
      <c r="AC306" s="1405"/>
      <c r="AD306" s="1405"/>
      <c r="AE306" s="1405"/>
      <c r="AF306" s="1405"/>
      <c r="AG306" s="1405"/>
      <c r="AH306" s="1405"/>
      <c r="AI306" s="1405"/>
      <c r="AJ306" s="1405"/>
      <c r="AK306" s="1405"/>
      <c r="BN306" s="34"/>
    </row>
    <row r="307" spans="2:66" ht="12.95" customHeight="1">
      <c r="B307" s="3" t="s">
        <v>88</v>
      </c>
      <c r="C307" s="3"/>
      <c r="D307" s="3"/>
      <c r="E307" s="3"/>
      <c r="F307" s="3"/>
      <c r="G307" s="3"/>
      <c r="H307" s="1467" t="s">
        <v>2703</v>
      </c>
      <c r="I307" s="1468"/>
      <c r="J307" s="1468"/>
      <c r="K307" s="1468"/>
      <c r="L307" s="1468"/>
      <c r="M307" s="1468"/>
      <c r="N307" s="4" t="s">
        <v>207</v>
      </c>
      <c r="O307" s="4"/>
      <c r="P307" s="1446"/>
      <c r="Q307" s="1446"/>
      <c r="R307" s="1446"/>
      <c r="S307" s="3"/>
      <c r="T307" s="3" t="s">
        <v>88</v>
      </c>
      <c r="V307" s="3"/>
      <c r="W307" s="3"/>
      <c r="X307" s="3"/>
      <c r="Y307" s="3"/>
      <c r="AA307" s="1467" t="s">
        <v>2670</v>
      </c>
      <c r="AB307" s="1468"/>
      <c r="AC307" s="1468"/>
      <c r="AD307" s="1468"/>
      <c r="AE307" s="1468"/>
      <c r="AF307" s="1468"/>
      <c r="AG307" s="4" t="s">
        <v>207</v>
      </c>
      <c r="AH307" s="4"/>
      <c r="AI307" s="1446"/>
      <c r="AJ307" s="1446"/>
      <c r="AK307" s="1446"/>
      <c r="BN307" s="34"/>
    </row>
    <row r="308" spans="2:66" ht="12.95" customHeight="1">
      <c r="B308" s="3" t="s">
        <v>89</v>
      </c>
      <c r="C308" s="3"/>
      <c r="D308" s="3"/>
      <c r="E308" s="3"/>
      <c r="F308" s="3"/>
      <c r="G308" s="3"/>
      <c r="H308" s="1464"/>
      <c r="I308" s="1464"/>
      <c r="J308" s="1464"/>
      <c r="K308" s="1464"/>
      <c r="L308" s="1464"/>
      <c r="M308" s="1464"/>
      <c r="N308" s="4"/>
      <c r="O308" s="4"/>
      <c r="P308" s="35"/>
      <c r="Q308" s="35"/>
      <c r="R308" s="35"/>
      <c r="S308" s="3"/>
      <c r="T308" s="3" t="s">
        <v>89</v>
      </c>
      <c r="V308" s="3"/>
      <c r="W308" s="3"/>
      <c r="X308" s="3"/>
      <c r="Y308" s="3"/>
      <c r="AA308" s="1464"/>
      <c r="AB308" s="1464"/>
      <c r="AC308" s="1464"/>
      <c r="AD308" s="1464"/>
      <c r="AE308" s="1464"/>
      <c r="AF308" s="1464"/>
      <c r="AG308" s="4"/>
      <c r="AH308" s="4"/>
      <c r="AI308" s="35"/>
      <c r="AJ308" s="35"/>
      <c r="AK308" s="35"/>
      <c r="BN308" s="34"/>
    </row>
    <row r="309" spans="2:66" ht="12.95" customHeight="1">
      <c r="B309" s="3" t="s">
        <v>76</v>
      </c>
      <c r="C309" s="3"/>
      <c r="D309" s="3"/>
      <c r="E309" s="3"/>
      <c r="F309" s="3"/>
      <c r="G309" s="3"/>
      <c r="H309" s="1405" t="s">
        <v>2700</v>
      </c>
      <c r="I309" s="1405"/>
      <c r="J309" s="1405"/>
      <c r="K309" s="1405"/>
      <c r="L309" s="1405"/>
      <c r="M309" s="1405"/>
      <c r="N309" s="1404"/>
      <c r="O309" s="1404"/>
      <c r="P309" s="1404"/>
      <c r="Q309" s="1404"/>
      <c r="R309" s="1404"/>
      <c r="S309" s="3"/>
      <c r="T309" s="3" t="s">
        <v>76</v>
      </c>
      <c r="V309" s="3"/>
      <c r="W309" s="3"/>
      <c r="X309" s="3"/>
      <c r="Y309" s="3"/>
      <c r="AA309" s="1405"/>
      <c r="AB309" s="1405"/>
      <c r="AC309" s="1405"/>
      <c r="AD309" s="1405"/>
      <c r="AE309" s="1405"/>
      <c r="AF309" s="1405"/>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04" t="s">
        <v>2665</v>
      </c>
      <c r="I311" s="1404"/>
      <c r="J311" s="1404"/>
      <c r="K311" s="1404"/>
      <c r="L311" s="1404"/>
      <c r="M311" s="1404"/>
      <c r="N311" s="1404"/>
      <c r="O311" s="1404"/>
      <c r="P311" s="1404"/>
      <c r="Q311" s="1404"/>
      <c r="R311" s="1404"/>
      <c r="S311" s="3"/>
      <c r="T311" s="3" t="s">
        <v>366</v>
      </c>
      <c r="V311" s="3"/>
      <c r="W311" s="3"/>
      <c r="X311" s="3"/>
      <c r="Y311" s="3"/>
      <c r="AA311" s="1404" t="s">
        <v>2704</v>
      </c>
      <c r="AB311" s="1404"/>
      <c r="AC311" s="1404"/>
      <c r="AD311" s="1404"/>
      <c r="AE311" s="1404"/>
      <c r="AF311" s="1404"/>
      <c r="AG311" s="1404"/>
      <c r="AH311" s="1404"/>
      <c r="AI311" s="1404"/>
      <c r="AJ311" s="1404"/>
      <c r="AK311" s="1404"/>
      <c r="BN311" s="34"/>
    </row>
    <row r="312" spans="2:66" ht="12.95" customHeight="1">
      <c r="B312" s="3" t="s">
        <v>480</v>
      </c>
      <c r="C312" s="3"/>
      <c r="D312" s="3"/>
      <c r="E312" s="3"/>
      <c r="F312" s="3"/>
      <c r="H312" s="1405" t="s">
        <v>2697</v>
      </c>
      <c r="I312" s="1405"/>
      <c r="J312" s="1405"/>
      <c r="K312" s="1405"/>
      <c r="L312" s="1405"/>
      <c r="M312" s="1405"/>
      <c r="N312" s="1405"/>
      <c r="O312" s="1405"/>
      <c r="P312" s="1405"/>
      <c r="Q312" s="1405"/>
      <c r="R312" s="1405"/>
      <c r="S312" s="3"/>
      <c r="T312" s="3" t="s">
        <v>480</v>
      </c>
      <c r="V312" s="3"/>
      <c r="W312" s="3"/>
      <c r="X312" s="3"/>
      <c r="Y312" s="3"/>
      <c r="AA312" s="1405" t="s">
        <v>2686</v>
      </c>
      <c r="AB312" s="1405"/>
      <c r="AC312" s="1405"/>
      <c r="AD312" s="1405"/>
      <c r="AE312" s="1405"/>
      <c r="AF312" s="1405"/>
      <c r="AG312" s="1405"/>
      <c r="AH312" s="1405"/>
      <c r="AI312" s="1405"/>
      <c r="AJ312" s="1405"/>
      <c r="AK312" s="1405"/>
      <c r="BN312" s="34"/>
    </row>
    <row r="313" spans="2:66" ht="12.95" customHeight="1">
      <c r="B313" s="3" t="s">
        <v>481</v>
      </c>
      <c r="C313" s="3"/>
      <c r="D313" s="3"/>
      <c r="E313" s="3"/>
      <c r="F313" s="3"/>
      <c r="H313" s="1405" t="s">
        <v>2701</v>
      </c>
      <c r="I313" s="1405"/>
      <c r="J313" s="1405"/>
      <c r="K313" s="1405"/>
      <c r="L313" s="1405"/>
      <c r="M313" s="1405"/>
      <c r="N313" s="1405"/>
      <c r="O313" s="1405"/>
      <c r="P313" s="1405"/>
      <c r="Q313" s="1405"/>
      <c r="R313" s="1405"/>
      <c r="S313" s="3"/>
      <c r="T313" s="3" t="s">
        <v>75</v>
      </c>
      <c r="V313" s="3"/>
      <c r="W313" s="3"/>
      <c r="X313" s="3"/>
      <c r="Y313" s="3"/>
      <c r="AA313" s="1405" t="s">
        <v>2720</v>
      </c>
      <c r="AB313" s="1405"/>
      <c r="AC313" s="1405"/>
      <c r="AD313" s="1405"/>
      <c r="AE313" s="1405"/>
      <c r="AF313" s="1405"/>
      <c r="AG313" s="1405"/>
      <c r="AH313" s="1405"/>
      <c r="AI313" s="1405"/>
      <c r="AJ313" s="1405"/>
      <c r="AK313" s="1405"/>
      <c r="BN313" s="34"/>
    </row>
    <row r="314" spans="2:66" ht="12.95" customHeight="1">
      <c r="B314" s="3" t="s">
        <v>87</v>
      </c>
      <c r="C314" s="3"/>
      <c r="D314" s="3"/>
      <c r="E314" s="3"/>
      <c r="F314" s="3"/>
      <c r="H314" s="1405" t="s">
        <v>2699</v>
      </c>
      <c r="I314" s="1405"/>
      <c r="J314" s="1405"/>
      <c r="K314" s="1405"/>
      <c r="L314" s="1405"/>
      <c r="M314" s="1405"/>
      <c r="N314" s="1405"/>
      <c r="O314" s="1405"/>
      <c r="P314" s="1405"/>
      <c r="Q314" s="1405"/>
      <c r="R314" s="1405"/>
      <c r="S314" s="3"/>
      <c r="T314" s="3" t="s">
        <v>87</v>
      </c>
      <c r="V314" s="3"/>
      <c r="W314" s="3"/>
      <c r="X314" s="3"/>
      <c r="Y314" s="3"/>
      <c r="AA314" s="1405" t="s">
        <v>2688</v>
      </c>
      <c r="AB314" s="1405"/>
      <c r="AC314" s="1405"/>
      <c r="AD314" s="1405"/>
      <c r="AE314" s="1405"/>
      <c r="AF314" s="1405"/>
      <c r="AG314" s="1405"/>
      <c r="AH314" s="1405"/>
      <c r="AI314" s="1405"/>
      <c r="AJ314" s="1405"/>
      <c r="AK314" s="1405"/>
      <c r="BN314" s="34"/>
    </row>
    <row r="315" spans="2:66" ht="12.95" customHeight="1">
      <c r="B315" s="3" t="s">
        <v>88</v>
      </c>
      <c r="C315" s="3"/>
      <c r="D315" s="3"/>
      <c r="E315" s="3"/>
      <c r="F315" s="3"/>
      <c r="G315" s="3"/>
      <c r="H315" s="1467" t="s">
        <v>2703</v>
      </c>
      <c r="I315" s="1468"/>
      <c r="J315" s="1468"/>
      <c r="K315" s="1468"/>
      <c r="L315" s="1468"/>
      <c r="M315" s="1468"/>
      <c r="N315" s="4" t="s">
        <v>207</v>
      </c>
      <c r="O315" s="4"/>
      <c r="P315" s="1446"/>
      <c r="Q315" s="1446"/>
      <c r="R315" s="1446"/>
      <c r="S315" s="3"/>
      <c r="T315" s="3" t="s">
        <v>88</v>
      </c>
      <c r="V315" s="3"/>
      <c r="W315" s="3"/>
      <c r="X315" s="3"/>
      <c r="Y315" s="3"/>
      <c r="AA315" s="1467" t="s">
        <v>2689</v>
      </c>
      <c r="AB315" s="1468"/>
      <c r="AC315" s="1468"/>
      <c r="AD315" s="1468"/>
      <c r="AE315" s="1468"/>
      <c r="AF315" s="1468"/>
      <c r="AG315" s="4" t="s">
        <v>207</v>
      </c>
      <c r="AH315" s="4"/>
      <c r="AI315" s="1446"/>
      <c r="AJ315" s="1446"/>
      <c r="AK315" s="1446"/>
      <c r="BN315" s="34"/>
    </row>
    <row r="316" spans="2:66" ht="12.95" customHeight="1">
      <c r="B316" s="3" t="s">
        <v>89</v>
      </c>
      <c r="C316" s="3"/>
      <c r="D316" s="3"/>
      <c r="E316" s="3"/>
      <c r="F316" s="3"/>
      <c r="G316" s="3"/>
      <c r="H316" s="1464"/>
      <c r="I316" s="1464"/>
      <c r="J316" s="1464"/>
      <c r="K316" s="1464"/>
      <c r="L316" s="1464"/>
      <c r="M316" s="1464"/>
      <c r="N316" s="4"/>
      <c r="O316" s="4"/>
      <c r="P316" s="35"/>
      <c r="Q316" s="35"/>
      <c r="R316" s="35"/>
      <c r="S316" s="3"/>
      <c r="T316" s="3" t="s">
        <v>89</v>
      </c>
      <c r="V316" s="3"/>
      <c r="W316" s="3"/>
      <c r="X316" s="3"/>
      <c r="Y316" s="3"/>
      <c r="AA316" s="1464"/>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405" t="s">
        <v>2702</v>
      </c>
      <c r="I317" s="1405"/>
      <c r="J317" s="1405"/>
      <c r="K317" s="1405"/>
      <c r="L317" s="1405"/>
      <c r="M317" s="1405"/>
      <c r="N317" s="1404"/>
      <c r="O317" s="1404"/>
      <c r="P317" s="1404"/>
      <c r="Q317" s="1404"/>
      <c r="R317" s="1404"/>
      <c r="S317" s="3"/>
      <c r="T317" s="3" t="s">
        <v>76</v>
      </c>
      <c r="V317" s="3"/>
      <c r="W317" s="3"/>
      <c r="X317" s="3"/>
      <c r="Y317" s="3"/>
      <c r="AA317" s="1405" t="s">
        <v>2705</v>
      </c>
      <c r="AB317" s="1405"/>
      <c r="AC317" s="1405"/>
      <c r="AD317" s="1405"/>
      <c r="AE317" s="1405"/>
      <c r="AF317" s="1405"/>
      <c r="AG317" s="1404"/>
      <c r="AH317" s="1404"/>
      <c r="AI317" s="1404"/>
      <c r="AJ317" s="1404"/>
      <c r="AK317" s="1404"/>
      <c r="BN317" s="34"/>
    </row>
    <row r="318" spans="2:66" ht="12.95" customHeight="1">
      <c r="BN318" s="34"/>
    </row>
    <row r="319" spans="2:66" ht="12.95" customHeight="1">
      <c r="B319" s="4" t="s">
        <v>924</v>
      </c>
      <c r="C319" s="3"/>
      <c r="D319" s="3"/>
      <c r="E319" s="3"/>
      <c r="F319" s="3"/>
      <c r="H319" s="1404"/>
      <c r="I319" s="1404"/>
      <c r="J319" s="1404"/>
      <c r="K319" s="1404"/>
      <c r="L319" s="1404"/>
      <c r="M319" s="1404"/>
      <c r="N319" s="1404"/>
      <c r="O319" s="1404"/>
      <c r="P319" s="1404"/>
      <c r="Q319" s="1404"/>
      <c r="R319" s="1404"/>
      <c r="T319" s="3" t="s">
        <v>367</v>
      </c>
      <c r="V319" s="3"/>
      <c r="W319" s="3"/>
      <c r="X319" s="3"/>
      <c r="Y319" s="3"/>
      <c r="AA319" s="1404" t="s">
        <v>2713</v>
      </c>
      <c r="AB319" s="1404"/>
      <c r="AC319" s="1404"/>
      <c r="AD319" s="1404"/>
      <c r="AE319" s="1404"/>
      <c r="AF319" s="1404"/>
      <c r="AG319" s="1404"/>
      <c r="AH319" s="1404"/>
      <c r="AI319" s="1404"/>
      <c r="AJ319" s="1404"/>
      <c r="AK319" s="1404"/>
      <c r="BN319" s="34"/>
    </row>
    <row r="320" spans="2:66" ht="12.95" customHeight="1">
      <c r="B320" s="3" t="s">
        <v>480</v>
      </c>
      <c r="C320" s="3"/>
      <c r="D320" s="3"/>
      <c r="E320" s="3"/>
      <c r="F320" s="3"/>
      <c r="H320" s="1405"/>
      <c r="I320" s="1405"/>
      <c r="J320" s="1405"/>
      <c r="K320" s="1405"/>
      <c r="L320" s="1405"/>
      <c r="M320" s="1405"/>
      <c r="N320" s="1405"/>
      <c r="O320" s="1405"/>
      <c r="P320" s="1405"/>
      <c r="Q320" s="1405"/>
      <c r="R320" s="1405"/>
      <c r="T320" s="3" t="s">
        <v>480</v>
      </c>
      <c r="V320" s="3"/>
      <c r="W320" s="3"/>
      <c r="X320" s="3"/>
      <c r="Y320" s="3"/>
      <c r="AA320" s="1405" t="s">
        <v>2714</v>
      </c>
      <c r="AB320" s="1405"/>
      <c r="AC320" s="1405"/>
      <c r="AD320" s="1405"/>
      <c r="AE320" s="1405"/>
      <c r="AF320" s="1405"/>
      <c r="AG320" s="1405"/>
      <c r="AH320" s="1405"/>
      <c r="AI320" s="1405"/>
      <c r="AJ320" s="1405"/>
      <c r="AK320" s="1405"/>
      <c r="BN320" s="34"/>
    </row>
    <row r="321" spans="2:66" ht="12.95" customHeight="1">
      <c r="B321" s="3" t="s">
        <v>481</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2715</v>
      </c>
      <c r="AB321" s="1405"/>
      <c r="AC321" s="1405"/>
      <c r="AD321" s="1405"/>
      <c r="AE321" s="1405"/>
      <c r="AF321" s="1405"/>
      <c r="AG321" s="1405"/>
      <c r="AH321" s="1405"/>
      <c r="AI321" s="1405"/>
      <c r="AJ321" s="1405"/>
      <c r="AK321" s="1405"/>
      <c r="BN321" s="34"/>
    </row>
    <row r="322" spans="2:66" ht="12.95"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2709</v>
      </c>
      <c r="AB322" s="1405"/>
      <c r="AC322" s="1405"/>
      <c r="AD322" s="1405"/>
      <c r="AE322" s="1405"/>
      <c r="AF322" s="1405"/>
      <c r="AG322" s="1405"/>
      <c r="AH322" s="1405"/>
      <c r="AI322" s="1405"/>
      <c r="AJ322" s="1405"/>
      <c r="AK322" s="1405"/>
      <c r="BN322" s="34"/>
    </row>
    <row r="323" spans="2:66" ht="12.95" customHeight="1">
      <c r="B323" s="3" t="s">
        <v>88</v>
      </c>
      <c r="C323" s="3"/>
      <c r="D323" s="3"/>
      <c r="E323" s="3"/>
      <c r="F323" s="3"/>
      <c r="G323" s="3"/>
      <c r="H323" s="1468"/>
      <c r="I323" s="1468"/>
      <c r="J323" s="1468"/>
      <c r="K323" s="1468"/>
      <c r="L323" s="1468"/>
      <c r="M323" s="1468"/>
      <c r="N323" s="4" t="s">
        <v>207</v>
      </c>
      <c r="O323" s="4"/>
      <c r="P323" s="1446"/>
      <c r="Q323" s="1446"/>
      <c r="R323" s="1446"/>
      <c r="S323" s="3"/>
      <c r="T323" s="3" t="s">
        <v>88</v>
      </c>
      <c r="V323" s="3"/>
      <c r="W323" s="3"/>
      <c r="X323" s="3"/>
      <c r="Y323" s="3"/>
      <c r="AA323" s="1467" t="s">
        <v>2716</v>
      </c>
      <c r="AB323" s="1468"/>
      <c r="AC323" s="1468"/>
      <c r="AD323" s="1468"/>
      <c r="AE323" s="1468"/>
      <c r="AF323" s="1468"/>
      <c r="AG323" s="4" t="s">
        <v>207</v>
      </c>
      <c r="AH323" s="4"/>
      <c r="AI323" s="1446"/>
      <c r="AJ323" s="1446"/>
      <c r="AK323" s="1446"/>
    </row>
    <row r="324" spans="2:66" ht="12.9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64"/>
      <c r="AB324" s="1464"/>
      <c r="AC324" s="1464"/>
      <c r="AD324" s="1464"/>
      <c r="AE324" s="1464"/>
      <c r="AF324" s="1464"/>
      <c r="AG324" s="4"/>
      <c r="AH324" s="4"/>
      <c r="AI324" s="35"/>
      <c r="AJ324" s="35"/>
      <c r="AK324" s="35"/>
    </row>
    <row r="325" spans="2:66" ht="12.95"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405" t="s">
        <v>2711</v>
      </c>
      <c r="AB325" s="1405"/>
      <c r="AC325" s="1405"/>
      <c r="AD325" s="1405"/>
      <c r="AE325" s="1405"/>
      <c r="AF325" s="1405"/>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04" t="s">
        <v>2706</v>
      </c>
      <c r="I327" s="1404"/>
      <c r="J327" s="1404"/>
      <c r="K327" s="1404"/>
      <c r="L327" s="1404"/>
      <c r="M327" s="1404"/>
      <c r="N327" s="1404"/>
      <c r="O327" s="1404"/>
      <c r="P327" s="1404"/>
      <c r="Q327" s="1404"/>
      <c r="R327" s="1404"/>
      <c r="T327" s="3" t="s">
        <v>369</v>
      </c>
      <c r="V327" s="3"/>
      <c r="W327" s="3"/>
      <c r="X327" s="3"/>
      <c r="Y327" s="3"/>
      <c r="AA327" s="1404"/>
      <c r="AB327" s="1404"/>
      <c r="AC327" s="1404"/>
      <c r="AD327" s="1404"/>
      <c r="AE327" s="1404"/>
      <c r="AF327" s="1404"/>
      <c r="AG327" s="1404"/>
      <c r="AH327" s="1404"/>
      <c r="AI327" s="1404"/>
      <c r="AJ327" s="1404"/>
      <c r="AK327" s="1404"/>
    </row>
    <row r="328" spans="2:66" ht="12.95" customHeight="1">
      <c r="B328" s="3" t="s">
        <v>480</v>
      </c>
      <c r="C328" s="3"/>
      <c r="D328" s="3"/>
      <c r="E328" s="3"/>
      <c r="F328" s="3"/>
      <c r="H328" s="1405" t="s">
        <v>2707</v>
      </c>
      <c r="I328" s="1405"/>
      <c r="J328" s="1405"/>
      <c r="K328" s="1405"/>
      <c r="L328" s="1405"/>
      <c r="M328" s="1405"/>
      <c r="N328" s="1405"/>
      <c r="O328" s="1405"/>
      <c r="P328" s="1405"/>
      <c r="Q328" s="1405"/>
      <c r="R328" s="1405"/>
      <c r="T328" s="3" t="s">
        <v>480</v>
      </c>
      <c r="V328" s="3"/>
      <c r="W328" s="3"/>
      <c r="X328" s="3"/>
      <c r="Y328" s="3"/>
      <c r="AA328" s="1405"/>
      <c r="AB328" s="1405"/>
      <c r="AC328" s="1405"/>
      <c r="AD328" s="1405"/>
      <c r="AE328" s="1405"/>
      <c r="AF328" s="1405"/>
      <c r="AG328" s="1405"/>
      <c r="AH328" s="1405"/>
      <c r="AI328" s="1405"/>
      <c r="AJ328" s="1405"/>
      <c r="AK328" s="1405"/>
    </row>
    <row r="329" spans="2:66" ht="12.95" customHeight="1">
      <c r="B329" s="3" t="s">
        <v>481</v>
      </c>
      <c r="C329" s="3"/>
      <c r="D329" s="3"/>
      <c r="E329" s="3"/>
      <c r="F329" s="3"/>
      <c r="H329" s="1405" t="s">
        <v>2708</v>
      </c>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5" customHeight="1">
      <c r="B330" s="3" t="s">
        <v>87</v>
      </c>
      <c r="C330" s="3"/>
      <c r="D330" s="3"/>
      <c r="E330" s="3"/>
      <c r="F330" s="3"/>
      <c r="H330" s="1405" t="s">
        <v>2709</v>
      </c>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5" customHeight="1">
      <c r="B331" s="3" t="s">
        <v>88</v>
      </c>
      <c r="C331" s="3"/>
      <c r="D331" s="3"/>
      <c r="E331" s="3"/>
      <c r="F331" s="3"/>
      <c r="G331" s="3"/>
      <c r="H331" s="1467" t="s">
        <v>2710</v>
      </c>
      <c r="I331" s="1468"/>
      <c r="J331" s="1468"/>
      <c r="K331" s="1468"/>
      <c r="L331" s="1468"/>
      <c r="M331" s="1468"/>
      <c r="N331" s="4" t="s">
        <v>207</v>
      </c>
      <c r="O331" s="4"/>
      <c r="P331" s="1446"/>
      <c r="Q331" s="1446"/>
      <c r="R331" s="1446"/>
      <c r="S331" s="3"/>
      <c r="T331" s="3" t="s">
        <v>88</v>
      </c>
      <c r="V331" s="3"/>
      <c r="W331" s="3"/>
      <c r="X331" s="3"/>
      <c r="Y331" s="3"/>
      <c r="AA331" s="1468"/>
      <c r="AB331" s="1468"/>
      <c r="AC331" s="1468"/>
      <c r="AD331" s="1468"/>
      <c r="AE331" s="1468"/>
      <c r="AF331" s="1468"/>
      <c r="AG331" s="4" t="s">
        <v>207</v>
      </c>
      <c r="AH331" s="4"/>
      <c r="AI331" s="1446"/>
      <c r="AJ331" s="1446"/>
      <c r="AK331" s="1446"/>
    </row>
    <row r="332" spans="2:66" ht="12.9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2.95" customHeight="1">
      <c r="B333" s="3" t="s">
        <v>76</v>
      </c>
      <c r="C333" s="3"/>
      <c r="D333" s="3"/>
      <c r="E333" s="3"/>
      <c r="F333" s="3"/>
      <c r="G333" s="3"/>
      <c r="H333" s="1405" t="s">
        <v>2711</v>
      </c>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04" t="s">
        <v>2655</v>
      </c>
      <c r="I335" s="1404"/>
      <c r="J335" s="1404"/>
      <c r="K335" s="1404"/>
      <c r="L335" s="1404"/>
      <c r="M335" s="1404"/>
      <c r="N335" s="1404"/>
      <c r="O335" s="1404"/>
      <c r="P335" s="1404"/>
      <c r="Q335" s="1404"/>
      <c r="R335" s="1404"/>
      <c r="T335" s="218" t="s">
        <v>900</v>
      </c>
      <c r="V335" s="3"/>
      <c r="W335" s="3"/>
      <c r="X335" s="3"/>
      <c r="Y335" s="3"/>
      <c r="AA335" s="1404" t="s">
        <v>2655</v>
      </c>
      <c r="AB335" s="1404"/>
      <c r="AC335" s="1404"/>
      <c r="AD335" s="1404"/>
      <c r="AE335" s="1404"/>
      <c r="AF335" s="1404"/>
      <c r="AG335" s="1404"/>
      <c r="AH335" s="1404"/>
      <c r="AI335" s="1404"/>
      <c r="AJ335" s="1404"/>
      <c r="AK335" s="1404"/>
    </row>
    <row r="336" spans="2:66" ht="12.95" customHeight="1">
      <c r="B336" s="3" t="s">
        <v>480</v>
      </c>
      <c r="C336" s="3"/>
      <c r="D336" s="3"/>
      <c r="E336" s="3"/>
      <c r="F336" s="3"/>
      <c r="H336" s="1405" t="s">
        <v>2642</v>
      </c>
      <c r="I336" s="1405"/>
      <c r="J336" s="1405"/>
      <c r="K336" s="1405"/>
      <c r="L336" s="1405"/>
      <c r="M336" s="1405"/>
      <c r="N336" s="1405"/>
      <c r="O336" s="1405"/>
      <c r="P336" s="1405"/>
      <c r="Q336" s="1405"/>
      <c r="R336" s="1405"/>
      <c r="T336" s="3" t="s">
        <v>480</v>
      </c>
      <c r="V336" s="3"/>
      <c r="W336" s="3"/>
      <c r="X336" s="3"/>
      <c r="Y336" s="3"/>
      <c r="AA336" s="1405" t="s">
        <v>2642</v>
      </c>
      <c r="AB336" s="1405"/>
      <c r="AC336" s="1405"/>
      <c r="AD336" s="1405"/>
      <c r="AE336" s="1405"/>
      <c r="AF336" s="1405"/>
      <c r="AG336" s="1405"/>
      <c r="AH336" s="1405"/>
      <c r="AI336" s="1405"/>
      <c r="AJ336" s="1405"/>
      <c r="AK336" s="1405"/>
    </row>
    <row r="337" spans="1:66" ht="12.95" customHeight="1">
      <c r="B337" s="3" t="s">
        <v>75</v>
      </c>
      <c r="C337" s="3"/>
      <c r="D337" s="3"/>
      <c r="E337" s="3"/>
      <c r="F337" s="3"/>
      <c r="H337" s="1405" t="s">
        <v>2656</v>
      </c>
      <c r="I337" s="1405"/>
      <c r="J337" s="1405"/>
      <c r="K337" s="1405"/>
      <c r="L337" s="1405"/>
      <c r="M337" s="1405"/>
      <c r="N337" s="1405"/>
      <c r="O337" s="1405"/>
      <c r="P337" s="1405"/>
      <c r="Q337" s="1405"/>
      <c r="R337" s="1405"/>
      <c r="T337" s="3" t="s">
        <v>75</v>
      </c>
      <c r="V337" s="3"/>
      <c r="W337" s="3"/>
      <c r="X337" s="3"/>
      <c r="Y337" s="3"/>
      <c r="AA337" s="1405" t="s">
        <v>2656</v>
      </c>
      <c r="AB337" s="1405"/>
      <c r="AC337" s="1405"/>
      <c r="AD337" s="1405"/>
      <c r="AE337" s="1405"/>
      <c r="AF337" s="1405"/>
      <c r="AG337" s="1405"/>
      <c r="AH337" s="1405"/>
      <c r="AI337" s="1405"/>
      <c r="AJ337" s="1405"/>
      <c r="AK337" s="1405"/>
    </row>
    <row r="338" spans="1:66" ht="12.95" customHeight="1">
      <c r="B338" s="3" t="s">
        <v>87</v>
      </c>
      <c r="C338" s="3"/>
      <c r="D338" s="3"/>
      <c r="E338" s="3"/>
      <c r="F338" s="3"/>
      <c r="G338" s="3"/>
      <c r="H338" s="1405" t="s">
        <v>2649</v>
      </c>
      <c r="I338" s="1405"/>
      <c r="J338" s="1405"/>
      <c r="K338" s="1405"/>
      <c r="L338" s="1405"/>
      <c r="M338" s="1405"/>
      <c r="N338" s="1405"/>
      <c r="O338" s="1405"/>
      <c r="P338" s="1405"/>
      <c r="Q338" s="1405"/>
      <c r="R338" s="1405"/>
      <c r="T338" s="3" t="s">
        <v>87</v>
      </c>
      <c r="V338" s="3"/>
      <c r="W338" s="3"/>
      <c r="X338" s="3"/>
      <c r="Y338" s="3"/>
      <c r="AA338" s="1405" t="s">
        <v>2712</v>
      </c>
      <c r="AB338" s="1405"/>
      <c r="AC338" s="1405"/>
      <c r="AD338" s="1405"/>
      <c r="AE338" s="1405"/>
      <c r="AF338" s="1405"/>
      <c r="AG338" s="1405"/>
      <c r="AH338" s="1405"/>
      <c r="AI338" s="1405"/>
      <c r="AJ338" s="1405"/>
      <c r="AK338" s="1405"/>
    </row>
    <row r="339" spans="1:66" ht="12.95" customHeight="1">
      <c r="B339" s="3" t="s">
        <v>88</v>
      </c>
      <c r="C339" s="3"/>
      <c r="D339" s="3"/>
      <c r="E339" s="3"/>
      <c r="F339" s="3"/>
      <c r="G339" s="3"/>
      <c r="H339" s="1467" t="s">
        <v>2650</v>
      </c>
      <c r="I339" s="1468"/>
      <c r="J339" s="1468"/>
      <c r="K339" s="1468"/>
      <c r="L339" s="1468"/>
      <c r="M339" s="1468"/>
      <c r="N339" s="4" t="s">
        <v>207</v>
      </c>
      <c r="O339" s="4"/>
      <c r="P339" s="1446"/>
      <c r="Q339" s="1446"/>
      <c r="R339" s="1446"/>
      <c r="S339" s="3"/>
      <c r="T339" s="3" t="s">
        <v>88</v>
      </c>
      <c r="V339" s="3"/>
      <c r="W339" s="3"/>
      <c r="X339" s="3"/>
      <c r="Y339" s="3"/>
      <c r="AA339" s="1467" t="s">
        <v>2650</v>
      </c>
      <c r="AB339" s="1468"/>
      <c r="AC339" s="1468"/>
      <c r="AD339" s="1468"/>
      <c r="AE339" s="1468"/>
      <c r="AF339" s="1468"/>
      <c r="AG339" s="4" t="s">
        <v>207</v>
      </c>
      <c r="AH339" s="4"/>
      <c r="AI339" s="1446"/>
      <c r="AJ339" s="1446"/>
      <c r="AK339" s="1446"/>
    </row>
    <row r="340" spans="1:66" ht="12.95" customHeight="1">
      <c r="B340" s="3" t="s">
        <v>89</v>
      </c>
      <c r="C340" s="3"/>
      <c r="D340" s="3"/>
      <c r="E340" s="3"/>
      <c r="F340" s="3"/>
      <c r="G340" s="3"/>
      <c r="H340" s="1464"/>
      <c r="I340" s="1464"/>
      <c r="J340" s="1464"/>
      <c r="K340" s="1464"/>
      <c r="L340" s="1464"/>
      <c r="M340" s="1464"/>
      <c r="N340" s="4"/>
      <c r="O340" s="4"/>
      <c r="P340" s="35"/>
      <c r="Q340" s="35"/>
      <c r="R340" s="35"/>
      <c r="S340" s="3"/>
      <c r="T340" s="3" t="s">
        <v>89</v>
      </c>
      <c r="V340" s="3"/>
      <c r="W340" s="3"/>
      <c r="X340" s="3"/>
      <c r="Y340" s="3"/>
      <c r="AA340" s="1464"/>
      <c r="AB340" s="1464"/>
      <c r="AC340" s="1464"/>
      <c r="AD340" s="1464"/>
      <c r="AE340" s="1464"/>
      <c r="AF340" s="1464"/>
      <c r="AG340" s="4"/>
      <c r="AH340" s="4"/>
      <c r="AI340" s="35"/>
      <c r="AJ340" s="35"/>
      <c r="AK340" s="35"/>
    </row>
    <row r="341" spans="1:66" ht="12.95" customHeight="1">
      <c r="B341" s="3" t="s">
        <v>76</v>
      </c>
      <c r="C341" s="3"/>
      <c r="D341" s="3"/>
      <c r="E341" s="3"/>
      <c r="F341" s="3"/>
      <c r="G341" s="3"/>
      <c r="H341" s="1405" t="s">
        <v>2651</v>
      </c>
      <c r="I341" s="1405"/>
      <c r="J341" s="1405"/>
      <c r="K341" s="1405"/>
      <c r="L341" s="1405"/>
      <c r="M341" s="1405"/>
      <c r="N341" s="1404"/>
      <c r="O341" s="1404"/>
      <c r="P341" s="1404"/>
      <c r="Q341" s="1404"/>
      <c r="R341" s="1404"/>
      <c r="S341" s="3"/>
      <c r="T341" s="3" t="s">
        <v>76</v>
      </c>
      <c r="V341" s="3"/>
      <c r="W341" s="3"/>
      <c r="X341" s="3"/>
      <c r="Y341" s="3"/>
      <c r="AA341" s="1405" t="s">
        <v>2651</v>
      </c>
      <c r="AB341" s="1405"/>
      <c r="AC341" s="1405"/>
      <c r="AD341" s="1405"/>
      <c r="AE341" s="1405"/>
      <c r="AF341" s="1405"/>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5" t="s">
        <v>600</v>
      </c>
      <c r="Q343" s="1404"/>
      <c r="R343" s="1404"/>
      <c r="S343" s="1404"/>
      <c r="T343" s="1404"/>
      <c r="U343" s="1404"/>
      <c r="V343" s="1404"/>
      <c r="W343" s="1404"/>
      <c r="X343" s="1404"/>
      <c r="Y343" s="1404"/>
      <c r="Z343" s="1404"/>
      <c r="AA343" s="1404"/>
      <c r="AB343" s="1404"/>
      <c r="AC343" s="1404"/>
      <c r="AD343" s="1404"/>
      <c r="AE343" s="1404"/>
      <c r="BN343" t="s">
        <v>678</v>
      </c>
    </row>
    <row r="344" spans="1:66" ht="12.95" customHeight="1">
      <c r="B344" s="4"/>
      <c r="C344" s="4"/>
      <c r="D344" s="4"/>
      <c r="E344" s="4"/>
      <c r="F344" s="4"/>
      <c r="I344" s="4" t="s">
        <v>480</v>
      </c>
      <c r="P344" s="1405"/>
      <c r="Q344" s="1405"/>
      <c r="R344" s="1405"/>
      <c r="S344" s="1405"/>
      <c r="T344" s="1405"/>
      <c r="U344" s="1405"/>
      <c r="V344" s="1405"/>
      <c r="W344" s="1405"/>
      <c r="X344" s="1405"/>
      <c r="Y344" s="1405"/>
      <c r="Z344" s="1405"/>
      <c r="AA344" s="1405"/>
      <c r="AB344" s="1405"/>
      <c r="AC344" s="1405"/>
      <c r="AD344" s="1405"/>
      <c r="AE344" s="1405"/>
      <c r="BN344" t="s">
        <v>554</v>
      </c>
    </row>
    <row r="345" spans="1:66" ht="12.9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5" t="s">
        <v>551</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2.9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03" t="s">
        <v>554</v>
      </c>
      <c r="N355" s="1403"/>
      <c r="P355" t="s">
        <v>1764</v>
      </c>
      <c r="AJ355" s="1403" t="s">
        <v>600</v>
      </c>
      <c r="AK355" s="1403"/>
    </row>
    <row r="356" spans="1:46" ht="12.95" customHeight="1">
      <c r="D356" s="3" t="s">
        <v>1753</v>
      </c>
      <c r="M356" s="1403" t="s">
        <v>600</v>
      </c>
      <c r="N356" s="1403"/>
      <c r="P356" s="3" t="s">
        <v>1910</v>
      </c>
      <c r="AJ356" s="1451">
        <v>0</v>
      </c>
      <c r="AK356" s="1451"/>
    </row>
    <row r="357" spans="1:46" ht="12.95" customHeight="1">
      <c r="D357" s="3" t="s">
        <v>714</v>
      </c>
      <c r="M357" s="1403" t="s">
        <v>600</v>
      </c>
      <c r="N357" s="1403"/>
      <c r="P357" t="s">
        <v>1763</v>
      </c>
      <c r="AJ357" s="1403" t="s">
        <v>600</v>
      </c>
      <c r="AK357" s="1403"/>
    </row>
    <row r="358" spans="1:46" ht="12.95" customHeight="1">
      <c r="D358" s="3" t="s">
        <v>715</v>
      </c>
      <c r="M358" s="1403" t="s">
        <v>600</v>
      </c>
      <c r="N358" s="140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3" t="s">
        <v>600</v>
      </c>
      <c r="O363" s="1403"/>
      <c r="P363" s="40"/>
      <c r="Q363" s="40"/>
      <c r="R363" s="40"/>
      <c r="S363" s="40"/>
      <c r="T363" s="40"/>
      <c r="U363" s="40"/>
      <c r="V363" s="40"/>
      <c r="W363" s="40"/>
      <c r="X363" s="40"/>
      <c r="Y363" s="40"/>
      <c r="Z363" s="40"/>
      <c r="AC363" s="40"/>
      <c r="AD363" s="40"/>
      <c r="AE363" s="40"/>
    </row>
    <row r="364" spans="1:46" ht="12.95" customHeight="1">
      <c r="E364" t="s">
        <v>371</v>
      </c>
      <c r="Y364" s="1403" t="s">
        <v>600</v>
      </c>
      <c r="Z364" s="1403"/>
    </row>
    <row r="365" spans="1:46" ht="12.95" customHeight="1">
      <c r="D365" s="4" t="s">
        <v>998</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3" t="s">
        <v>600</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4" t="s">
        <v>716</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5" customHeight="1">
      <c r="E370" s="4" t="s">
        <v>457</v>
      </c>
      <c r="F370" s="4"/>
      <c r="G370" s="4"/>
      <c r="H370" s="4"/>
      <c r="I370" s="4"/>
      <c r="J370" s="4"/>
      <c r="K370" s="4"/>
      <c r="L370" s="4"/>
      <c r="N370" s="1402"/>
      <c r="O370" s="1402"/>
      <c r="P370" s="1402"/>
      <c r="Q370" s="1402"/>
      <c r="R370" s="4"/>
      <c r="U370" s="4" t="s">
        <v>458</v>
      </c>
      <c r="V370" s="4"/>
      <c r="W370" s="4"/>
      <c r="X370" s="4"/>
      <c r="Y370" s="4"/>
      <c r="Z370" s="4"/>
      <c r="AA370" s="4"/>
      <c r="AB370" s="4"/>
      <c r="AC370" s="1402"/>
      <c r="AD370" s="1402"/>
      <c r="AE370" s="1402"/>
      <c r="AF370" s="1402"/>
    </row>
    <row r="371" spans="1:34" ht="12.95" customHeight="1">
      <c r="E371" s="4" t="s">
        <v>459</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3"/>
      <c r="O373" s="1853"/>
      <c r="P373" s="1853"/>
      <c r="Q373" s="1853"/>
      <c r="R373" s="1853"/>
      <c r="S373" s="1853"/>
      <c r="T373" s="1853"/>
      <c r="U373" s="1853"/>
      <c r="V373" s="1853"/>
      <c r="W373" s="1853"/>
      <c r="X373" s="1853"/>
      <c r="Y373" s="1853"/>
      <c r="Z373" s="1853"/>
      <c r="AA373" s="1853"/>
      <c r="AB373" s="1853"/>
      <c r="AC373" s="1853"/>
      <c r="AD373" s="1853"/>
      <c r="AE373" s="1853"/>
      <c r="AF373" s="1853"/>
    </row>
    <row r="374" spans="1:34" ht="12.95" customHeight="1">
      <c r="E374" s="4"/>
      <c r="F374" s="4"/>
      <c r="G374" s="4"/>
      <c r="H374" s="4"/>
      <c r="I374" s="4"/>
      <c r="J374" s="4"/>
      <c r="K374" s="4"/>
      <c r="L374" s="4"/>
      <c r="N374" s="1854"/>
      <c r="O374" s="1854"/>
      <c r="P374" s="1854"/>
      <c r="Q374" s="1854"/>
      <c r="R374" s="1854"/>
      <c r="S374" s="1854"/>
      <c r="T374" s="1854"/>
      <c r="U374" s="1854"/>
      <c r="V374" s="1854"/>
      <c r="W374" s="1854"/>
      <c r="X374" s="1854"/>
      <c r="Y374" s="1854"/>
      <c r="Z374" s="1854"/>
      <c r="AA374" s="1854"/>
      <c r="AB374" s="1854"/>
      <c r="AC374" s="1854"/>
      <c r="AD374" s="1854"/>
      <c r="AE374" s="1854"/>
      <c r="AF374" s="1854"/>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81"/>
      <c r="T377" s="1681"/>
      <c r="U377" s="1" t="s">
        <v>307</v>
      </c>
      <c r="V377" s="1681"/>
      <c r="W377" s="1681"/>
      <c r="Y377" t="s">
        <v>2397</v>
      </c>
      <c r="AC377" s="27" t="s">
        <v>306</v>
      </c>
      <c r="AD377" s="1681"/>
      <c r="AE377" s="1681"/>
      <c r="AF377" s="1" t="s">
        <v>307</v>
      </c>
      <c r="AG377" s="1681"/>
      <c r="AH377" s="1681"/>
    </row>
    <row r="378" spans="1:34" ht="12.95" customHeight="1">
      <c r="E378" s="4" t="s">
        <v>1012</v>
      </c>
      <c r="F378" s="4"/>
      <c r="G378" s="4"/>
      <c r="H378" s="4"/>
      <c r="I378" s="4"/>
      <c r="J378" s="4"/>
      <c r="K378" s="4"/>
      <c r="L378" s="4"/>
      <c r="N378" s="1681"/>
      <c r="O378" s="1681"/>
      <c r="P378" s="1681"/>
    </row>
    <row r="379" spans="1:34" ht="12.95" customHeight="1">
      <c r="E379" s="218" t="s">
        <v>2403</v>
      </c>
      <c r="F379" s="4"/>
      <c r="G379" s="4"/>
      <c r="H379" s="4"/>
      <c r="I379" s="4"/>
      <c r="J379" s="4"/>
      <c r="K379" s="4"/>
      <c r="L379" s="4"/>
      <c r="AG379" s="1688" t="s">
        <v>600</v>
      </c>
      <c r="AH379" s="1688"/>
    </row>
    <row r="380" spans="1:34" ht="12.95" customHeight="1">
      <c r="E380" s="4"/>
      <c r="F380" s="4"/>
      <c r="G380" s="4" t="s">
        <v>2404</v>
      </c>
      <c r="H380" s="4"/>
      <c r="I380" s="4"/>
      <c r="J380" s="4"/>
      <c r="K380" s="4"/>
      <c r="L380" s="4"/>
      <c r="AG380" s="1688" t="s">
        <v>600</v>
      </c>
      <c r="AH380" s="1688"/>
    </row>
    <row r="381" spans="1:34" ht="12.95" customHeight="1">
      <c r="E381" s="4"/>
      <c r="F381" s="4"/>
      <c r="G381" s="348" t="s">
        <v>1013</v>
      </c>
      <c r="H381" s="4"/>
      <c r="I381" s="4"/>
      <c r="J381" s="4"/>
      <c r="K381" s="4"/>
      <c r="L381" s="4"/>
      <c r="V381" s="1403" t="s">
        <v>600</v>
      </c>
      <c r="W381" s="1403"/>
      <c r="Y381" s="22" t="s">
        <v>1000</v>
      </c>
    </row>
    <row r="382" spans="1:34" ht="12.95" customHeight="1">
      <c r="E382" s="4" t="s">
        <v>1001</v>
      </c>
      <c r="F382" s="4"/>
      <c r="G382" s="4"/>
      <c r="H382" s="4"/>
      <c r="I382" s="4"/>
      <c r="J382" s="4"/>
      <c r="K382" s="4"/>
      <c r="L382" s="4"/>
      <c r="V382" s="1403" t="s">
        <v>600</v>
      </c>
      <c r="W382" s="1403"/>
      <c r="Y382" s="4" t="s">
        <v>1002</v>
      </c>
    </row>
    <row r="383" spans="1:34" ht="12.95" customHeight="1"/>
    <row r="384" spans="1:34" ht="12.95" customHeight="1">
      <c r="A384" s="2" t="s">
        <v>78</v>
      </c>
      <c r="B384" s="2"/>
    </row>
    <row r="385" spans="4:36" ht="12.95" customHeight="1">
      <c r="D385" t="s">
        <v>429</v>
      </c>
      <c r="J385" s="1445" t="s">
        <v>2671</v>
      </c>
      <c r="K385" s="1404"/>
      <c r="L385" s="1404"/>
      <c r="M385" s="1404"/>
      <c r="N385" s="1404"/>
      <c r="O385" s="1404"/>
      <c r="P385" s="1404"/>
      <c r="Q385" s="1404"/>
      <c r="R385" s="1404"/>
      <c r="S385" s="1404"/>
      <c r="T385" s="1404"/>
      <c r="U385" s="1404"/>
      <c r="V385" s="8" t="s">
        <v>83</v>
      </c>
      <c r="W385" s="8"/>
      <c r="X385" s="8"/>
      <c r="Y385" s="8"/>
      <c r="Z385" s="8"/>
      <c r="AA385" s="8"/>
      <c r="AB385" s="8"/>
      <c r="AC385" s="1404"/>
      <c r="AD385" s="1404"/>
      <c r="AE385" s="1404"/>
      <c r="AF385" s="1404"/>
      <c r="AG385" s="1404"/>
      <c r="AH385" s="1404"/>
      <c r="AI385" s="1404"/>
      <c r="AJ385" s="1404"/>
    </row>
    <row r="386" spans="4:36" ht="12.95" customHeight="1">
      <c r="D386" s="3" t="s">
        <v>1289</v>
      </c>
      <c r="J386" s="1405" t="s">
        <v>2749</v>
      </c>
      <c r="K386" s="1405"/>
      <c r="L386" s="1405"/>
      <c r="M386" s="1405"/>
      <c r="N386" s="1405"/>
      <c r="O386" s="1405"/>
      <c r="P386" s="1405"/>
      <c r="Q386" s="1405"/>
      <c r="R386" s="1405"/>
      <c r="S386" s="1405"/>
      <c r="T386" s="1405"/>
      <c r="U386" s="1405"/>
      <c r="V386" s="3" t="s">
        <v>1289</v>
      </c>
      <c r="W386" s="8"/>
      <c r="X386" s="8"/>
      <c r="Y386" s="8"/>
      <c r="Z386" s="8"/>
      <c r="AA386" s="8"/>
      <c r="AB386" s="8"/>
      <c r="AC386" s="1404"/>
      <c r="AD386" s="1404"/>
      <c r="AE386" s="1404"/>
      <c r="AF386" s="1404"/>
      <c r="AG386" s="1404"/>
      <c r="AH386" s="1404"/>
      <c r="AI386" s="1404"/>
      <c r="AJ386" s="1404"/>
    </row>
    <row r="387" spans="4:36" ht="12.95" customHeight="1">
      <c r="D387" s="3" t="s">
        <v>444</v>
      </c>
      <c r="J387" s="1489" t="s">
        <v>2680</v>
      </c>
      <c r="K387" s="1405"/>
      <c r="L387" s="1405"/>
      <c r="M387" s="1405"/>
      <c r="N387" s="1405"/>
      <c r="O387" s="1405"/>
      <c r="P387" s="1405"/>
      <c r="Q387" s="1405"/>
      <c r="R387" s="1405"/>
      <c r="S387" s="1405"/>
      <c r="T387" s="1405"/>
      <c r="U387" s="1405"/>
      <c r="V387" s="3" t="s">
        <v>444</v>
      </c>
      <c r="W387" s="8"/>
      <c r="X387" s="8"/>
      <c r="Y387" s="8"/>
      <c r="Z387" s="8"/>
      <c r="AA387" s="8"/>
      <c r="AB387" s="8"/>
      <c r="AC387" s="1404"/>
      <c r="AD387" s="1404"/>
      <c r="AE387" s="1404"/>
      <c r="AF387" s="1404"/>
      <c r="AG387" s="1404"/>
      <c r="AH387" s="1404"/>
      <c r="AI387" s="1404"/>
      <c r="AJ387" s="1404"/>
    </row>
    <row r="388" spans="4:36" ht="12.95" customHeight="1">
      <c r="D388" t="s">
        <v>1285</v>
      </c>
      <c r="J388" s="1848" t="s">
        <v>2681</v>
      </c>
      <c r="K388" s="1434"/>
      <c r="L388" s="1434"/>
      <c r="M388" s="1434"/>
      <c r="N388" s="1434"/>
      <c r="O388" s="1434"/>
      <c r="P388" s="1434"/>
      <c r="Q388" s="1434"/>
      <c r="R388" s="1434"/>
      <c r="S388" s="1434"/>
      <c r="T388" s="1434"/>
      <c r="U388" s="1434"/>
      <c r="V388" s="1404"/>
      <c r="W388" s="1404"/>
      <c r="X388" s="1404"/>
      <c r="Y388" s="1404"/>
      <c r="Z388" s="1404"/>
      <c r="AA388" s="1404"/>
      <c r="AB388" s="1404"/>
      <c r="AC388" s="1404"/>
      <c r="AD388" s="1404"/>
      <c r="AE388" s="1404"/>
      <c r="AF388" s="1404"/>
      <c r="AG388" s="1404"/>
      <c r="AH388" s="1404"/>
      <c r="AI388" s="1404"/>
      <c r="AJ388" s="1404"/>
    </row>
    <row r="389" spans="4:36" ht="12.95" customHeight="1">
      <c r="D389" t="s">
        <v>4</v>
      </c>
      <c r="Q389" s="1687">
        <v>45384</v>
      </c>
      <c r="R389" s="1687"/>
      <c r="S389" s="1687"/>
      <c r="T389" s="1687"/>
      <c r="U389" s="1687"/>
      <c r="V389" t="s">
        <v>310</v>
      </c>
      <c r="AI389" s="1403" t="s">
        <v>678</v>
      </c>
      <c r="AJ389" s="1403"/>
    </row>
    <row r="390" spans="4:36" ht="12.95" customHeight="1">
      <c r="D390" t="s">
        <v>5</v>
      </c>
      <c r="Q390" s="1682">
        <v>45749</v>
      </c>
      <c r="R390" s="1683"/>
      <c r="S390" s="1683"/>
      <c r="T390" s="1683"/>
      <c r="U390" s="1683"/>
      <c r="W390" s="21" t="s">
        <v>74</v>
      </c>
      <c r="AG390" s="1679"/>
      <c r="AH390" s="1679"/>
      <c r="AI390" s="1679"/>
      <c r="AJ390" s="1679"/>
    </row>
    <row r="391" spans="4:36" ht="12.95" customHeight="1">
      <c r="D391" t="s">
        <v>428</v>
      </c>
      <c r="Q391" s="1680">
        <v>4000000</v>
      </c>
      <c r="R391" s="1680"/>
      <c r="S391" s="1680"/>
      <c r="T391" s="1680"/>
      <c r="U391" s="1680"/>
      <c r="V391" s="3" t="s">
        <v>1288</v>
      </c>
      <c r="AG391" s="1825"/>
      <c r="AH391" s="1825"/>
      <c r="AI391" s="1825"/>
      <c r="AJ391" s="1825"/>
    </row>
    <row r="392" spans="4:36" ht="12.95" customHeight="1">
      <c r="D392" t="s">
        <v>88</v>
      </c>
      <c r="I392" s="1467" t="s">
        <v>2679</v>
      </c>
      <c r="J392" s="1468"/>
      <c r="K392" s="1468"/>
      <c r="L392" s="1468"/>
      <c r="M392" s="1468"/>
      <c r="N392" s="1468"/>
      <c r="Q392" s="4" t="s">
        <v>207</v>
      </c>
      <c r="S392" s="1685"/>
      <c r="T392" s="1685"/>
      <c r="U392" s="1685"/>
      <c r="V392" t="s">
        <v>73</v>
      </c>
      <c r="AI392" s="1403" t="s">
        <v>678</v>
      </c>
      <c r="AJ392" s="1403"/>
    </row>
    <row r="393" spans="4:36" ht="12.95" customHeight="1">
      <c r="D393" t="s">
        <v>311</v>
      </c>
      <c r="Q393" s="1437"/>
      <c r="R393" s="1437"/>
      <c r="S393" s="1437"/>
      <c r="T393" s="1437"/>
      <c r="U393" s="1437"/>
      <c r="V393" t="s">
        <v>312</v>
      </c>
      <c r="AG393" s="1679"/>
      <c r="AH393" s="1679"/>
      <c r="AI393" s="1679"/>
      <c r="AJ393" s="1679"/>
    </row>
    <row r="394" spans="4:36" ht="12.95" customHeight="1">
      <c r="D394" t="s">
        <v>313</v>
      </c>
      <c r="Q394" s="1773"/>
      <c r="R394" s="1773"/>
      <c r="S394" s="1773"/>
      <c r="T394" s="1773"/>
      <c r="U394" s="1773"/>
      <c r="V394" t="s">
        <v>1269</v>
      </c>
      <c r="AG394" s="1679"/>
      <c r="AH394" s="1679"/>
      <c r="AI394" s="1679"/>
      <c r="AJ394" s="1679"/>
    </row>
    <row r="395" spans="4:36" ht="12.95" customHeight="1">
      <c r="D395" t="s">
        <v>1268</v>
      </c>
      <c r="AG395" s="1679"/>
      <c r="AH395" s="1679"/>
      <c r="AI395" s="1679"/>
      <c r="AJ395" s="1679"/>
    </row>
    <row r="396" spans="4:36" ht="12.95" customHeight="1">
      <c r="AG396" s="490"/>
      <c r="AH396" s="490"/>
      <c r="AI396" s="490"/>
      <c r="AJ396" s="490"/>
    </row>
    <row r="397" spans="4:36" ht="12.95" customHeight="1">
      <c r="D397" s="3" t="s">
        <v>2503</v>
      </c>
      <c r="AG397" s="490"/>
      <c r="AH397" s="490"/>
      <c r="AI397" s="1403" t="s">
        <v>554</v>
      </c>
      <c r="AJ397" s="1403"/>
    </row>
    <row r="398" spans="4:36" ht="12.95" customHeight="1">
      <c r="D398" s="3" t="s">
        <v>1782</v>
      </c>
      <c r="T398" s="1780" t="s">
        <v>2655</v>
      </c>
      <c r="U398" s="1780"/>
      <c r="V398" s="1780"/>
      <c r="W398" s="1780"/>
      <c r="X398" s="1780"/>
      <c r="Y398" s="1780"/>
      <c r="Z398" s="1780"/>
      <c r="AA398" s="1780"/>
      <c r="AB398" s="1780"/>
      <c r="AC398" s="1780"/>
      <c r="AD398" s="1780"/>
      <c r="AE398" s="1780"/>
      <c r="AF398" s="1780"/>
      <c r="AG398" s="1780"/>
      <c r="AH398" s="1780"/>
      <c r="AI398" s="1780"/>
      <c r="AJ398" s="1780"/>
    </row>
    <row r="399" spans="4:36" ht="12.95" customHeight="1">
      <c r="D399" s="3" t="s">
        <v>1781</v>
      </c>
      <c r="T399" s="1780" t="s">
        <v>2717</v>
      </c>
      <c r="U399" s="1780"/>
      <c r="V399" s="1780"/>
      <c r="W399" s="1780"/>
      <c r="X399" s="1780"/>
      <c r="Y399" s="1780"/>
      <c r="Z399" s="1780"/>
      <c r="AA399" s="1780"/>
      <c r="AB399" s="1780"/>
      <c r="AC399" s="1780"/>
      <c r="AD399" s="1780"/>
      <c r="AE399" s="1780"/>
      <c r="AF399" s="1780"/>
      <c r="AG399" s="1780"/>
      <c r="AH399" s="1780"/>
      <c r="AI399" s="1780"/>
      <c r="AJ399" s="1780"/>
    </row>
    <row r="400" spans="4:36" ht="12.95" customHeight="1">
      <c r="AG400" s="490"/>
      <c r="AH400" s="490"/>
      <c r="AI400" s="490"/>
      <c r="AJ400" s="490"/>
    </row>
    <row r="401" spans="1:36" ht="12.95" customHeight="1">
      <c r="D401" s="3" t="s">
        <v>1775</v>
      </c>
      <c r="S401" s="1780" t="s">
        <v>678</v>
      </c>
      <c r="T401" s="1780"/>
      <c r="U401" s="1780"/>
      <c r="V401" t="s">
        <v>1776</v>
      </c>
      <c r="AG401" s="1846"/>
      <c r="AH401" s="1846"/>
      <c r="AI401" s="1846"/>
      <c r="AJ401" s="1846"/>
    </row>
    <row r="402" spans="1:36" ht="12.95" customHeight="1">
      <c r="D402" s="3" t="s">
        <v>1773</v>
      </c>
      <c r="S402" s="1780" t="s">
        <v>600</v>
      </c>
      <c r="T402" s="1780"/>
      <c r="U402" s="1780"/>
      <c r="V402" t="s">
        <v>1778</v>
      </c>
      <c r="AE402" s="1852"/>
      <c r="AF402" s="1852"/>
      <c r="AG402" s="1852"/>
      <c r="AH402" s="1852"/>
      <c r="AI402" s="1852"/>
      <c r="AJ402" s="1852"/>
    </row>
    <row r="403" spans="1:36" ht="12.95" customHeight="1">
      <c r="D403" s="3" t="s">
        <v>1774</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1777</v>
      </c>
      <c r="K404" s="1810"/>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2.95" customHeight="1">
      <c r="D405" s="3" t="s">
        <v>1780</v>
      </c>
      <c r="E405" s="511"/>
      <c r="F405" s="511"/>
      <c r="G405" s="511"/>
      <c r="H405" s="511"/>
      <c r="I405" s="511"/>
      <c r="J405" s="511"/>
      <c r="K405" s="511"/>
      <c r="L405" s="511"/>
      <c r="M405" s="511"/>
      <c r="N405" s="511"/>
      <c r="O405" s="511"/>
      <c r="P405" s="511"/>
      <c r="Q405" s="511"/>
      <c r="R405" s="511"/>
      <c r="S405" s="1834" t="s">
        <v>1291</v>
      </c>
      <c r="T405" s="1834"/>
      <c r="U405" s="1834"/>
      <c r="V405" s="1834"/>
      <c r="W405" s="1834"/>
      <c r="X405" s="1834"/>
      <c r="Y405" s="1834"/>
      <c r="Z405" s="1834"/>
      <c r="AA405" s="1834"/>
      <c r="AB405" s="1834"/>
      <c r="AC405" s="1834"/>
      <c r="AD405" s="1834"/>
      <c r="AE405" s="1834"/>
      <c r="AF405" s="1834"/>
      <c r="AG405" s="1834"/>
      <c r="AH405" s="1834"/>
      <c r="AI405" s="1834"/>
      <c r="AJ405" s="1834"/>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45" t="s">
        <v>2672</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5" customHeight="1">
      <c r="E411" t="s">
        <v>106</v>
      </c>
      <c r="R411" s="1403" t="s">
        <v>554</v>
      </c>
      <c r="S411" s="1403"/>
      <c r="AC411" s="27" t="s">
        <v>579</v>
      </c>
      <c r="AD411" s="1402">
        <v>3</v>
      </c>
      <c r="AE411" s="1402"/>
    </row>
    <row r="412" spans="1:36" ht="12.95" customHeight="1">
      <c r="E412" t="s">
        <v>107</v>
      </c>
      <c r="R412" s="1403" t="s">
        <v>600</v>
      </c>
      <c r="S412" s="1403"/>
      <c r="AC412" s="27" t="s">
        <v>579</v>
      </c>
      <c r="AD412" s="1402">
        <v>0</v>
      </c>
      <c r="AE412" s="1402"/>
    </row>
    <row r="413" spans="1:36" ht="12.95" customHeight="1">
      <c r="E413" t="s">
        <v>108</v>
      </c>
      <c r="S413" s="1403" t="s">
        <v>600</v>
      </c>
      <c r="T413" s="1403"/>
    </row>
    <row r="414" spans="1:36" ht="12.95" customHeight="1">
      <c r="E414" t="s">
        <v>170</v>
      </c>
      <c r="H414" s="1623" t="s">
        <v>335</v>
      </c>
      <c r="I414" s="1623"/>
      <c r="J414" s="1623"/>
      <c r="K414" s="1623"/>
      <c r="L414" s="1623"/>
      <c r="M414" s="1623"/>
      <c r="N414" s="1623"/>
      <c r="O414" s="1623"/>
      <c r="P414" s="1623"/>
      <c r="Q414" s="1623"/>
      <c r="R414" s="1623"/>
      <c r="S414" s="1623"/>
      <c r="T414" s="1623"/>
      <c r="U414" s="1623"/>
      <c r="V414" s="1623"/>
      <c r="W414" s="1623"/>
      <c r="X414" s="1623"/>
      <c r="Y414" s="1623"/>
      <c r="Z414" s="1623"/>
      <c r="AA414" s="1623"/>
      <c r="AB414" s="1623"/>
      <c r="AC414" s="1623"/>
      <c r="AD414" s="1623"/>
      <c r="AE414" s="1623"/>
    </row>
    <row r="415" spans="1:36" ht="12.95" customHeight="1">
      <c r="H415" s="1624"/>
      <c r="I415" s="1624"/>
      <c r="J415" s="1624"/>
      <c r="K415" s="1624"/>
      <c r="L415" s="1624"/>
      <c r="M415" s="1624"/>
      <c r="N415" s="1624"/>
      <c r="O415" s="1624"/>
      <c r="P415" s="1624"/>
      <c r="Q415" s="1624"/>
      <c r="R415" s="1624"/>
      <c r="S415" s="1624"/>
      <c r="T415" s="1624"/>
      <c r="U415" s="1624"/>
      <c r="V415" s="1624"/>
      <c r="W415" s="1624"/>
      <c r="X415" s="1624"/>
      <c r="Y415" s="1624"/>
      <c r="Z415" s="1624"/>
      <c r="AA415" s="1624"/>
      <c r="AB415" s="1624"/>
      <c r="AC415" s="1624"/>
      <c r="AD415" s="1624"/>
      <c r="AE415" s="1624"/>
    </row>
    <row r="416" spans="1:36" ht="12.95" customHeight="1"/>
    <row r="417" spans="1:39" ht="12.95" customHeight="1">
      <c r="A417" s="2" t="s">
        <v>599</v>
      </c>
      <c r="B417" s="2"/>
      <c r="C417" s="2"/>
      <c r="D417" s="2" t="s">
        <v>114</v>
      </c>
      <c r="AF417" s="2" t="s">
        <v>977</v>
      </c>
    </row>
    <row r="418" spans="1:39" ht="12.95" customHeight="1">
      <c r="E418" s="1681"/>
      <c r="F418" s="1681"/>
      <c r="G418" s="1681"/>
      <c r="H418" s="13" t="s">
        <v>115</v>
      </c>
      <c r="I418" s="1681"/>
      <c r="J418" s="1681"/>
      <c r="K418" s="1681"/>
      <c r="L418" t="s">
        <v>116</v>
      </c>
      <c r="N418" s="27" t="s">
        <v>584</v>
      </c>
      <c r="P418" s="1684">
        <v>0.77</v>
      </c>
      <c r="Q418" s="1684"/>
      <c r="R418" s="1684"/>
      <c r="S418" t="s">
        <v>117</v>
      </c>
      <c r="W418" s="1872">
        <f>IF(E418&gt;0,(E418*I418),(P418*43560))</f>
        <v>33541.200000000004</v>
      </c>
      <c r="X418" s="1872"/>
      <c r="Y418" s="1872"/>
      <c r="Z418" t="s">
        <v>118</v>
      </c>
      <c r="AF418" s="1702">
        <f>IFERROR(IF(P418&gt;0,(AG437/P418),(AG437/(W418/43560))),0)</f>
        <v>45.454545454545453</v>
      </c>
      <c r="AG418" s="1702"/>
      <c r="AH418" s="1702"/>
      <c r="AM418" s="3"/>
    </row>
    <row r="419" spans="1:39" ht="12.95" customHeight="1">
      <c r="E419" t="s">
        <v>51</v>
      </c>
    </row>
    <row r="420" spans="1:39" ht="12.95" customHeight="1">
      <c r="E420" s="1851"/>
      <c r="F420" s="1851"/>
      <c r="G420" s="1851"/>
      <c r="H420" s="1851"/>
      <c r="I420" s="1851"/>
      <c r="J420" s="1851"/>
      <c r="K420" s="1851"/>
      <c r="L420" s="1851"/>
      <c r="M420" s="1851"/>
      <c r="N420" s="1851"/>
      <c r="O420" s="1851"/>
      <c r="P420" s="1851"/>
      <c r="Q420" s="1851"/>
      <c r="R420" s="1851"/>
      <c r="S420" s="1851"/>
      <c r="T420" s="1851"/>
      <c r="U420" s="1851"/>
      <c r="V420" s="1851"/>
      <c r="W420" s="1851"/>
      <c r="X420" s="1851"/>
      <c r="Y420" s="1851"/>
      <c r="Z420" s="1851"/>
      <c r="AA420" s="1851"/>
      <c r="AB420" s="1851"/>
      <c r="AC420" s="1851"/>
      <c r="AD420" s="1851"/>
      <c r="AE420" s="1851"/>
      <c r="AF420" s="1851"/>
      <c r="AG420" s="1851"/>
      <c r="AH420" s="1851"/>
      <c r="AI420" s="1851"/>
      <c r="AJ420" s="1851"/>
    </row>
    <row r="421" spans="1:39" ht="12.95" customHeight="1">
      <c r="E421" s="118" t="s">
        <v>1927</v>
      </c>
      <c r="F421" s="1048"/>
      <c r="G421" s="1048"/>
      <c r="H421" s="1048"/>
      <c r="I421" s="1778"/>
      <c r="J421" s="1778"/>
      <c r="K421" s="1778"/>
      <c r="L421" s="1048"/>
      <c r="M421" s="118"/>
      <c r="N421" s="1048"/>
      <c r="O421" s="1048"/>
      <c r="P421" s="1646" t="e">
        <f>(CS634+CS642+CS658)/I421</f>
        <v>#DIV/0!</v>
      </c>
      <c r="Q421" s="1646"/>
      <c r="R421" s="1646"/>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03">
        <v>1</v>
      </c>
      <c r="Q424" s="1403"/>
      <c r="S424" t="s">
        <v>190</v>
      </c>
      <c r="AE424" s="1403">
        <v>1</v>
      </c>
      <c r="AF424" s="1403"/>
    </row>
    <row r="425" spans="1:39" ht="12.95" customHeight="1">
      <c r="E425" t="s">
        <v>191</v>
      </c>
      <c r="P425" s="1403">
        <v>1</v>
      </c>
      <c r="Q425" s="1403"/>
      <c r="S425" t="s">
        <v>131</v>
      </c>
      <c r="AE425" s="1403" t="s">
        <v>600</v>
      </c>
      <c r="AF425" s="1403"/>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2.95" customHeight="1">
      <c r="E429" t="s">
        <v>617</v>
      </c>
      <c r="P429" s="1"/>
      <c r="Q429" s="1403" t="s">
        <v>678</v>
      </c>
      <c r="R429" s="1403"/>
    </row>
    <row r="430" spans="1:39" ht="12.95" customHeight="1">
      <c r="F430" t="s">
        <v>618</v>
      </c>
      <c r="P430" s="1"/>
      <c r="Q430" s="1"/>
      <c r="AF430" s="1403" t="s">
        <v>600</v>
      </c>
      <c r="AG430" s="1865"/>
    </row>
    <row r="431" spans="1:39" ht="12.95" customHeight="1"/>
    <row r="432" spans="1:39" ht="12.95" customHeight="1">
      <c r="A432" s="2"/>
      <c r="B432" s="2"/>
      <c r="C432" s="2"/>
      <c r="E432" s="4" t="s">
        <v>309</v>
      </c>
      <c r="Z432" s="1403" t="s">
        <v>678</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03" t="s">
        <v>600</v>
      </c>
      <c r="AA434" s="1403"/>
    </row>
    <row r="435" spans="1:110" ht="12.95" customHeight="1"/>
    <row r="436" spans="1:110" ht="12.95" customHeight="1">
      <c r="A436" s="2" t="s">
        <v>476</v>
      </c>
      <c r="B436" s="2"/>
      <c r="C436" s="2"/>
      <c r="D436" s="2" t="s">
        <v>774</v>
      </c>
      <c r="AF436" s="48"/>
    </row>
    <row r="437" spans="1:110" ht="12.9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7"/>
      <c r="AG437" s="1839">
        <v>35</v>
      </c>
      <c r="AH437" s="1839"/>
      <c r="AI437" s="1839"/>
      <c r="AJ437" s="1839"/>
    </row>
    <row r="438" spans="1:110" ht="12.95" customHeight="1">
      <c r="D438" s="1692" t="s">
        <v>1330</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50">
        <v>0</v>
      </c>
      <c r="AH438" s="1363"/>
      <c r="AI438" s="1363"/>
      <c r="AJ438" s="1363"/>
    </row>
    <row r="439" spans="1:110" ht="12.95" customHeight="1">
      <c r="D439" s="1692" t="s">
        <v>1056</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39">
        <v>34</v>
      </c>
      <c r="AH439" s="1839"/>
      <c r="AI439" s="1839"/>
      <c r="AJ439" s="1839"/>
    </row>
    <row r="440" spans="1:110" ht="12.95" customHeight="1">
      <c r="D440" s="1692" t="s">
        <v>1057</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39">
        <v>34</v>
      </c>
      <c r="AH440" s="1839"/>
      <c r="AI440" s="1839"/>
      <c r="AJ440" s="1839"/>
    </row>
    <row r="441" spans="1:110" ht="12.95" customHeight="1">
      <c r="D441" s="1692" t="s">
        <v>1059</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49">
        <f>IF(ISERROR(AG440/AG439),"",AG440/AG439)</f>
        <v>1</v>
      </c>
      <c r="AH441" s="1849"/>
      <c r="AI441" s="1849"/>
      <c r="AJ441" s="1849"/>
    </row>
    <row r="442" spans="1:110" ht="12.95" customHeight="1">
      <c r="D442" s="1692" t="s">
        <v>1058</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706">
        <v>12329</v>
      </c>
      <c r="AH442" s="1706"/>
      <c r="AI442" s="1706"/>
      <c r="AJ442" s="1706"/>
    </row>
    <row r="443" spans="1:110" ht="12.95" customHeight="1">
      <c r="D443" s="1692" t="s">
        <v>1060</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706">
        <v>12329</v>
      </c>
      <c r="AH443" s="1706"/>
      <c r="AI443" s="1706"/>
      <c r="AJ443" s="1706"/>
    </row>
    <row r="444" spans="1:110" ht="12.95" customHeight="1">
      <c r="D444" s="1692" t="s">
        <v>1061</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49">
        <f>IF(ISERROR(AG443/AG442),"",AG443/AG442)</f>
        <v>1</v>
      </c>
      <c r="AH444" s="1849"/>
      <c r="AI444" s="1849"/>
      <c r="AJ444" s="1849"/>
    </row>
    <row r="445" spans="1:110" ht="12.95" customHeight="1">
      <c r="D445" s="1692" t="s">
        <v>1062</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49">
        <f>MIN(IF(AG441&gt;AG444,AG444,AG441),1)</f>
        <v>1</v>
      </c>
      <c r="AH445" s="1849"/>
      <c r="AI445" s="1849"/>
      <c r="AJ445" s="1849"/>
    </row>
    <row r="446" spans="1:110" ht="12.95" customHeight="1">
      <c r="D446" s="1692" t="s">
        <v>2405</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7"/>
      <c r="AG446" s="1706">
        <v>1586</v>
      </c>
      <c r="AH446" s="1706"/>
      <c r="AI446" s="1706"/>
      <c r="AJ446" s="17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578</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7"/>
      <c r="AG447" s="1706">
        <v>0</v>
      </c>
      <c r="AH447" s="1706"/>
      <c r="AI447" s="1706"/>
      <c r="AJ447" s="17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1312</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7"/>
      <c r="AG448" s="1706">
        <v>9608</v>
      </c>
      <c r="AH448" s="1706"/>
      <c r="AI448" s="1706"/>
      <c r="AJ448" s="17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1063</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7"/>
      <c r="AG449" s="1706">
        <v>0</v>
      </c>
      <c r="AH449" s="1706"/>
      <c r="AI449" s="1706"/>
      <c r="AJ449" s="17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0" t="s">
        <v>1064</v>
      </c>
      <c r="E450" s="1821"/>
      <c r="F450" s="1821"/>
      <c r="G450" s="1821"/>
      <c r="H450" s="1821"/>
      <c r="I450" s="1821"/>
      <c r="J450" s="1821"/>
      <c r="K450" s="1821"/>
      <c r="L450" s="1821"/>
      <c r="M450" s="1821"/>
      <c r="N450" s="1821"/>
      <c r="O450" s="1821"/>
      <c r="P450" s="1821"/>
      <c r="Q450" s="1821"/>
      <c r="R450" s="1821"/>
      <c r="S450" s="1821"/>
      <c r="T450" s="1821"/>
      <c r="U450" s="1821"/>
      <c r="V450" s="1821"/>
      <c r="W450" s="1821"/>
      <c r="X450" s="1821"/>
      <c r="Y450" s="1821"/>
      <c r="Z450" s="1821"/>
      <c r="AA450" s="1821"/>
      <c r="AB450" s="1821"/>
      <c r="AC450" s="1821"/>
      <c r="AD450" s="1821"/>
      <c r="AE450" s="1821"/>
      <c r="AF450" s="1822"/>
      <c r="AG450" s="1866">
        <f>AG442+AG446+AG448+AG449</f>
        <v>23523</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3" t="s">
        <v>1313</v>
      </c>
      <c r="E451" s="1823"/>
      <c r="F451" s="1823"/>
      <c r="G451" s="1823"/>
      <c r="H451" s="1823"/>
      <c r="I451" s="1823"/>
      <c r="J451" s="1823"/>
      <c r="K451" s="1823"/>
      <c r="L451" s="1823"/>
      <c r="M451" s="1823"/>
      <c r="N451" s="1823"/>
      <c r="O451" s="1823"/>
      <c r="P451" s="1823"/>
      <c r="Q451" s="1823"/>
      <c r="R451" s="1823"/>
      <c r="S451" s="1823"/>
      <c r="T451" s="1823"/>
      <c r="U451" s="1823"/>
      <c r="V451" s="1823"/>
      <c r="W451" s="1823"/>
      <c r="X451" s="1823"/>
      <c r="Y451" s="1823"/>
      <c r="Z451" s="1823"/>
      <c r="AA451" s="1823"/>
      <c r="AB451" s="1823"/>
      <c r="AC451" s="1823"/>
      <c r="AD451" s="1823"/>
      <c r="AE451" s="1823"/>
      <c r="AF451" s="1823"/>
      <c r="AG451" s="1823"/>
      <c r="AH451" s="1823"/>
      <c r="AI451" s="1823"/>
      <c r="AJ451" s="18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4"/>
      <c r="E452" s="1824"/>
      <c r="F452" s="1824"/>
      <c r="G452" s="1824"/>
      <c r="H452" s="1824"/>
      <c r="I452" s="1824"/>
      <c r="J452" s="1824"/>
      <c r="K452" s="1824"/>
      <c r="L452" s="1824"/>
      <c r="M452" s="1824"/>
      <c r="N452" s="1824"/>
      <c r="O452" s="1824"/>
      <c r="P452" s="1824"/>
      <c r="Q452" s="1824"/>
      <c r="R452" s="1824"/>
      <c r="S452" s="1824"/>
      <c r="T452" s="1824"/>
      <c r="U452" s="1824"/>
      <c r="V452" s="1824"/>
      <c r="W452" s="1824"/>
      <c r="X452" s="1824"/>
      <c r="Y452" s="1824"/>
      <c r="Z452" s="1824"/>
      <c r="AA452" s="1824"/>
      <c r="AB452" s="1824"/>
      <c r="AC452" s="1824"/>
      <c r="AD452" s="1824"/>
      <c r="AE452" s="1824"/>
      <c r="AF452" s="1824"/>
      <c r="AG452" s="1824"/>
      <c r="AH452" s="1824"/>
      <c r="AI452" s="1824"/>
      <c r="AJ452" s="182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4">
        <f>IF(AG437=0,"",'Sources and Uses Budget'!B105/Application!AG437)</f>
        <v>877694.85714285716</v>
      </c>
      <c r="AD454" s="1774"/>
      <c r="AE454" s="1774"/>
      <c r="AF454" s="17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4">
        <f>IF(AG437=0,"",'Sources and Uses Budget'!C105/Application!AG437)</f>
        <v>877694.85714285716</v>
      </c>
      <c r="AD455" s="1774"/>
      <c r="AE455" s="1774"/>
      <c r="AF455" s="17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4">
        <f>IF(AG437=0,"",('Sources and Uses Budget'!$S$107+'Sources and Uses Budget'!$T$107)/Application!AG437)</f>
        <v>723911.85714285716</v>
      </c>
      <c r="AD456" s="1774"/>
      <c r="AE456" s="1774"/>
      <c r="AF456" s="17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8" t="s">
        <v>2419</v>
      </c>
      <c r="E465" s="1776"/>
      <c r="F465" s="1776"/>
      <c r="G465" s="1776"/>
      <c r="H465" s="1776"/>
      <c r="I465" s="1776"/>
      <c r="J465" s="1776"/>
      <c r="K465" s="1776"/>
      <c r="L465" s="1776"/>
      <c r="M465" s="1776"/>
      <c r="N465" s="1776"/>
      <c r="O465" s="1776"/>
      <c r="P465" s="1776"/>
      <c r="Q465" s="1776"/>
      <c r="R465" s="1776"/>
      <c r="S465" s="1776"/>
      <c r="T465" s="1776"/>
      <c r="U465" s="1776"/>
      <c r="V465" s="1777"/>
      <c r="W465" s="1695">
        <v>34</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703</v>
      </c>
      <c r="E466" s="1776"/>
      <c r="F466" s="1776"/>
      <c r="G466" s="1776"/>
      <c r="H466" s="1776"/>
      <c r="I466" s="1776"/>
      <c r="J466" s="1776"/>
      <c r="K466" s="1776"/>
      <c r="L466" s="1776"/>
      <c r="M466" s="1776"/>
      <c r="N466" s="1776"/>
      <c r="O466" s="1776"/>
      <c r="P466" s="1776"/>
      <c r="Q466" s="1776"/>
      <c r="R466" s="1776"/>
      <c r="S466" s="1776"/>
      <c r="T466" s="1776"/>
      <c r="U466" s="1776"/>
      <c r="V466" s="1777"/>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704</v>
      </c>
      <c r="E467" s="1776"/>
      <c r="F467" s="1776"/>
      <c r="G467" s="1776"/>
      <c r="H467" s="1776"/>
      <c r="I467" s="1776"/>
      <c r="J467" s="1776"/>
      <c r="K467" s="1776"/>
      <c r="L467" s="1776"/>
      <c r="M467" s="1776"/>
      <c r="N467" s="1776"/>
      <c r="O467" s="1776"/>
      <c r="P467" s="1776"/>
      <c r="Q467" s="1776"/>
      <c r="R467" s="1776"/>
      <c r="S467" s="1776"/>
      <c r="T467" s="1776"/>
      <c r="U467" s="1776"/>
      <c r="V467" s="1777"/>
      <c r="W467" s="1695">
        <v>16</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705</v>
      </c>
      <c r="E468" s="1776"/>
      <c r="F468" s="1776"/>
      <c r="G468" s="1776"/>
      <c r="H468" s="1776"/>
      <c r="I468" s="1776"/>
      <c r="J468" s="1776"/>
      <c r="K468" s="1776"/>
      <c r="L468" s="1776"/>
      <c r="M468" s="1776"/>
      <c r="N468" s="1776"/>
      <c r="O468" s="1776"/>
      <c r="P468" s="1776"/>
      <c r="Q468" s="1776"/>
      <c r="R468" s="1776"/>
      <c r="S468" s="1776"/>
      <c r="T468" s="1776"/>
      <c r="U468" s="1776"/>
      <c r="V468" s="1777"/>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894</v>
      </c>
      <c r="E469" s="1776"/>
      <c r="F469" s="1776"/>
      <c r="G469" s="1776"/>
      <c r="H469" s="1776"/>
      <c r="I469" s="1776"/>
      <c r="J469" s="1776"/>
      <c r="K469" s="1776"/>
      <c r="L469" s="1776"/>
      <c r="M469" s="1776"/>
      <c r="N469" s="1776"/>
      <c r="O469" s="1776"/>
      <c r="P469" s="1776"/>
      <c r="Q469" s="1776"/>
      <c r="R469" s="1776"/>
      <c r="S469" s="1776"/>
      <c r="T469" s="1776"/>
      <c r="U469" s="1776"/>
      <c r="V469" s="1777"/>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706</v>
      </c>
      <c r="E470" s="1776"/>
      <c r="F470" s="1776"/>
      <c r="G470" s="1776"/>
      <c r="H470" s="1776"/>
      <c r="I470" s="1776"/>
      <c r="J470" s="1776"/>
      <c r="K470" s="1776"/>
      <c r="L470" s="1776"/>
      <c r="M470" s="1776"/>
      <c r="N470" s="1776"/>
      <c r="O470" s="1776"/>
      <c r="P470" s="1776"/>
      <c r="Q470" s="1776"/>
      <c r="R470" s="1776"/>
      <c r="S470" s="1776"/>
      <c r="T470" s="1776"/>
      <c r="U470" s="1776"/>
      <c r="V470" s="1777"/>
      <c r="W470" s="1695">
        <v>0</v>
      </c>
      <c r="X470" s="1696"/>
      <c r="Y470" s="169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5" t="s">
        <v>1037</v>
      </c>
      <c r="E471" s="1776"/>
      <c r="F471" s="1776"/>
      <c r="G471" s="1776"/>
      <c r="H471" s="1776"/>
      <c r="I471" s="1776"/>
      <c r="J471" s="1776"/>
      <c r="K471" s="1776"/>
      <c r="L471" s="1776"/>
      <c r="M471" s="1776"/>
      <c r="N471" s="1776"/>
      <c r="O471" s="1776"/>
      <c r="P471" s="1776"/>
      <c r="Q471" s="1776"/>
      <c r="R471" s="1776"/>
      <c r="S471" s="1776"/>
      <c r="T471" s="1776"/>
      <c r="U471" s="1776"/>
      <c r="V471" s="1777"/>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8" t="s">
        <v>2556</v>
      </c>
      <c r="E472" s="1870"/>
      <c r="F472" s="1870"/>
      <c r="G472" s="1870"/>
      <c r="H472" s="1870"/>
      <c r="I472" s="1870"/>
      <c r="J472" s="1870"/>
      <c r="K472" s="1870"/>
      <c r="L472" s="1870"/>
      <c r="M472" s="1870"/>
      <c r="N472" s="1870"/>
      <c r="O472" s="1870"/>
      <c r="P472" s="1870"/>
      <c r="Q472" s="1870"/>
      <c r="R472" s="1870"/>
      <c r="S472" s="1870"/>
      <c r="T472" s="1870"/>
      <c r="U472" s="1870"/>
      <c r="V472" s="1871"/>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8" t="s">
        <v>1768</v>
      </c>
      <c r="E473" s="1776"/>
      <c r="F473" s="1776"/>
      <c r="G473" s="1776"/>
      <c r="H473" s="1776"/>
      <c r="I473" s="1776"/>
      <c r="J473" s="1776"/>
      <c r="K473" s="1776"/>
      <c r="L473" s="1776"/>
      <c r="M473" s="1776"/>
      <c r="N473" s="1776"/>
      <c r="O473" s="1776"/>
      <c r="P473" s="1776"/>
      <c r="Q473" s="1776"/>
      <c r="R473" s="1776"/>
      <c r="S473" s="1776"/>
      <c r="T473" s="1776"/>
      <c r="U473" s="1776"/>
      <c r="V473" s="1777"/>
      <c r="W473" s="1695">
        <v>0</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1"/>
      <c r="H474" s="1832"/>
      <c r="I474" s="1832"/>
      <c r="J474" s="1832"/>
      <c r="K474" s="1832"/>
      <c r="L474" s="1832"/>
      <c r="M474" s="1832"/>
      <c r="N474" s="1832"/>
      <c r="O474" s="1832"/>
      <c r="P474" s="1832"/>
      <c r="Q474" s="1832"/>
      <c r="R474" s="1832"/>
      <c r="S474" s="1832"/>
      <c r="T474" s="1832"/>
      <c r="U474" s="1832"/>
      <c r="V474" s="1833"/>
      <c r="W474" s="1695">
        <v>0</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5" t="s">
        <v>820</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3" t="s">
        <v>394</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552" t="s">
        <v>2748</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0" t="s">
        <v>2750</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0">
        <v>0</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5" t="s">
        <v>398</v>
      </c>
      <c r="C489" s="1856"/>
      <c r="D489" s="1856"/>
      <c r="E489" s="1856"/>
      <c r="F489" s="1856"/>
      <c r="G489" s="1856"/>
      <c r="H489" s="1856"/>
      <c r="I489" s="1856"/>
      <c r="J489" s="1856"/>
      <c r="K489" s="1856"/>
      <c r="L489" s="1856"/>
      <c r="M489" s="1856"/>
      <c r="N489" s="1856"/>
      <c r="O489" s="1856"/>
      <c r="P489" s="1857"/>
      <c r="Q489" s="1861" t="s">
        <v>678</v>
      </c>
      <c r="R489" s="1862"/>
      <c r="S489" s="1826" t="s">
        <v>166</v>
      </c>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8"/>
      <c r="C490" s="1859"/>
      <c r="D490" s="1859"/>
      <c r="E490" s="1859"/>
      <c r="F490" s="1859"/>
      <c r="G490" s="1859"/>
      <c r="H490" s="1859"/>
      <c r="I490" s="1859"/>
      <c r="J490" s="1859"/>
      <c r="K490" s="1859"/>
      <c r="L490" s="1859"/>
      <c r="M490" s="1859"/>
      <c r="N490" s="1859"/>
      <c r="O490" s="1859"/>
      <c r="P490" s="1860"/>
      <c r="Q490" s="1863"/>
      <c r="R490" s="1864"/>
      <c r="S490" s="1829"/>
      <c r="T490" s="1802"/>
      <c r="U490" s="1802"/>
      <c r="V490" s="1802"/>
      <c r="W490" s="1802"/>
      <c r="X490" s="1802"/>
      <c r="Y490" s="1802"/>
      <c r="Z490" s="1802"/>
      <c r="AA490" s="1802"/>
      <c r="AB490" s="1802"/>
      <c r="AC490" s="1802"/>
      <c r="AD490" s="1802"/>
      <c r="AE490" s="1802"/>
      <c r="AF490" s="1802"/>
      <c r="AG490" s="1802"/>
      <c r="AH490" s="1802"/>
      <c r="AI490" s="1802"/>
      <c r="AJ490" s="1802"/>
      <c r="AK490" s="183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67"/>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0">
        <v>0</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0">
        <v>0</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700">
        <v>15</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50"/>
      <c r="N495" s="1451"/>
      <c r="O495" s="1451"/>
      <c r="P495" s="1452"/>
      <c r="Q495" s="121" t="s">
        <v>1785</v>
      </c>
      <c r="R495" s="5"/>
      <c r="S495" s="5"/>
      <c r="T495" s="5"/>
      <c r="U495" s="5"/>
      <c r="V495" s="5"/>
      <c r="W495" s="5"/>
      <c r="X495" s="5"/>
      <c r="Y495" s="5"/>
      <c r="Z495" s="5"/>
      <c r="AA495" s="5"/>
      <c r="AB495" s="5"/>
      <c r="AC495" s="5"/>
      <c r="AD495" s="5"/>
      <c r="AE495" s="5"/>
      <c r="AF495" s="5"/>
      <c r="AG495" s="5"/>
      <c r="AH495" s="1450">
        <v>15</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3" t="s">
        <v>402</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3" t="s">
        <v>403</v>
      </c>
      <c r="AD500" s="1704"/>
      <c r="AE500" s="1704"/>
      <c r="AF500" s="1704"/>
      <c r="AG500" s="50" t="s">
        <v>404</v>
      </c>
      <c r="AH500" s="1704" t="s">
        <v>405</v>
      </c>
      <c r="AI500" s="1704"/>
      <c r="AJ500" s="1704"/>
      <c r="AK500" s="170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2" t="s">
        <v>406</v>
      </c>
      <c r="C501" s="1499"/>
      <c r="D501" s="1499"/>
      <c r="E501" s="1499"/>
      <c r="F501" s="1499"/>
      <c r="G501" s="1499"/>
      <c r="H501" s="1500"/>
      <c r="I501" s="42" t="s">
        <v>407</v>
      </c>
      <c r="J501" s="42"/>
      <c r="K501" s="42"/>
      <c r="L501" s="42"/>
      <c r="M501" s="42"/>
      <c r="N501" s="42"/>
      <c r="O501" s="42"/>
      <c r="P501" s="42"/>
      <c r="Q501" s="42"/>
      <c r="R501" s="42"/>
      <c r="S501" s="42"/>
      <c r="T501" s="42"/>
      <c r="U501" s="42"/>
      <c r="V501" s="42"/>
      <c r="W501" s="42"/>
      <c r="AC501" s="1631">
        <v>1</v>
      </c>
      <c r="AD501" s="1402"/>
      <c r="AE501" s="1402"/>
      <c r="AF501" s="1402"/>
      <c r="AG501" s="13" t="s">
        <v>404</v>
      </c>
      <c r="AH501" s="1434">
        <v>2024</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3"/>
      <c r="C502" s="1501"/>
      <c r="D502" s="1501"/>
      <c r="E502" s="1501"/>
      <c r="F502" s="1501"/>
      <c r="G502" s="1501"/>
      <c r="H502" s="1502"/>
      <c r="I502" s="48" t="s">
        <v>408</v>
      </c>
      <c r="J502" s="48"/>
      <c r="K502" s="48"/>
      <c r="L502" s="48"/>
      <c r="M502" s="48"/>
      <c r="N502" s="48"/>
      <c r="O502" s="48"/>
      <c r="P502" s="48"/>
      <c r="Q502" s="48"/>
      <c r="R502" s="48"/>
      <c r="S502" s="48"/>
      <c r="T502" s="48"/>
      <c r="U502" s="48"/>
      <c r="V502" s="48"/>
      <c r="W502" s="48"/>
      <c r="X502" s="48"/>
      <c r="Y502" s="48"/>
      <c r="Z502" s="48"/>
      <c r="AA502" s="48"/>
      <c r="AB502" s="48"/>
      <c r="AC502" s="1631">
        <v>8</v>
      </c>
      <c r="AD502" s="1402"/>
      <c r="AE502" s="1402"/>
      <c r="AF502" s="1402"/>
      <c r="AG502" s="38" t="s">
        <v>404</v>
      </c>
      <c r="AH502" s="1434">
        <v>2024</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2" t="s">
        <v>409</v>
      </c>
      <c r="C503" s="1499"/>
      <c r="D503" s="1499"/>
      <c r="E503" s="1499"/>
      <c r="F503" s="1499"/>
      <c r="G503" s="1499"/>
      <c r="H503" s="1500"/>
      <c r="I503" s="42" t="s">
        <v>410</v>
      </c>
      <c r="J503" s="42"/>
      <c r="K503" s="42"/>
      <c r="L503" s="42"/>
      <c r="M503" s="42"/>
      <c r="N503" s="42"/>
      <c r="O503" s="42"/>
      <c r="P503" s="42"/>
      <c r="Q503" s="42"/>
      <c r="R503" s="42"/>
      <c r="S503" s="42"/>
      <c r="T503" s="42"/>
      <c r="U503" s="42"/>
      <c r="V503" s="42"/>
      <c r="W503" s="42"/>
      <c r="AC503" s="1631" t="s">
        <v>600</v>
      </c>
      <c r="AD503" s="1402"/>
      <c r="AE503" s="1402"/>
      <c r="AF503" s="1402"/>
      <c r="AG503" s="13" t="s">
        <v>404</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3"/>
      <c r="C504" s="1501"/>
      <c r="D504" s="1501"/>
      <c r="E504" s="1501"/>
      <c r="F504" s="1501"/>
      <c r="G504" s="1501"/>
      <c r="H504" s="1502"/>
      <c r="I504" t="s">
        <v>411</v>
      </c>
      <c r="AC504" s="1631" t="s">
        <v>600</v>
      </c>
      <c r="AD504" s="1402"/>
      <c r="AE504" s="1402"/>
      <c r="AF504" s="1402"/>
      <c r="AG504" s="13" t="s">
        <v>404</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3"/>
      <c r="C505" s="1501"/>
      <c r="D505" s="1501"/>
      <c r="E505" s="1501"/>
      <c r="F505" s="1501"/>
      <c r="G505" s="1501"/>
      <c r="H505" s="1502"/>
      <c r="I505" t="s">
        <v>412</v>
      </c>
      <c r="AC505" s="1631">
        <v>12</v>
      </c>
      <c r="AD505" s="1402"/>
      <c r="AE505" s="1402"/>
      <c r="AF505" s="1402"/>
      <c r="AG505" s="13" t="s">
        <v>404</v>
      </c>
      <c r="AH505" s="1434">
        <v>2023</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3"/>
      <c r="C506" s="1501"/>
      <c r="D506" s="1501"/>
      <c r="E506" s="1501"/>
      <c r="F506" s="1501"/>
      <c r="G506" s="1501"/>
      <c r="H506" s="1502"/>
      <c r="I506" t="s">
        <v>413</v>
      </c>
      <c r="AC506" s="1631">
        <v>8</v>
      </c>
      <c r="AD506" s="1402"/>
      <c r="AE506" s="1402"/>
      <c r="AF506" s="1402"/>
      <c r="AG506" s="13" t="s">
        <v>404</v>
      </c>
      <c r="AH506" s="1434">
        <v>2024</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3"/>
      <c r="C507" s="1501"/>
      <c r="D507" s="1501"/>
      <c r="E507" s="1501"/>
      <c r="F507" s="1501"/>
      <c r="G507" s="1501"/>
      <c r="H507" s="1502"/>
      <c r="I507" s="3" t="s">
        <v>414</v>
      </c>
      <c r="AC507" s="1391">
        <v>12</v>
      </c>
      <c r="AD507" s="1392"/>
      <c r="AE507" s="1392"/>
      <c r="AF507" s="1392"/>
      <c r="AG507" s="13" t="s">
        <v>404</v>
      </c>
      <c r="AH507" s="1434">
        <v>2024</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3"/>
      <c r="C508" s="1501"/>
      <c r="D508" s="1501"/>
      <c r="E508" s="1501"/>
      <c r="F508" s="1501"/>
      <c r="G508" s="1501"/>
      <c r="H508" s="1502"/>
      <c r="I508" s="931" t="s">
        <v>170</v>
      </c>
      <c r="J508" s="48"/>
      <c r="K508" s="48"/>
      <c r="L508" s="1779" t="s">
        <v>335</v>
      </c>
      <c r="M508" s="1780"/>
      <c r="N508" s="1780"/>
      <c r="O508" s="1780"/>
      <c r="P508" s="1780"/>
      <c r="Q508" s="1780"/>
      <c r="R508" s="1780"/>
      <c r="S508" s="1780"/>
      <c r="T508" s="1780"/>
      <c r="U508" s="1780"/>
      <c r="V508" s="1780"/>
      <c r="W508" s="1780"/>
      <c r="X508" s="1780"/>
      <c r="Y508" s="1780"/>
      <c r="Z508" s="1780"/>
      <c r="AA508" s="1780"/>
      <c r="AB508" s="1835"/>
      <c r="AC508" s="1631" t="s">
        <v>600</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9" t="s">
        <v>554</v>
      </c>
      <c r="AD509" s="1839"/>
      <c r="AE509" s="1839"/>
      <c r="AF509" s="1839"/>
      <c r="AG509" s="13"/>
      <c r="AH509" s="1303"/>
      <c r="AI509" s="1303"/>
      <c r="AJ509" s="1303"/>
      <c r="AK509" s="18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91">
        <v>1</v>
      </c>
      <c r="AD510" s="1392"/>
      <c r="AE510" s="1392"/>
      <c r="AF510" s="1393"/>
      <c r="AG510" s="13"/>
      <c r="AH510" s="1303"/>
      <c r="AI510" s="1303"/>
      <c r="AJ510" s="1303"/>
      <c r="AK510" s="18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41"/>
      <c r="AD512" s="1842"/>
      <c r="AE512" s="1842"/>
      <c r="AF512" s="1843"/>
      <c r="AG512" s="38"/>
      <c r="AH512" s="1844"/>
      <c r="AI512" s="1844"/>
      <c r="AJ512" s="1844"/>
      <c r="AK512" s="184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7" t="s">
        <v>403</v>
      </c>
      <c r="AD513" s="1720"/>
      <c r="AE513" s="1720"/>
      <c r="AF513" s="1720"/>
      <c r="AG513" s="38" t="s">
        <v>404</v>
      </c>
      <c r="AH513" s="1720" t="s">
        <v>405</v>
      </c>
      <c r="AI513" s="1720"/>
      <c r="AJ513" s="1720"/>
      <c r="AK513" s="1840"/>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2" t="s">
        <v>415</v>
      </c>
      <c r="C514" s="1499"/>
      <c r="D514" s="1499"/>
      <c r="E514" s="1499"/>
      <c r="F514" s="1499"/>
      <c r="G514" s="1499"/>
      <c r="H514" s="1500"/>
      <c r="I514" s="42" t="s">
        <v>416</v>
      </c>
      <c r="J514" s="42"/>
      <c r="K514" s="42"/>
      <c r="L514" s="42"/>
      <c r="M514" s="42"/>
      <c r="N514" s="42"/>
      <c r="O514" s="42"/>
      <c r="P514" s="42"/>
      <c r="Q514" s="42"/>
      <c r="R514" s="42"/>
      <c r="S514" s="42"/>
      <c r="T514" s="42"/>
      <c r="U514" s="42"/>
      <c r="V514" s="42"/>
      <c r="W514" s="42"/>
      <c r="AC514" s="1631" t="s">
        <v>600</v>
      </c>
      <c r="AD514" s="1402"/>
      <c r="AE514" s="1402"/>
      <c r="AF514" s="1402"/>
      <c r="AG514" s="13" t="s">
        <v>404</v>
      </c>
      <c r="AH514" s="1434"/>
      <c r="AI514" s="1434"/>
      <c r="AJ514" s="1434"/>
      <c r="AK514" s="1435"/>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3"/>
      <c r="C515" s="1501"/>
      <c r="D515" s="1501"/>
      <c r="E515" s="1501"/>
      <c r="F515" s="1501"/>
      <c r="G515" s="1501"/>
      <c r="H515" s="1502"/>
      <c r="I515" t="s">
        <v>417</v>
      </c>
      <c r="AC515" s="1631">
        <v>4</v>
      </c>
      <c r="AD515" s="1402"/>
      <c r="AE515" s="1402"/>
      <c r="AF515" s="1402"/>
      <c r="AG515" s="13" t="s">
        <v>404</v>
      </c>
      <c r="AH515" s="1434">
        <v>2024</v>
      </c>
      <c r="AI515" s="1434"/>
      <c r="AJ515" s="1434"/>
      <c r="AK515" s="1435"/>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3"/>
      <c r="C516" s="1501"/>
      <c r="D516" s="1501"/>
      <c r="E516" s="1501"/>
      <c r="F516" s="1501"/>
      <c r="G516" s="1501"/>
      <c r="H516" s="1502"/>
      <c r="I516" s="48" t="s">
        <v>418</v>
      </c>
      <c r="J516" s="48"/>
      <c r="K516" s="48"/>
      <c r="L516" s="48"/>
      <c r="M516" s="48"/>
      <c r="N516" s="48"/>
      <c r="O516" s="48"/>
      <c r="P516" s="48"/>
      <c r="Q516" s="48"/>
      <c r="R516" s="48"/>
      <c r="S516" s="48"/>
      <c r="T516" s="48"/>
      <c r="U516" s="48"/>
      <c r="V516" s="48"/>
      <c r="W516" s="48"/>
      <c r="X516" s="48"/>
      <c r="Y516" s="48"/>
      <c r="Z516" s="48"/>
      <c r="AA516" s="48"/>
      <c r="AB516" s="48"/>
      <c r="AC516" s="1631">
        <v>2</v>
      </c>
      <c r="AD516" s="1402"/>
      <c r="AE516" s="1402"/>
      <c r="AF516" s="1402"/>
      <c r="AG516" s="38" t="s">
        <v>404</v>
      </c>
      <c r="AH516" s="1434">
        <v>2025</v>
      </c>
      <c r="AI516" s="1434"/>
      <c r="AJ516" s="1434"/>
      <c r="AK516" s="1435"/>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2" t="s">
        <v>419</v>
      </c>
      <c r="C517" s="1499"/>
      <c r="D517" s="1499"/>
      <c r="E517" s="1499"/>
      <c r="F517" s="1499"/>
      <c r="G517" s="1499"/>
      <c r="H517" s="1500"/>
      <c r="I517" s="42" t="s">
        <v>416</v>
      </c>
      <c r="J517" s="42"/>
      <c r="K517" s="42"/>
      <c r="L517" s="42"/>
      <c r="M517" s="42"/>
      <c r="N517" s="42"/>
      <c r="O517" s="42"/>
      <c r="P517" s="42"/>
      <c r="Q517" s="42"/>
      <c r="R517" s="42"/>
      <c r="S517" s="42"/>
      <c r="T517" s="42"/>
      <c r="U517" s="42"/>
      <c r="V517" s="42"/>
      <c r="W517" s="42"/>
      <c r="X517" s="42"/>
      <c r="Y517" s="42"/>
      <c r="Z517" s="42"/>
      <c r="AA517" s="42"/>
      <c r="AB517" s="42"/>
      <c r="AC517" s="1391" t="s">
        <v>600</v>
      </c>
      <c r="AD517" s="1392"/>
      <c r="AE517" s="1392"/>
      <c r="AF517" s="1392"/>
      <c r="AG517" s="129" t="s">
        <v>404</v>
      </c>
      <c r="AH517" s="1434"/>
      <c r="AI517" s="1434"/>
      <c r="AJ517" s="1434"/>
      <c r="AK517" s="1435"/>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3"/>
      <c r="C518" s="1501"/>
      <c r="D518" s="1501"/>
      <c r="E518" s="1501"/>
      <c r="F518" s="1501"/>
      <c r="G518" s="1501"/>
      <c r="H518" s="1502"/>
      <c r="I518" t="s">
        <v>417</v>
      </c>
      <c r="AC518" s="1631">
        <v>4</v>
      </c>
      <c r="AD518" s="1402"/>
      <c r="AE518" s="1402"/>
      <c r="AF518" s="1402"/>
      <c r="AG518" s="13" t="s">
        <v>404</v>
      </c>
      <c r="AH518" s="1434">
        <v>2024</v>
      </c>
      <c r="AI518" s="1434"/>
      <c r="AJ518" s="1434"/>
      <c r="AK518" s="1435"/>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4"/>
      <c r="C519" s="1503"/>
      <c r="D519" s="1503"/>
      <c r="E519" s="1503"/>
      <c r="F519" s="1503"/>
      <c r="G519" s="1503"/>
      <c r="H519" s="1504"/>
      <c r="I519" s="48" t="s">
        <v>418</v>
      </c>
      <c r="J519" s="48"/>
      <c r="K519" s="48"/>
      <c r="L519" s="48"/>
      <c r="M519" s="48"/>
      <c r="N519" s="48"/>
      <c r="O519" s="48"/>
      <c r="P519" s="48"/>
      <c r="Q519" s="48"/>
      <c r="R519" s="48"/>
      <c r="S519" s="48"/>
      <c r="T519" s="48"/>
      <c r="U519" s="48"/>
      <c r="V519" s="48"/>
      <c r="W519" s="48"/>
      <c r="X519" s="48"/>
      <c r="Y519" s="48"/>
      <c r="Z519" s="48"/>
      <c r="AA519" s="48"/>
      <c r="AB519" s="48"/>
      <c r="AC519" s="1631">
        <v>11</v>
      </c>
      <c r="AD519" s="1402"/>
      <c r="AE519" s="1402"/>
      <c r="AF519" s="1402"/>
      <c r="AG519" s="38" t="s">
        <v>404</v>
      </c>
      <c r="AH519" s="1434">
        <v>2026</v>
      </c>
      <c r="AI519" s="1434"/>
      <c r="AJ519" s="1434"/>
      <c r="AK519" s="1435"/>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2" t="s">
        <v>420</v>
      </c>
      <c r="C520" s="1499"/>
      <c r="D520" s="1499"/>
      <c r="E520" s="1499"/>
      <c r="F520" s="1499"/>
      <c r="G520" s="1499"/>
      <c r="H520" s="1500"/>
      <c r="I520" s="41" t="s">
        <v>421</v>
      </c>
      <c r="J520" s="42"/>
      <c r="K520" s="42"/>
      <c r="L520" s="42"/>
      <c r="M520" s="42"/>
      <c r="N520" s="42"/>
      <c r="O520" s="1779" t="s">
        <v>2648</v>
      </c>
      <c r="P520" s="1780"/>
      <c r="Q520" s="1780"/>
      <c r="R520" s="1780"/>
      <c r="S520" s="1780"/>
      <c r="T520" s="1780"/>
      <c r="U520" s="1780"/>
      <c r="V520" s="1780"/>
      <c r="W520" s="1780"/>
      <c r="X520" s="1780"/>
      <c r="Y520" s="1780"/>
      <c r="Z520" s="1780"/>
      <c r="AA520" s="1780"/>
      <c r="AB520" s="58"/>
      <c r="AC520" s="1391" t="s">
        <v>600</v>
      </c>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3"/>
      <c r="C521" s="1501"/>
      <c r="D521" s="1501"/>
      <c r="E521" s="1501"/>
      <c r="F521" s="1501"/>
      <c r="G521" s="1501"/>
      <c r="H521" s="1502"/>
      <c r="I521" s="114" t="s">
        <v>422</v>
      </c>
      <c r="AB521" s="65"/>
      <c r="AC521" s="1631">
        <v>1</v>
      </c>
      <c r="AD521" s="1402"/>
      <c r="AE521" s="1402"/>
      <c r="AF521" s="1402"/>
      <c r="AG521" s="13" t="s">
        <v>404</v>
      </c>
      <c r="AH521" s="1434">
        <v>2020</v>
      </c>
      <c r="AI521" s="1434"/>
      <c r="AJ521" s="1434"/>
      <c r="AK521" s="1435"/>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3"/>
      <c r="C522" s="1501"/>
      <c r="D522" s="1501"/>
      <c r="E522" s="1501"/>
      <c r="F522" s="1501"/>
      <c r="G522" s="1501"/>
      <c r="H522" s="1502"/>
      <c r="I522" s="47" t="s">
        <v>423</v>
      </c>
      <c r="J522" s="48"/>
      <c r="K522" s="48"/>
      <c r="L522" s="48"/>
      <c r="M522" s="48"/>
      <c r="N522" s="48"/>
      <c r="O522" s="48"/>
      <c r="P522" s="48"/>
      <c r="Q522" s="48"/>
      <c r="R522" s="48"/>
      <c r="S522" s="48"/>
      <c r="T522" s="48"/>
      <c r="U522" s="48"/>
      <c r="V522" s="48"/>
      <c r="W522" s="48"/>
      <c r="X522" s="48"/>
      <c r="Y522" s="48"/>
      <c r="Z522" s="48"/>
      <c r="AA522" s="48"/>
      <c r="AB522" s="49"/>
      <c r="AC522" s="1631">
        <v>6</v>
      </c>
      <c r="AD522" s="1402"/>
      <c r="AE522" s="1402"/>
      <c r="AF522" s="1402"/>
      <c r="AG522" s="38" t="s">
        <v>404</v>
      </c>
      <c r="AH522" s="1434">
        <v>2020</v>
      </c>
      <c r="AI522" s="1434"/>
      <c r="AJ522" s="1434"/>
      <c r="AK522" s="1435"/>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3"/>
      <c r="C523" s="1501"/>
      <c r="D523" s="1501"/>
      <c r="E523" s="1501"/>
      <c r="F523" s="1501"/>
      <c r="G523" s="1501"/>
      <c r="H523" s="1502"/>
      <c r="I523" s="42" t="s">
        <v>424</v>
      </c>
      <c r="J523" s="42"/>
      <c r="K523" s="42"/>
      <c r="L523" s="42"/>
      <c r="M523" s="42"/>
      <c r="N523" s="42"/>
      <c r="O523" s="1779" t="s">
        <v>2751</v>
      </c>
      <c r="P523" s="1780"/>
      <c r="Q523" s="1780"/>
      <c r="R523" s="1780"/>
      <c r="S523" s="1780"/>
      <c r="T523" s="1780"/>
      <c r="U523" s="1780"/>
      <c r="V523" s="1780"/>
      <c r="W523" s="1780"/>
      <c r="X523" s="1780"/>
      <c r="Y523" s="1780"/>
      <c r="Z523" s="1780"/>
      <c r="AA523" s="1780"/>
      <c r="AC523" s="1631" t="s">
        <v>600</v>
      </c>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3"/>
      <c r="C524" s="1501"/>
      <c r="D524" s="1501"/>
      <c r="E524" s="1501"/>
      <c r="F524" s="1501"/>
      <c r="G524" s="1501"/>
      <c r="H524" s="1502"/>
      <c r="I524" t="s">
        <v>422</v>
      </c>
      <c r="AC524" s="1631">
        <v>1</v>
      </c>
      <c r="AD524" s="1402"/>
      <c r="AE524" s="1402"/>
      <c r="AF524" s="1402"/>
      <c r="AG524" s="13" t="s">
        <v>404</v>
      </c>
      <c r="AH524" s="1434">
        <v>2024</v>
      </c>
      <c r="AI524" s="1434"/>
      <c r="AJ524" s="1434"/>
      <c r="AK524" s="1435"/>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3"/>
      <c r="C525" s="1501"/>
      <c r="D525" s="1501"/>
      <c r="E525" s="1501"/>
      <c r="F525" s="1501"/>
      <c r="G525" s="1501"/>
      <c r="H525" s="1502"/>
      <c r="I525" s="48" t="s">
        <v>423</v>
      </c>
      <c r="J525" s="48"/>
      <c r="K525" s="48"/>
      <c r="L525" s="48"/>
      <c r="M525" s="48"/>
      <c r="N525" s="48"/>
      <c r="O525" s="48"/>
      <c r="P525" s="48"/>
      <c r="Q525" s="48"/>
      <c r="R525" s="48"/>
      <c r="S525" s="48"/>
      <c r="T525" s="48"/>
      <c r="U525" s="48"/>
      <c r="V525" s="48"/>
      <c r="W525" s="48"/>
      <c r="X525" s="48"/>
      <c r="Y525" s="48"/>
      <c r="Z525" s="48"/>
      <c r="AA525" s="48"/>
      <c r="AB525" s="48"/>
      <c r="AC525" s="1631">
        <v>11</v>
      </c>
      <c r="AD525" s="1402"/>
      <c r="AE525" s="1402"/>
      <c r="AF525" s="1402"/>
      <c r="AG525" s="38" t="s">
        <v>404</v>
      </c>
      <c r="AH525" s="1434">
        <v>2026</v>
      </c>
      <c r="AI525" s="1434"/>
      <c r="AJ525" s="1434"/>
      <c r="AK525" s="1435"/>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3"/>
      <c r="C526" s="1501"/>
      <c r="D526" s="1501"/>
      <c r="E526" s="1501"/>
      <c r="F526" s="1501"/>
      <c r="G526" s="1501"/>
      <c r="H526" s="1502"/>
      <c r="I526" s="42" t="s">
        <v>424</v>
      </c>
      <c r="J526" s="42"/>
      <c r="K526" s="42"/>
      <c r="L526" s="42"/>
      <c r="M526" s="42"/>
      <c r="N526" s="42"/>
      <c r="O526" s="1779" t="s">
        <v>2747</v>
      </c>
      <c r="P526" s="1780"/>
      <c r="Q526" s="1780"/>
      <c r="R526" s="1780"/>
      <c r="S526" s="1780"/>
      <c r="T526" s="1780"/>
      <c r="U526" s="1780"/>
      <c r="V526" s="1780"/>
      <c r="W526" s="1780"/>
      <c r="X526" s="1780"/>
      <c r="Y526" s="1780"/>
      <c r="Z526" s="1780"/>
      <c r="AA526" s="1780"/>
      <c r="AC526" s="1631" t="s">
        <v>600</v>
      </c>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3"/>
      <c r="C527" s="1501"/>
      <c r="D527" s="1501"/>
      <c r="E527" s="1501"/>
      <c r="F527" s="1501"/>
      <c r="G527" s="1501"/>
      <c r="H527" s="1502"/>
      <c r="I527" t="s">
        <v>422</v>
      </c>
      <c r="AC527" s="1631" t="s">
        <v>600</v>
      </c>
      <c r="AD527" s="1402"/>
      <c r="AE527" s="1402"/>
      <c r="AF527" s="1402"/>
      <c r="AG527" s="13" t="s">
        <v>404</v>
      </c>
      <c r="AH527" s="1434"/>
      <c r="AI527" s="1434"/>
      <c r="AJ527" s="1434"/>
      <c r="AK527" s="1435"/>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3"/>
      <c r="C528" s="1501"/>
      <c r="D528" s="1501"/>
      <c r="E528" s="1501"/>
      <c r="F528" s="1501"/>
      <c r="G528" s="1501"/>
      <c r="H528" s="1502"/>
      <c r="I528" s="48" t="s">
        <v>423</v>
      </c>
      <c r="J528" s="48"/>
      <c r="K528" s="48"/>
      <c r="L528" s="48"/>
      <c r="M528" s="48"/>
      <c r="N528" s="48"/>
      <c r="O528" s="48"/>
      <c r="P528" s="48"/>
      <c r="Q528" s="48"/>
      <c r="R528" s="48"/>
      <c r="S528" s="48"/>
      <c r="T528" s="48"/>
      <c r="U528" s="48"/>
      <c r="V528" s="48"/>
      <c r="W528" s="48"/>
      <c r="X528" s="48"/>
      <c r="Y528" s="48"/>
      <c r="Z528" s="48"/>
      <c r="AA528" s="48"/>
      <c r="AB528" s="48"/>
      <c r="AC528" s="1631">
        <v>2</v>
      </c>
      <c r="AD528" s="1402"/>
      <c r="AE528" s="1402"/>
      <c r="AF528" s="1402"/>
      <c r="AG528" s="38" t="s">
        <v>404</v>
      </c>
      <c r="AH528" s="1434">
        <v>2025</v>
      </c>
      <c r="AI528" s="1434"/>
      <c r="AJ528" s="1434"/>
      <c r="AK528" s="1435"/>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3"/>
      <c r="C529" s="1501"/>
      <c r="D529" s="1501"/>
      <c r="E529" s="1501"/>
      <c r="F529" s="1501"/>
      <c r="G529" s="1501"/>
      <c r="H529" s="1502"/>
      <c r="I529" s="42" t="s">
        <v>424</v>
      </c>
      <c r="J529" s="42"/>
      <c r="K529" s="42"/>
      <c r="L529" s="42"/>
      <c r="M529" s="42"/>
      <c r="N529" s="42"/>
      <c r="O529" s="1779" t="s">
        <v>335</v>
      </c>
      <c r="P529" s="1780"/>
      <c r="Q529" s="1780"/>
      <c r="R529" s="1780"/>
      <c r="S529" s="1780"/>
      <c r="T529" s="1780"/>
      <c r="U529" s="1780"/>
      <c r="V529" s="1780"/>
      <c r="W529" s="1780"/>
      <c r="X529" s="1780"/>
      <c r="Y529" s="1780"/>
      <c r="Z529" s="1780"/>
      <c r="AA529" s="1780"/>
      <c r="AC529" s="1631" t="s">
        <v>600</v>
      </c>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3"/>
      <c r="C530" s="1501"/>
      <c r="D530" s="1501"/>
      <c r="E530" s="1501"/>
      <c r="F530" s="1501"/>
      <c r="G530" s="1501"/>
      <c r="H530" s="1502"/>
      <c r="I530" t="s">
        <v>422</v>
      </c>
      <c r="AC530" s="1631" t="s">
        <v>600</v>
      </c>
      <c r="AD530" s="1402"/>
      <c r="AE530" s="1402"/>
      <c r="AF530" s="1402"/>
      <c r="AG530" s="13" t="s">
        <v>404</v>
      </c>
      <c r="AH530" s="1434"/>
      <c r="AI530" s="1434"/>
      <c r="AJ530" s="1434"/>
      <c r="AK530" s="1435"/>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3"/>
      <c r="C531" s="1501"/>
      <c r="D531" s="1501"/>
      <c r="E531" s="1501"/>
      <c r="F531" s="1501"/>
      <c r="G531" s="1501"/>
      <c r="H531" s="1502"/>
      <c r="I531" s="48" t="s">
        <v>423</v>
      </c>
      <c r="J531" s="48"/>
      <c r="K531" s="48"/>
      <c r="L531" s="48"/>
      <c r="M531" s="48"/>
      <c r="N531" s="48"/>
      <c r="O531" s="48"/>
      <c r="P531" s="48"/>
      <c r="Q531" s="48"/>
      <c r="R531" s="48"/>
      <c r="S531" s="48"/>
      <c r="T531" s="48"/>
      <c r="U531" s="48"/>
      <c r="V531" s="48"/>
      <c r="W531" s="48"/>
      <c r="X531" s="48"/>
      <c r="Y531" s="48"/>
      <c r="Z531" s="48"/>
      <c r="AA531" s="48"/>
      <c r="AB531" s="48"/>
      <c r="AC531" s="1631" t="s">
        <v>600</v>
      </c>
      <c r="AD531" s="1402"/>
      <c r="AE531" s="1402"/>
      <c r="AF531" s="1402"/>
      <c r="AG531" s="38" t="s">
        <v>404</v>
      </c>
      <c r="AH531" s="1434"/>
      <c r="AI531" s="1434"/>
      <c r="AJ531" s="1434"/>
      <c r="AK531" s="1435"/>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3"/>
      <c r="C532" s="1501"/>
      <c r="D532" s="1501"/>
      <c r="E532" s="1501"/>
      <c r="F532" s="1501"/>
      <c r="G532" s="1501"/>
      <c r="H532" s="1502"/>
      <c r="I532" s="42" t="s">
        <v>424</v>
      </c>
      <c r="J532" s="42"/>
      <c r="K532" s="42"/>
      <c r="L532" s="42"/>
      <c r="M532" s="42"/>
      <c r="N532" s="42"/>
      <c r="O532" s="1779" t="s">
        <v>335</v>
      </c>
      <c r="P532" s="1780"/>
      <c r="Q532" s="1780"/>
      <c r="R532" s="1780"/>
      <c r="S532" s="1780"/>
      <c r="T532" s="1780"/>
      <c r="U532" s="1780"/>
      <c r="V532" s="1780"/>
      <c r="W532" s="1780"/>
      <c r="X532" s="1780"/>
      <c r="Y532" s="1780"/>
      <c r="Z532" s="1780"/>
      <c r="AA532" s="1780"/>
      <c r="AC532" s="1631" t="s">
        <v>600</v>
      </c>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3"/>
      <c r="C533" s="1501"/>
      <c r="D533" s="1501"/>
      <c r="E533" s="1501"/>
      <c r="F533" s="1501"/>
      <c r="G533" s="1501"/>
      <c r="H533" s="1502"/>
      <c r="I533" t="s">
        <v>422</v>
      </c>
      <c r="AC533" s="1631" t="s">
        <v>600</v>
      </c>
      <c r="AD533" s="1402"/>
      <c r="AE533" s="1402"/>
      <c r="AF533" s="1402"/>
      <c r="AG533" s="38" t="s">
        <v>404</v>
      </c>
      <c r="AH533" s="1434"/>
      <c r="AI533" s="1434"/>
      <c r="AJ533" s="1434"/>
      <c r="AK533" s="1435"/>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3"/>
      <c r="C534" s="1501"/>
      <c r="D534" s="1501"/>
      <c r="E534" s="1501"/>
      <c r="F534" s="1501"/>
      <c r="G534" s="1501"/>
      <c r="H534" s="1502"/>
      <c r="I534" s="48" t="s">
        <v>423</v>
      </c>
      <c r="J534" s="48"/>
      <c r="K534" s="48"/>
      <c r="L534" s="48"/>
      <c r="M534" s="48"/>
      <c r="N534" s="48"/>
      <c r="O534" s="48"/>
      <c r="P534" s="48"/>
      <c r="Q534" s="48"/>
      <c r="R534" s="48"/>
      <c r="S534" s="48"/>
      <c r="T534" s="48"/>
      <c r="U534" s="48"/>
      <c r="V534" s="48"/>
      <c r="W534" s="48"/>
      <c r="X534" s="48"/>
      <c r="Y534" s="48"/>
      <c r="Z534" s="48"/>
      <c r="AA534" s="48"/>
      <c r="AB534" s="48"/>
      <c r="AC534" s="1631" t="s">
        <v>600</v>
      </c>
      <c r="AD534" s="1402"/>
      <c r="AE534" s="1402"/>
      <c r="AF534" s="1402"/>
      <c r="AG534" s="13" t="s">
        <v>404</v>
      </c>
      <c r="AH534" s="1434"/>
      <c r="AI534" s="1434"/>
      <c r="AJ534" s="1434"/>
      <c r="AK534" s="1435"/>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3"/>
      <c r="C535" s="1501"/>
      <c r="D535" s="1501"/>
      <c r="E535" s="1501"/>
      <c r="F535" s="1501"/>
      <c r="G535" s="1501"/>
      <c r="H535" s="1502"/>
      <c r="I535" s="42" t="s">
        <v>424</v>
      </c>
      <c r="J535" s="42"/>
      <c r="K535" s="42"/>
      <c r="L535" s="42"/>
      <c r="M535" s="42"/>
      <c r="N535" s="42"/>
      <c r="O535" s="1779" t="s">
        <v>335</v>
      </c>
      <c r="P535" s="1780"/>
      <c r="Q535" s="1780"/>
      <c r="R535" s="1780"/>
      <c r="S535" s="1780"/>
      <c r="T535" s="1780"/>
      <c r="U535" s="1780"/>
      <c r="V535" s="1780"/>
      <c r="W535" s="1780"/>
      <c r="X535" s="1780"/>
      <c r="Y535" s="1780"/>
      <c r="Z535" s="1780"/>
      <c r="AA535" s="1780"/>
      <c r="AC535" s="1631" t="s">
        <v>600</v>
      </c>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3"/>
      <c r="C536" s="1501"/>
      <c r="D536" s="1501"/>
      <c r="E536" s="1501"/>
      <c r="F536" s="1501"/>
      <c r="G536" s="1501"/>
      <c r="H536" s="1502"/>
      <c r="I536" t="s">
        <v>422</v>
      </c>
      <c r="AC536" s="1631" t="s">
        <v>600</v>
      </c>
      <c r="AD536" s="1402"/>
      <c r="AE536" s="1402"/>
      <c r="AF536" s="1402"/>
      <c r="AG536" s="13" t="s">
        <v>404</v>
      </c>
      <c r="AH536" s="1434"/>
      <c r="AI536" s="1434"/>
      <c r="AJ536" s="1434"/>
      <c r="AK536" s="1435"/>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3"/>
      <c r="C537" s="1501"/>
      <c r="D537" s="1501"/>
      <c r="E537" s="1501"/>
      <c r="F537" s="1501"/>
      <c r="G537" s="1501"/>
      <c r="H537" s="1502"/>
      <c r="I537" s="48" t="s">
        <v>423</v>
      </c>
      <c r="J537" s="48"/>
      <c r="K537" s="48"/>
      <c r="L537" s="48"/>
      <c r="M537" s="48"/>
      <c r="N537" s="48"/>
      <c r="O537" s="48"/>
      <c r="P537" s="48"/>
      <c r="Q537" s="48"/>
      <c r="R537" s="48"/>
      <c r="S537" s="48"/>
      <c r="T537" s="48"/>
      <c r="U537" s="48"/>
      <c r="V537" s="48"/>
      <c r="W537" s="48"/>
      <c r="X537" s="48"/>
      <c r="Y537" s="48"/>
      <c r="Z537" s="48"/>
      <c r="AA537" s="48"/>
      <c r="AB537" s="48"/>
      <c r="AC537" s="1631" t="s">
        <v>600</v>
      </c>
      <c r="AD537" s="1402"/>
      <c r="AE537" s="1402"/>
      <c r="AF537" s="1402"/>
      <c r="AG537" s="38" t="s">
        <v>404</v>
      </c>
      <c r="AH537" s="1434"/>
      <c r="AI537" s="1434"/>
      <c r="AJ537" s="1434"/>
      <c r="AK537" s="1435"/>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3"/>
      <c r="C538" s="1501"/>
      <c r="D538" s="1501"/>
      <c r="E538" s="1501"/>
      <c r="F538" s="1501"/>
      <c r="G538" s="1501"/>
      <c r="H538" s="1502"/>
      <c r="I538" s="42" t="s">
        <v>571</v>
      </c>
      <c r="J538" s="42"/>
      <c r="K538" s="42"/>
      <c r="L538" s="42"/>
      <c r="M538" s="42"/>
      <c r="N538" s="42"/>
      <c r="O538" s="42"/>
      <c r="P538" s="42"/>
      <c r="Q538" s="42"/>
      <c r="R538" s="42"/>
      <c r="S538" s="42"/>
      <c r="T538" s="42"/>
      <c r="U538" s="42"/>
      <c r="V538" s="42"/>
      <c r="W538" s="42"/>
      <c r="AC538" s="1631">
        <v>2</v>
      </c>
      <c r="AD538" s="1402"/>
      <c r="AE538" s="1402"/>
      <c r="AF538" s="1402"/>
      <c r="AG538" s="38" t="s">
        <v>404</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3"/>
      <c r="C539" s="1501"/>
      <c r="D539" s="1501"/>
      <c r="E539" s="1501"/>
      <c r="F539" s="1501"/>
      <c r="G539" s="1501"/>
      <c r="H539" s="1502"/>
      <c r="I539" t="s">
        <v>572</v>
      </c>
      <c r="AC539" s="1631">
        <v>2</v>
      </c>
      <c r="AD539" s="1402"/>
      <c r="AE539" s="1402"/>
      <c r="AF539" s="1402"/>
      <c r="AG539" s="13" t="s">
        <v>404</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3"/>
      <c r="C540" s="1501"/>
      <c r="D540" s="1501"/>
      <c r="E540" s="1501"/>
      <c r="F540" s="1501"/>
      <c r="G540" s="1501"/>
      <c r="H540" s="1502"/>
      <c r="I540" t="s">
        <v>573</v>
      </c>
      <c r="AC540" s="1631">
        <v>6</v>
      </c>
      <c r="AD540" s="1402"/>
      <c r="AE540" s="1402"/>
      <c r="AF540" s="1402"/>
      <c r="AG540" s="38" t="s">
        <v>404</v>
      </c>
      <c r="AH540" s="1434">
        <v>2026</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3"/>
      <c r="C541" s="1501"/>
      <c r="D541" s="1501"/>
      <c r="E541" s="1501"/>
      <c r="F541" s="1501"/>
      <c r="G541" s="1501"/>
      <c r="H541" s="1502"/>
      <c r="I541" t="s">
        <v>574</v>
      </c>
      <c r="AC541" s="1631">
        <v>6</v>
      </c>
      <c r="AD541" s="1402"/>
      <c r="AE541" s="1402"/>
      <c r="AF541" s="1402"/>
      <c r="AG541" s="38" t="s">
        <v>404</v>
      </c>
      <c r="AH541" s="1434">
        <v>2026</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4"/>
      <c r="C542" s="1503"/>
      <c r="D542" s="1503"/>
      <c r="E542" s="1503"/>
      <c r="F542" s="1503"/>
      <c r="G542" s="1503"/>
      <c r="H542" s="1504"/>
      <c r="I542" s="48" t="s">
        <v>460</v>
      </c>
      <c r="J542" s="48"/>
      <c r="K542" s="48"/>
      <c r="L542" s="48"/>
      <c r="M542" s="48"/>
      <c r="N542" s="48"/>
      <c r="O542" s="48"/>
      <c r="P542" s="48"/>
      <c r="Q542" s="48"/>
      <c r="R542" s="48"/>
      <c r="S542" s="48"/>
      <c r="T542" s="48"/>
      <c r="U542" s="48"/>
      <c r="V542" s="48"/>
      <c r="W542" s="48"/>
      <c r="X542" s="48"/>
      <c r="Y542" s="48"/>
      <c r="Z542" s="48"/>
      <c r="AA542" s="48"/>
      <c r="AB542" s="48"/>
      <c r="AC542" s="1631">
        <v>9</v>
      </c>
      <c r="AD542" s="1402"/>
      <c r="AE542" s="1402"/>
      <c r="AF542" s="1402"/>
      <c r="AG542" s="38" t="s">
        <v>404</v>
      </c>
      <c r="AH542" s="1434">
        <v>2026</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2" t="s">
        <v>2423</v>
      </c>
      <c r="C551" s="1499"/>
      <c r="D551" s="1499"/>
      <c r="E551" s="1499"/>
      <c r="F551" s="1499"/>
      <c r="G551" s="1499"/>
      <c r="H551" s="1499"/>
      <c r="I551" s="1499"/>
      <c r="J551" s="1499"/>
      <c r="K551" s="1499"/>
      <c r="L551" s="1500"/>
      <c r="M551" s="1632" t="s">
        <v>2424</v>
      </c>
      <c r="N551" s="1499"/>
      <c r="O551" s="1499"/>
      <c r="P551" s="1500"/>
      <c r="Q551" s="1632" t="s">
        <v>2450</v>
      </c>
      <c r="R551" s="1499"/>
      <c r="S551" s="1500"/>
      <c r="T551" s="1632" t="s">
        <v>2451</v>
      </c>
      <c r="U551" s="1499"/>
      <c r="V551" s="1500"/>
      <c r="W551" s="1632" t="s">
        <v>462</v>
      </c>
      <c r="X551" s="1499"/>
      <c r="Y551" s="1500"/>
      <c r="Z551" s="1632" t="s">
        <v>2044</v>
      </c>
      <c r="AA551" s="1499"/>
      <c r="AB551" s="1499"/>
      <c r="AC551" s="1499"/>
      <c r="AD551" s="1500"/>
      <c r="AE551" s="1632" t="s">
        <v>1866</v>
      </c>
      <c r="AF551" s="1499"/>
      <c r="AG551" s="1499"/>
      <c r="AH551" s="1500"/>
      <c r="AI551" s="1632" t="s">
        <v>1867</v>
      </c>
      <c r="AJ551" s="1499"/>
      <c r="AK551" s="1499"/>
      <c r="AL551" s="1500"/>
      <c r="AM551" s="1632" t="s">
        <v>463</v>
      </c>
      <c r="AN551" s="1499"/>
      <c r="AO551" s="1499"/>
      <c r="AP551" s="1499"/>
      <c r="AQ551" s="1499"/>
      <c r="AR551" s="1499"/>
      <c r="AS551" s="150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3"/>
      <c r="C552" s="1501"/>
      <c r="D552" s="1501"/>
      <c r="E552" s="1501"/>
      <c r="F552" s="1501"/>
      <c r="G552" s="1501"/>
      <c r="H552" s="1501"/>
      <c r="I552" s="1501"/>
      <c r="J552" s="1501"/>
      <c r="K552" s="1501"/>
      <c r="L552" s="1502"/>
      <c r="M552" s="1633"/>
      <c r="N552" s="1501"/>
      <c r="O552" s="1501"/>
      <c r="P552" s="1502"/>
      <c r="Q552" s="1633"/>
      <c r="R552" s="1501"/>
      <c r="S552" s="1502"/>
      <c r="T552" s="1633"/>
      <c r="U552" s="1501"/>
      <c r="V552" s="1502"/>
      <c r="W552" s="1633"/>
      <c r="X552" s="1501"/>
      <c r="Y552" s="1502"/>
      <c r="Z552" s="1633"/>
      <c r="AA552" s="1501"/>
      <c r="AB552" s="1501"/>
      <c r="AC552" s="1501"/>
      <c r="AD552" s="1502"/>
      <c r="AE552" s="1633"/>
      <c r="AF552" s="1501"/>
      <c r="AG552" s="1501"/>
      <c r="AH552" s="1502"/>
      <c r="AI552" s="1633"/>
      <c r="AJ552" s="1501"/>
      <c r="AK552" s="1501"/>
      <c r="AL552" s="1502"/>
      <c r="AM552" s="1633"/>
      <c r="AN552" s="1501"/>
      <c r="AO552" s="1501"/>
      <c r="AP552" s="1501"/>
      <c r="AQ552" s="1501"/>
      <c r="AR552" s="1501"/>
      <c r="AS552" s="150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4"/>
      <c r="C553" s="1503"/>
      <c r="D553" s="1503"/>
      <c r="E553" s="1503"/>
      <c r="F553" s="1503"/>
      <c r="G553" s="1503"/>
      <c r="H553" s="1503"/>
      <c r="I553" s="1503"/>
      <c r="J553" s="1503"/>
      <c r="K553" s="1503"/>
      <c r="L553" s="1504"/>
      <c r="M553" s="1634"/>
      <c r="N553" s="1503"/>
      <c r="O553" s="1503"/>
      <c r="P553" s="1504"/>
      <c r="Q553" s="1634"/>
      <c r="R553" s="1503"/>
      <c r="S553" s="1504"/>
      <c r="T553" s="1634"/>
      <c r="U553" s="1503"/>
      <c r="V553" s="1504"/>
      <c r="W553" s="1634"/>
      <c r="X553" s="1503"/>
      <c r="Y553" s="1504"/>
      <c r="Z553" s="1634"/>
      <c r="AA553" s="1503"/>
      <c r="AB553" s="1503"/>
      <c r="AC553" s="1503"/>
      <c r="AD553" s="1504"/>
      <c r="AE553" s="1634"/>
      <c r="AF553" s="1503"/>
      <c r="AG553" s="1503"/>
      <c r="AH553" s="1504"/>
      <c r="AI553" s="1634"/>
      <c r="AJ553" s="1503"/>
      <c r="AK553" s="1503"/>
      <c r="AL553" s="1504"/>
      <c r="AM553" s="1634"/>
      <c r="AN553" s="1503"/>
      <c r="AO553" s="1503"/>
      <c r="AP553" s="1503"/>
      <c r="AQ553" s="1503"/>
      <c r="AR553" s="1503"/>
      <c r="AS553" s="150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5" t="s">
        <v>2718</v>
      </c>
      <c r="D554" s="1635"/>
      <c r="E554" s="1635"/>
      <c r="F554" s="1635"/>
      <c r="G554" s="1635"/>
      <c r="H554" s="1635"/>
      <c r="I554" s="1635"/>
      <c r="J554" s="1635"/>
      <c r="K554" s="1635"/>
      <c r="L554" s="1635"/>
      <c r="M554" s="1635" t="s">
        <v>2440</v>
      </c>
      <c r="N554" s="1635"/>
      <c r="O554" s="1635"/>
      <c r="P554" s="1635"/>
      <c r="Q554" s="1470">
        <v>30</v>
      </c>
      <c r="R554" s="1470"/>
      <c r="S554" s="1471"/>
      <c r="T554" s="1469"/>
      <c r="U554" s="1470"/>
      <c r="V554" s="1471"/>
      <c r="W554" s="1472">
        <v>6.7500000000000004E-2</v>
      </c>
      <c r="X554" s="1473"/>
      <c r="Y554" s="1474"/>
      <c r="Z554" s="1699" t="s">
        <v>2744</v>
      </c>
      <c r="AA554" s="1699"/>
      <c r="AB554" s="1699"/>
      <c r="AC554" s="1699"/>
      <c r="AD554" s="1699"/>
      <c r="AE554" s="1628">
        <v>1</v>
      </c>
      <c r="AF554" s="1629"/>
      <c r="AG554" s="1629"/>
      <c r="AH554" s="1630"/>
      <c r="AI554" s="1625"/>
      <c r="AJ554" s="1626"/>
      <c r="AK554" s="1626"/>
      <c r="AL554" s="1627"/>
      <c r="AM554" s="1689">
        <v>16135303</v>
      </c>
      <c r="AN554" s="1690"/>
      <c r="AO554" s="1690"/>
      <c r="AP554" s="1690"/>
      <c r="AQ554" s="1690"/>
      <c r="AR554" s="1690"/>
      <c r="AS554" s="169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2719</v>
      </c>
      <c r="D555" s="1698"/>
      <c r="E555" s="1698"/>
      <c r="F555" s="1698"/>
      <c r="G555" s="1698"/>
      <c r="H555" s="1698"/>
      <c r="I555" s="1698"/>
      <c r="J555" s="1698"/>
      <c r="K555" s="1698"/>
      <c r="L555" s="1698"/>
      <c r="M555" s="1635" t="s">
        <v>2439</v>
      </c>
      <c r="N555" s="1635"/>
      <c r="O555" s="1635"/>
      <c r="P555" s="1635"/>
      <c r="Q555" s="1469">
        <v>30</v>
      </c>
      <c r="R555" s="1470"/>
      <c r="S555" s="1471"/>
      <c r="T555" s="1469"/>
      <c r="U555" s="1470"/>
      <c r="V555" s="1471"/>
      <c r="W555" s="1472">
        <v>6.7500000000000004E-2</v>
      </c>
      <c r="X555" s="1473"/>
      <c r="Y555" s="1474"/>
      <c r="Z555" s="1699" t="s">
        <v>2744</v>
      </c>
      <c r="AA555" s="1699"/>
      <c r="AB555" s="1699"/>
      <c r="AC555" s="1699"/>
      <c r="AD555" s="1699"/>
      <c r="AE555" s="1628"/>
      <c r="AF555" s="1629"/>
      <c r="AG555" s="1629"/>
      <c r="AH555" s="1630"/>
      <c r="AI555" s="1625"/>
      <c r="AJ555" s="1626"/>
      <c r="AK555" s="1626"/>
      <c r="AL555" s="1627"/>
      <c r="AM555" s="1689">
        <v>1737217</v>
      </c>
      <c r="AN555" s="1690"/>
      <c r="AO555" s="1690"/>
      <c r="AP555" s="1690"/>
      <c r="AQ555" s="1690"/>
      <c r="AR555" s="1690"/>
      <c r="AS555" s="169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2685</v>
      </c>
      <c r="D556" s="1698"/>
      <c r="E556" s="1698"/>
      <c r="F556" s="1698"/>
      <c r="G556" s="1698"/>
      <c r="H556" s="1698"/>
      <c r="I556" s="1698"/>
      <c r="J556" s="1698"/>
      <c r="K556" s="1698"/>
      <c r="L556" s="1698"/>
      <c r="M556" s="1635" t="s">
        <v>2431</v>
      </c>
      <c r="N556" s="1635"/>
      <c r="O556" s="1635"/>
      <c r="P556" s="1635"/>
      <c r="Q556" s="1469"/>
      <c r="R556" s="1470"/>
      <c r="S556" s="1471"/>
      <c r="T556" s="1469"/>
      <c r="U556" s="1470"/>
      <c r="V556" s="1471"/>
      <c r="W556" s="1472"/>
      <c r="X556" s="1473"/>
      <c r="Y556" s="1474"/>
      <c r="Z556" s="1699" t="s">
        <v>600</v>
      </c>
      <c r="AA556" s="1699"/>
      <c r="AB556" s="1699"/>
      <c r="AC556" s="1699"/>
      <c r="AD556" s="1699"/>
      <c r="AE556" s="1628"/>
      <c r="AF556" s="1629"/>
      <c r="AG556" s="1629"/>
      <c r="AH556" s="1630"/>
      <c r="AI556" s="1625"/>
      <c r="AJ556" s="1626"/>
      <c r="AK556" s="1626"/>
      <c r="AL556" s="1627"/>
      <c r="AM556" s="1689">
        <v>3734027</v>
      </c>
      <c r="AN556" s="1690"/>
      <c r="AO556" s="1690"/>
      <c r="AP556" s="1690"/>
      <c r="AQ556" s="1690"/>
      <c r="AR556" s="1690"/>
      <c r="AS556" s="169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8" t="s">
        <v>2747</v>
      </c>
      <c r="D557" s="1698"/>
      <c r="E557" s="1698"/>
      <c r="F557" s="1698"/>
      <c r="G557" s="1698"/>
      <c r="H557" s="1698"/>
      <c r="I557" s="1698"/>
      <c r="J557" s="1698"/>
      <c r="K557" s="1698"/>
      <c r="L557" s="1698"/>
      <c r="M557" s="1635" t="s">
        <v>2436</v>
      </c>
      <c r="N557" s="1635"/>
      <c r="O557" s="1635"/>
      <c r="P557" s="1635"/>
      <c r="Q557" s="1469">
        <f>12*55</f>
        <v>660</v>
      </c>
      <c r="R557" s="1470"/>
      <c r="S557" s="1471"/>
      <c r="T557" s="1469">
        <f>12*55</f>
        <v>660</v>
      </c>
      <c r="U557" s="1470"/>
      <c r="V557" s="1471"/>
      <c r="W557" s="1472">
        <v>0.04</v>
      </c>
      <c r="X557" s="1473"/>
      <c r="Y557" s="1474"/>
      <c r="Z557" s="1699" t="s">
        <v>2744</v>
      </c>
      <c r="AA557" s="1699"/>
      <c r="AB557" s="1699"/>
      <c r="AC557" s="1699"/>
      <c r="AD557" s="1699"/>
      <c r="AE557" s="1628">
        <v>2</v>
      </c>
      <c r="AF557" s="1629"/>
      <c r="AG557" s="1629"/>
      <c r="AH557" s="1630"/>
      <c r="AI557" s="1625"/>
      <c r="AJ557" s="1626"/>
      <c r="AK557" s="1626"/>
      <c r="AL557" s="1627"/>
      <c r="AM557" s="1689">
        <v>4000000</v>
      </c>
      <c r="AN557" s="1690"/>
      <c r="AO557" s="1690"/>
      <c r="AP557" s="1690"/>
      <c r="AQ557" s="1690"/>
      <c r="AR557" s="1690"/>
      <c r="AS557" s="169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8" t="s">
        <v>2646</v>
      </c>
      <c r="D558" s="1698"/>
      <c r="E558" s="1698"/>
      <c r="F558" s="1698"/>
      <c r="G558" s="1698"/>
      <c r="H558" s="1698"/>
      <c r="I558" s="1698"/>
      <c r="J558" s="1698"/>
      <c r="K558" s="1698"/>
      <c r="L558" s="1698"/>
      <c r="M558" s="1635" t="s">
        <v>2427</v>
      </c>
      <c r="N558" s="1635"/>
      <c r="O558" s="1635"/>
      <c r="P558" s="1635"/>
      <c r="Q558" s="1469"/>
      <c r="R558" s="1470"/>
      <c r="S558" s="1471"/>
      <c r="T558" s="1469"/>
      <c r="U558" s="1470"/>
      <c r="V558" s="1471"/>
      <c r="W558" s="1472"/>
      <c r="X558" s="1473"/>
      <c r="Y558" s="1474"/>
      <c r="Z558" s="1699" t="s">
        <v>600</v>
      </c>
      <c r="AA558" s="1699"/>
      <c r="AB558" s="1699"/>
      <c r="AC558" s="1699"/>
      <c r="AD558" s="1699"/>
      <c r="AE558" s="1628"/>
      <c r="AF558" s="1629"/>
      <c r="AG558" s="1629"/>
      <c r="AH558" s="1630"/>
      <c r="AI558" s="1625"/>
      <c r="AJ558" s="1626"/>
      <c r="AK558" s="1626"/>
      <c r="AL558" s="1627"/>
      <c r="AM558" s="1689">
        <v>5112773</v>
      </c>
      <c r="AN558" s="1690"/>
      <c r="AO558" s="1690"/>
      <c r="AP558" s="1690"/>
      <c r="AQ558" s="1690"/>
      <c r="AR558" s="1690"/>
      <c r="AS558" s="1691"/>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8"/>
      <c r="D559" s="1698"/>
      <c r="E559" s="1698"/>
      <c r="F559" s="1698"/>
      <c r="G559" s="1698"/>
      <c r="H559" s="1698"/>
      <c r="I559" s="1698"/>
      <c r="J559" s="1698"/>
      <c r="K559" s="1698"/>
      <c r="L559" s="1698"/>
      <c r="M559" s="1635" t="s">
        <v>1291</v>
      </c>
      <c r="N559" s="1635"/>
      <c r="O559" s="1635"/>
      <c r="P559" s="1635"/>
      <c r="Q559" s="1469"/>
      <c r="R559" s="1470"/>
      <c r="S559" s="1471"/>
      <c r="T559" s="1469"/>
      <c r="U559" s="1470"/>
      <c r="V559" s="1471"/>
      <c r="W559" s="1472"/>
      <c r="X559" s="1473"/>
      <c r="Y559" s="1474"/>
      <c r="Z559" s="1699" t="s">
        <v>1291</v>
      </c>
      <c r="AA559" s="1699"/>
      <c r="AB559" s="1699"/>
      <c r="AC559" s="1699"/>
      <c r="AD559" s="1699"/>
      <c r="AE559" s="1628"/>
      <c r="AF559" s="1629"/>
      <c r="AG559" s="1629"/>
      <c r="AH559" s="1630"/>
      <c r="AI559" s="1625"/>
      <c r="AJ559" s="1626"/>
      <c r="AK559" s="1626"/>
      <c r="AL559" s="1627"/>
      <c r="AM559" s="1689"/>
      <c r="AN559" s="1690"/>
      <c r="AO559" s="1690"/>
      <c r="AP559" s="1690"/>
      <c r="AQ559" s="1690"/>
      <c r="AR559" s="1690"/>
      <c r="AS559" s="1691"/>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8"/>
      <c r="D560" s="1698"/>
      <c r="E560" s="1698"/>
      <c r="F560" s="1698"/>
      <c r="G560" s="1698"/>
      <c r="H560" s="1698"/>
      <c r="I560" s="1698"/>
      <c r="J560" s="1698"/>
      <c r="K560" s="1698"/>
      <c r="L560" s="1698"/>
      <c r="M560" s="1635" t="s">
        <v>1291</v>
      </c>
      <c r="N560" s="1635"/>
      <c r="O560" s="1635"/>
      <c r="P560" s="1635"/>
      <c r="Q560" s="1469"/>
      <c r="R560" s="1470"/>
      <c r="S560" s="1471"/>
      <c r="T560" s="1469"/>
      <c r="U560" s="1470"/>
      <c r="V560" s="1471"/>
      <c r="W560" s="1472"/>
      <c r="X560" s="1473"/>
      <c r="Y560" s="1474"/>
      <c r="Z560" s="1699" t="s">
        <v>1291</v>
      </c>
      <c r="AA560" s="1699"/>
      <c r="AB560" s="1699"/>
      <c r="AC560" s="1699"/>
      <c r="AD560" s="1699"/>
      <c r="AE560" s="1628"/>
      <c r="AF560" s="1629"/>
      <c r="AG560" s="1629"/>
      <c r="AH560" s="1630"/>
      <c r="AI560" s="1625"/>
      <c r="AJ560" s="1626"/>
      <c r="AK560" s="1626"/>
      <c r="AL560" s="1627"/>
      <c r="AM560" s="1689"/>
      <c r="AN560" s="1690"/>
      <c r="AO560" s="1690"/>
      <c r="AP560" s="1690"/>
      <c r="AQ560" s="1690"/>
      <c r="AR560" s="1690"/>
      <c r="AS560" s="169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8"/>
      <c r="D561" s="1698"/>
      <c r="E561" s="1698"/>
      <c r="F561" s="1698"/>
      <c r="G561" s="1698"/>
      <c r="H561" s="1698"/>
      <c r="I561" s="1698"/>
      <c r="J561" s="1698"/>
      <c r="K561" s="1698"/>
      <c r="L561" s="1698"/>
      <c r="M561" s="1635" t="s">
        <v>1291</v>
      </c>
      <c r="N561" s="1635"/>
      <c r="O561" s="1635"/>
      <c r="P561" s="1635"/>
      <c r="Q561" s="1469"/>
      <c r="R561" s="1470"/>
      <c r="S561" s="1471"/>
      <c r="T561" s="1469"/>
      <c r="U561" s="1470"/>
      <c r="V561" s="1471"/>
      <c r="W561" s="1472"/>
      <c r="X561" s="1473"/>
      <c r="Y561" s="1474"/>
      <c r="Z561" s="1699" t="s">
        <v>1291</v>
      </c>
      <c r="AA561" s="1699"/>
      <c r="AB561" s="1699"/>
      <c r="AC561" s="1699"/>
      <c r="AD561" s="1699"/>
      <c r="AE561" s="1628"/>
      <c r="AF561" s="1629"/>
      <c r="AG561" s="1629"/>
      <c r="AH561" s="1630"/>
      <c r="AI561" s="1625"/>
      <c r="AJ561" s="1626"/>
      <c r="AK561" s="1626"/>
      <c r="AL561" s="1627"/>
      <c r="AM561" s="1689"/>
      <c r="AN561" s="1690"/>
      <c r="AO561" s="1690"/>
      <c r="AP561" s="1690"/>
      <c r="AQ561" s="1690"/>
      <c r="AR561" s="1690"/>
      <c r="AS561" s="169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8"/>
      <c r="D562" s="1698"/>
      <c r="E562" s="1698"/>
      <c r="F562" s="1698"/>
      <c r="G562" s="1698"/>
      <c r="H562" s="1698"/>
      <c r="I562" s="1698"/>
      <c r="J562" s="1698"/>
      <c r="K562" s="1698"/>
      <c r="L562" s="1698"/>
      <c r="M562" s="1635" t="s">
        <v>1291</v>
      </c>
      <c r="N562" s="1635"/>
      <c r="O562" s="1635"/>
      <c r="P562" s="1635"/>
      <c r="Q562" s="1469"/>
      <c r="R562" s="1470"/>
      <c r="S562" s="1471"/>
      <c r="T562" s="1469"/>
      <c r="U562" s="1470"/>
      <c r="V562" s="1471"/>
      <c r="W562" s="1472"/>
      <c r="X562" s="1473"/>
      <c r="Y562" s="1474"/>
      <c r="Z562" s="1699" t="s">
        <v>1291</v>
      </c>
      <c r="AA562" s="1699"/>
      <c r="AB562" s="1699"/>
      <c r="AC562" s="1699"/>
      <c r="AD562" s="1699"/>
      <c r="AE562" s="1628"/>
      <c r="AF562" s="1629"/>
      <c r="AG562" s="1629"/>
      <c r="AH562" s="1630"/>
      <c r="AI562" s="1625"/>
      <c r="AJ562" s="1626"/>
      <c r="AK562" s="1626"/>
      <c r="AL562" s="1627"/>
      <c r="AM562" s="1689"/>
      <c r="AN562" s="1690"/>
      <c r="AO562" s="1690"/>
      <c r="AP562" s="1690"/>
      <c r="AQ562" s="1690"/>
      <c r="AR562" s="1690"/>
      <c r="AS562" s="169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8"/>
      <c r="D563" s="1698"/>
      <c r="E563" s="1698"/>
      <c r="F563" s="1698"/>
      <c r="G563" s="1698"/>
      <c r="H563" s="1698"/>
      <c r="I563" s="1698"/>
      <c r="J563" s="1698"/>
      <c r="K563" s="1698"/>
      <c r="L563" s="1698"/>
      <c r="M563" s="1635" t="s">
        <v>1291</v>
      </c>
      <c r="N563" s="1635"/>
      <c r="O563" s="1635"/>
      <c r="P563" s="1635"/>
      <c r="Q563" s="1469"/>
      <c r="R563" s="1470"/>
      <c r="S563" s="1471"/>
      <c r="T563" s="1469"/>
      <c r="U563" s="1470"/>
      <c r="V563" s="1471"/>
      <c r="W563" s="1472"/>
      <c r="X563" s="1473"/>
      <c r="Y563" s="1474"/>
      <c r="Z563" s="1699" t="s">
        <v>1291</v>
      </c>
      <c r="AA563" s="1699"/>
      <c r="AB563" s="1699"/>
      <c r="AC563" s="1699"/>
      <c r="AD563" s="1699"/>
      <c r="AE563" s="1628"/>
      <c r="AF563" s="1629"/>
      <c r="AG563" s="1629"/>
      <c r="AH563" s="1630"/>
      <c r="AI563" s="1625"/>
      <c r="AJ563" s="1626"/>
      <c r="AK563" s="1626"/>
      <c r="AL563" s="1627"/>
      <c r="AM563" s="1689"/>
      <c r="AN563" s="1690"/>
      <c r="AO563" s="1690"/>
      <c r="AP563" s="1690"/>
      <c r="AQ563" s="1690"/>
      <c r="AR563" s="1690"/>
      <c r="AS563" s="169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8"/>
      <c r="D564" s="1698"/>
      <c r="E564" s="1698"/>
      <c r="F564" s="1698"/>
      <c r="G564" s="1698"/>
      <c r="H564" s="1698"/>
      <c r="I564" s="1698"/>
      <c r="J564" s="1698"/>
      <c r="K564" s="1698"/>
      <c r="L564" s="1698"/>
      <c r="M564" s="1635" t="s">
        <v>1291</v>
      </c>
      <c r="N564" s="1635"/>
      <c r="O564" s="1635"/>
      <c r="P564" s="1635"/>
      <c r="Q564" s="1469"/>
      <c r="R564" s="1470"/>
      <c r="S564" s="1471"/>
      <c r="T564" s="1469"/>
      <c r="U564" s="1470"/>
      <c r="V564" s="1471"/>
      <c r="W564" s="1472"/>
      <c r="X564" s="1473"/>
      <c r="Y564" s="1474"/>
      <c r="Z564" s="1699" t="s">
        <v>1291</v>
      </c>
      <c r="AA564" s="1699"/>
      <c r="AB564" s="1699"/>
      <c r="AC564" s="1699"/>
      <c r="AD564" s="1699"/>
      <c r="AE564" s="1628"/>
      <c r="AF564" s="1629"/>
      <c r="AG564" s="1629"/>
      <c r="AH564" s="1630"/>
      <c r="AI564" s="1625"/>
      <c r="AJ564" s="1626"/>
      <c r="AK564" s="1626"/>
      <c r="AL564" s="1627"/>
      <c r="AM564" s="1689"/>
      <c r="AN564" s="1690"/>
      <c r="AO564" s="1690"/>
      <c r="AP564" s="1690"/>
      <c r="AQ564" s="1690"/>
      <c r="AR564" s="1690"/>
      <c r="AS564" s="169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8"/>
      <c r="D565" s="1698"/>
      <c r="E565" s="1698"/>
      <c r="F565" s="1698"/>
      <c r="G565" s="1698"/>
      <c r="H565" s="1698"/>
      <c r="I565" s="1698"/>
      <c r="J565" s="1698"/>
      <c r="K565" s="1698"/>
      <c r="L565" s="1698"/>
      <c r="M565" s="1635" t="s">
        <v>1291</v>
      </c>
      <c r="N565" s="1635"/>
      <c r="O565" s="1635"/>
      <c r="P565" s="1635"/>
      <c r="Q565" s="1469"/>
      <c r="R565" s="1470"/>
      <c r="S565" s="1471"/>
      <c r="T565" s="1469"/>
      <c r="U565" s="1470"/>
      <c r="V565" s="1471"/>
      <c r="W565" s="1472"/>
      <c r="X565" s="1473"/>
      <c r="Y565" s="1474"/>
      <c r="Z565" s="1699" t="s">
        <v>1291</v>
      </c>
      <c r="AA565" s="1699"/>
      <c r="AB565" s="1699"/>
      <c r="AC565" s="1699"/>
      <c r="AD565" s="1699"/>
      <c r="AE565" s="1628"/>
      <c r="AF565" s="1629"/>
      <c r="AG565" s="1629"/>
      <c r="AH565" s="1630"/>
      <c r="AI565" s="1625"/>
      <c r="AJ565" s="1626"/>
      <c r="AK565" s="1626"/>
      <c r="AL565" s="1627"/>
      <c r="AM565" s="1689"/>
      <c r="AN565" s="1690"/>
      <c r="AO565" s="1690"/>
      <c r="AP565" s="1690"/>
      <c r="AQ565" s="1690"/>
      <c r="AR565" s="1690"/>
      <c r="AS565" s="169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51" t="s">
        <v>127</v>
      </c>
      <c r="C566" s="1652"/>
      <c r="D566" s="1652"/>
      <c r="E566" s="1652"/>
      <c r="F566" s="1652"/>
      <c r="G566" s="1652"/>
      <c r="H566" s="1652"/>
      <c r="I566" s="1652"/>
      <c r="J566" s="1652"/>
      <c r="K566" s="1652"/>
      <c r="L566" s="1652"/>
      <c r="M566" s="1652"/>
      <c r="N566" s="1652"/>
      <c r="O566" s="1652"/>
      <c r="P566" s="1652"/>
      <c r="Q566" s="1652"/>
      <c r="R566" s="1652"/>
      <c r="S566" s="1652"/>
      <c r="T566" s="1652"/>
      <c r="U566" s="1707"/>
      <c r="V566" s="1652"/>
      <c r="W566" s="1652"/>
      <c r="X566" s="1652"/>
      <c r="Y566" s="1652"/>
      <c r="Z566" s="1652"/>
      <c r="AA566" s="1652"/>
      <c r="AB566" s="1652"/>
      <c r="AC566" s="1652"/>
      <c r="AD566" s="1652"/>
      <c r="AE566" s="1652"/>
      <c r="AF566" s="1652"/>
      <c r="AG566" s="1652"/>
      <c r="AH566" s="1652"/>
      <c r="AI566" s="1652"/>
      <c r="AJ566" s="1652"/>
      <c r="AK566" s="1652"/>
      <c r="AL566" s="1653"/>
      <c r="AM566" s="1364">
        <f>SUM(AM554:AS565)</f>
        <v>30719320</v>
      </c>
      <c r="AN566" s="1365"/>
      <c r="AO566" s="1365"/>
      <c r="AP566" s="1365"/>
      <c r="AQ566" s="1365"/>
      <c r="AR566" s="1365"/>
      <c r="AS566" s="136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49" t="str">
        <f>C554</f>
        <v>Banc of CA (Tax-Exempt)</v>
      </c>
      <c r="H568" s="1449"/>
      <c r="I568" s="1449"/>
      <c r="J568" s="1449"/>
      <c r="K568" s="1449"/>
      <c r="L568" s="1449"/>
      <c r="M568" s="1449"/>
      <c r="N568" s="1449"/>
      <c r="O568" s="1449"/>
      <c r="P568" s="1449"/>
      <c r="Q568" s="1449"/>
      <c r="R568" s="1449"/>
      <c r="S568" s="8"/>
      <c r="T568" s="55" t="s">
        <v>113</v>
      </c>
      <c r="U568" t="s">
        <v>472</v>
      </c>
      <c r="Z568" s="1449" t="str">
        <f>C555</f>
        <v xml:space="preserve">Banc of CA (Taxable) </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5" t="s">
        <v>2682</v>
      </c>
      <c r="H569" s="1404"/>
      <c r="I569" s="1404"/>
      <c r="J569" s="1404"/>
      <c r="K569" s="1404"/>
      <c r="L569" s="1404"/>
      <c r="M569" s="1404"/>
      <c r="N569" s="1404"/>
      <c r="O569" s="1404"/>
      <c r="P569" s="1404"/>
      <c r="Q569" s="1404"/>
      <c r="R569" s="1404"/>
      <c r="S569" s="8"/>
      <c r="T569" s="22"/>
      <c r="U569" t="s">
        <v>85</v>
      </c>
      <c r="Z569" s="1445" t="s">
        <v>2686</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45" t="s">
        <v>2668</v>
      </c>
      <c r="H570" s="1404"/>
      <c r="I570" s="1404"/>
      <c r="J570" s="1404"/>
      <c r="K570" s="1404"/>
      <c r="L570" s="1404"/>
      <c r="M570" s="1404"/>
      <c r="N570" s="1404"/>
      <c r="O570" s="1404"/>
      <c r="P570" s="1404"/>
      <c r="Q570" s="1404"/>
      <c r="R570" s="1404"/>
      <c r="T570" s="22"/>
      <c r="U570" t="s">
        <v>589</v>
      </c>
      <c r="Z570" s="1489" t="s">
        <v>2687</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5" t="s">
        <v>2683</v>
      </c>
      <c r="H571" s="1404"/>
      <c r="I571" s="1404"/>
      <c r="J571" s="1404"/>
      <c r="K571" s="1404"/>
      <c r="L571" s="1404"/>
      <c r="M571" s="1404"/>
      <c r="N571" s="1404"/>
      <c r="O571" s="1404"/>
      <c r="P571" s="1404"/>
      <c r="Q571" s="1404"/>
      <c r="R571" s="1404"/>
      <c r="S571" s="8"/>
      <c r="T571" s="22"/>
      <c r="U571" t="s">
        <v>17</v>
      </c>
      <c r="Z571" s="1489" t="s">
        <v>2688</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86" t="s">
        <v>2684</v>
      </c>
      <c r="H572" s="1464"/>
      <c r="I572" s="1464"/>
      <c r="J572" s="1464"/>
      <c r="K572" s="1464"/>
      <c r="L572" s="1464"/>
      <c r="O572" s="33" t="s">
        <v>207</v>
      </c>
      <c r="P572" s="1488"/>
      <c r="Q572" s="1488"/>
      <c r="R572" s="1488"/>
      <c r="S572" s="10"/>
      <c r="T572" s="22"/>
      <c r="U572" t="s">
        <v>317</v>
      </c>
      <c r="Z572" s="1686" t="s">
        <v>2689</v>
      </c>
      <c r="AA572" s="1464"/>
      <c r="AB572" s="1464"/>
      <c r="AC572" s="1464"/>
      <c r="AD572" s="1464"/>
      <c r="AE572" s="1464"/>
      <c r="AH572" s="33" t="s">
        <v>207</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4" t="s">
        <v>2721</v>
      </c>
      <c r="I573" s="1404"/>
      <c r="J573" s="1404"/>
      <c r="K573" s="1404"/>
      <c r="L573" s="1404"/>
      <c r="M573" s="1404"/>
      <c r="N573" s="1404"/>
      <c r="O573" s="1404"/>
      <c r="P573" s="1404"/>
      <c r="Q573" s="1404"/>
      <c r="R573" s="1404"/>
      <c r="S573" s="8"/>
      <c r="T573" s="22"/>
      <c r="U573" t="s">
        <v>18</v>
      </c>
      <c r="AA573" s="1404" t="s">
        <v>2721</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45" t="s">
        <v>600</v>
      </c>
      <c r="N574" s="1745"/>
      <c r="O574" s="1745"/>
      <c r="P574" s="1745"/>
      <c r="Q574" s="1745"/>
      <c r="R574" s="1745"/>
      <c r="S574" s="8"/>
      <c r="T574" s="22"/>
      <c r="U574" s="348" t="s">
        <v>1292</v>
      </c>
      <c r="AA574" s="8"/>
      <c r="AB574" s="8"/>
      <c r="AC574" s="8"/>
      <c r="AD574" s="8"/>
      <c r="AE574" s="8"/>
      <c r="AF574" s="1745" t="s">
        <v>600</v>
      </c>
      <c r="AG574" s="1745"/>
      <c r="AH574" s="1745"/>
      <c r="AI574" s="1745"/>
      <c r="AJ574" s="1745"/>
      <c r="AK574" s="17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554</v>
      </c>
      <c r="O575" s="1403"/>
      <c r="T575" s="22"/>
      <c r="U575" t="s">
        <v>20</v>
      </c>
      <c r="AG575" s="1403" t="s">
        <v>554</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49" t="str">
        <f>C556</f>
        <v>Red Stone Equity Partner (Tax Credit Proceeds)</v>
      </c>
      <c r="H577" s="1449"/>
      <c r="I577" s="1449"/>
      <c r="J577" s="1449"/>
      <c r="K577" s="1449"/>
      <c r="L577" s="1449"/>
      <c r="M577" s="1449"/>
      <c r="N577" s="1449"/>
      <c r="O577" s="1449"/>
      <c r="P577" s="1449"/>
      <c r="Q577" s="1449"/>
      <c r="R577" s="1449"/>
      <c r="T577" s="55" t="s">
        <v>590</v>
      </c>
      <c r="U577" t="s">
        <v>472</v>
      </c>
      <c r="Z577" s="1449" t="str">
        <f>C557</f>
        <v>HASBARCO Loan</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2686</v>
      </c>
      <c r="H578" s="1404"/>
      <c r="I578" s="1404"/>
      <c r="J578" s="1404"/>
      <c r="K578" s="1404"/>
      <c r="L578" s="1404"/>
      <c r="M578" s="1404"/>
      <c r="N578" s="1404"/>
      <c r="O578" s="1404"/>
      <c r="P578" s="1404"/>
      <c r="Q578" s="1404"/>
      <c r="R578" s="1404"/>
      <c r="T578" s="22"/>
      <c r="U578" t="s">
        <v>85</v>
      </c>
      <c r="Z578" s="1445" t="s">
        <v>2642</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05" t="s">
        <v>2687</v>
      </c>
      <c r="H579" s="1405"/>
      <c r="I579" s="1405"/>
      <c r="J579" s="1405"/>
      <c r="K579" s="1405"/>
      <c r="L579" s="1405"/>
      <c r="M579" s="1405"/>
      <c r="N579" s="1405"/>
      <c r="O579" s="1405"/>
      <c r="P579" s="1405"/>
      <c r="Q579" s="1405"/>
      <c r="R579" s="1405"/>
      <c r="T579" s="22"/>
      <c r="U579" t="s">
        <v>589</v>
      </c>
      <c r="Z579" s="1489" t="s">
        <v>2656</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5" t="s">
        <v>2688</v>
      </c>
      <c r="H580" s="1405"/>
      <c r="I580" s="1405"/>
      <c r="J580" s="1405"/>
      <c r="K580" s="1405"/>
      <c r="L580" s="1405"/>
      <c r="M580" s="1405"/>
      <c r="N580" s="1405"/>
      <c r="O580" s="1405"/>
      <c r="P580" s="1405"/>
      <c r="Q580" s="1405"/>
      <c r="R580" s="1405"/>
      <c r="T580" s="22"/>
      <c r="U580" t="s">
        <v>17</v>
      </c>
      <c r="Z580" s="1489" t="s">
        <v>2649</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86" t="s">
        <v>2689</v>
      </c>
      <c r="H581" s="1464"/>
      <c r="I581" s="1464"/>
      <c r="J581" s="1464"/>
      <c r="K581" s="1464"/>
      <c r="L581" s="1464"/>
      <c r="O581" s="33" t="s">
        <v>207</v>
      </c>
      <c r="P581" s="1488"/>
      <c r="Q581" s="1488"/>
      <c r="R581" s="1488"/>
      <c r="T581" s="22"/>
      <c r="U581" t="s">
        <v>317</v>
      </c>
      <c r="Z581" s="1686" t="s">
        <v>2650</v>
      </c>
      <c r="AA581" s="1464"/>
      <c r="AB581" s="1464"/>
      <c r="AC581" s="1464"/>
      <c r="AD581" s="1464"/>
      <c r="AE581" s="1464"/>
      <c r="AH581" s="33" t="s">
        <v>207</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2722</v>
      </c>
      <c r="I582" s="1404"/>
      <c r="J582" s="1404"/>
      <c r="K582" s="1404"/>
      <c r="L582" s="1404"/>
      <c r="M582" s="1404"/>
      <c r="N582" s="1404"/>
      <c r="O582" s="1404"/>
      <c r="P582" s="1404"/>
      <c r="Q582" s="1404"/>
      <c r="R582" s="1404"/>
      <c r="T582" s="22"/>
      <c r="U582" t="s">
        <v>18</v>
      </c>
      <c r="AA582" s="1404" t="s">
        <v>2752</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554</v>
      </c>
      <c r="O583" s="1403"/>
      <c r="T583" s="22"/>
      <c r="U583" t="s">
        <v>20</v>
      </c>
      <c r="AG583" s="1403" t="s">
        <v>554</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49" t="str">
        <f>C558</f>
        <v>Deferred Costs</v>
      </c>
      <c r="H585" s="1449"/>
      <c r="I585" s="1449"/>
      <c r="J585" s="1449"/>
      <c r="K585" s="1449"/>
      <c r="L585" s="1449"/>
      <c r="M585" s="1449"/>
      <c r="N585" s="1449"/>
      <c r="O585" s="1449"/>
      <c r="P585" s="1449"/>
      <c r="Q585" s="1449"/>
      <c r="R585" s="1449"/>
      <c r="T585" s="55" t="s">
        <v>593</v>
      </c>
      <c r="U585" t="s">
        <v>472</v>
      </c>
      <c r="Z585" s="1449">
        <f>C559</f>
        <v>0</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5" t="s">
        <v>2682</v>
      </c>
      <c r="H586" s="1404"/>
      <c r="I586" s="1404"/>
      <c r="J586" s="1404"/>
      <c r="K586" s="1404"/>
      <c r="L586" s="1404"/>
      <c r="M586" s="1404"/>
      <c r="N586" s="1404"/>
      <c r="O586" s="1404"/>
      <c r="P586" s="1404"/>
      <c r="Q586" s="1404"/>
      <c r="R586" s="1404"/>
      <c r="T586" s="22"/>
      <c r="U586" t="s">
        <v>85</v>
      </c>
      <c r="Z586" s="1404"/>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45" t="s">
        <v>2668</v>
      </c>
      <c r="H587" s="1404"/>
      <c r="I587" s="1404"/>
      <c r="J587" s="1404"/>
      <c r="K587" s="1404"/>
      <c r="L587" s="1404"/>
      <c r="M587" s="1404"/>
      <c r="N587" s="1404"/>
      <c r="O587" s="1404"/>
      <c r="P587" s="1404"/>
      <c r="Q587" s="1404"/>
      <c r="R587" s="1404"/>
      <c r="T587" s="22"/>
      <c r="U587" t="s">
        <v>589</v>
      </c>
      <c r="Z587" s="1405"/>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5" t="s">
        <v>2690</v>
      </c>
      <c r="H588" s="1404"/>
      <c r="I588" s="1404"/>
      <c r="J588" s="1404"/>
      <c r="K588" s="1404"/>
      <c r="L588" s="1404"/>
      <c r="M588" s="1404"/>
      <c r="N588" s="1404"/>
      <c r="O588" s="1404"/>
      <c r="P588" s="1404"/>
      <c r="Q588" s="1404"/>
      <c r="R588" s="1404"/>
      <c r="T588" s="22"/>
      <c r="U588" t="s">
        <v>17</v>
      </c>
      <c r="Z588" s="1405"/>
      <c r="AA588" s="1405"/>
      <c r="AB588" s="1405"/>
      <c r="AC588" s="1405"/>
      <c r="AD588" s="1405"/>
      <c r="AE588" s="1405"/>
      <c r="AF588" s="1405"/>
      <c r="AG588" s="1405"/>
      <c r="AH588" s="1405"/>
      <c r="AI588" s="1405"/>
      <c r="AJ588" s="1405"/>
      <c r="AK588" s="1405"/>
    </row>
    <row r="589" spans="1:110" ht="12.95" customHeight="1">
      <c r="A589" s="22"/>
      <c r="B589" t="s">
        <v>317</v>
      </c>
      <c r="G589" s="1686" t="s">
        <v>2684</v>
      </c>
      <c r="H589" s="1464"/>
      <c r="I589" s="1464"/>
      <c r="J589" s="1464"/>
      <c r="K589" s="1464"/>
      <c r="L589" s="1464"/>
      <c r="O589" s="33" t="s">
        <v>207</v>
      </c>
      <c r="P589" s="1488"/>
      <c r="Q589" s="1488"/>
      <c r="R589" s="1488"/>
      <c r="T589" s="22"/>
      <c r="U589" t="s">
        <v>317</v>
      </c>
      <c r="Z589" s="1464"/>
      <c r="AA589" s="1464"/>
      <c r="AB589" s="1464"/>
      <c r="AC589" s="1464"/>
      <c r="AD589" s="1464"/>
      <c r="AE589" s="1464"/>
      <c r="AH589" s="33" t="s">
        <v>207</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t="s">
        <v>2646</v>
      </c>
      <c r="I590" s="1404"/>
      <c r="J590" s="1404"/>
      <c r="K590" s="1404"/>
      <c r="L590" s="1404"/>
      <c r="M590" s="1404"/>
      <c r="N590" s="1404"/>
      <c r="O590" s="1404"/>
      <c r="P590" s="1404"/>
      <c r="Q590" s="1404"/>
      <c r="R590" s="1404"/>
      <c r="T590" s="22"/>
      <c r="U590" t="s">
        <v>18</v>
      </c>
      <c r="AA590" s="1404"/>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554</v>
      </c>
      <c r="O591" s="1403"/>
      <c r="T591" s="22"/>
      <c r="U591" t="s">
        <v>20</v>
      </c>
      <c r="AG591" s="1403" t="s">
        <v>678</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49">
        <f>C560</f>
        <v>0</v>
      </c>
      <c r="H593" s="1449"/>
      <c r="I593" s="1449"/>
      <c r="J593" s="1449"/>
      <c r="K593" s="1449"/>
      <c r="L593" s="1449"/>
      <c r="M593" s="1449"/>
      <c r="N593" s="1449"/>
      <c r="O593" s="1449"/>
      <c r="P593" s="1449"/>
      <c r="Q593" s="1449"/>
      <c r="R593" s="1449"/>
      <c r="T593" s="55" t="s">
        <v>465</v>
      </c>
      <c r="U593" t="s">
        <v>472</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04"/>
      <c r="H595" s="1404"/>
      <c r="I595" s="1404"/>
      <c r="J595" s="1404"/>
      <c r="K595" s="1404"/>
      <c r="L595" s="1404"/>
      <c r="M595" s="1404"/>
      <c r="N595" s="1404"/>
      <c r="O595" s="1404"/>
      <c r="P595" s="1404"/>
      <c r="Q595" s="1404"/>
      <c r="R595" s="1404"/>
      <c r="S595"/>
      <c r="T595" s="22"/>
      <c r="U595" t="s">
        <v>589</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483</v>
      </c>
      <c r="BF596" s="122"/>
      <c r="BG596" s="1492"/>
      <c r="BH596" s="1494"/>
      <c r="BI596" s="121" t="s">
        <v>484</v>
      </c>
      <c r="BJ596" s="122"/>
      <c r="BK596" s="1492"/>
      <c r="BL596" s="1494"/>
      <c r="BM596" s="3"/>
      <c r="BN596" s="1422" t="s">
        <v>642</v>
      </c>
      <c r="BO596" s="1423"/>
      <c r="BP596" s="1423"/>
      <c r="BQ596" s="1423"/>
      <c r="BR596" s="1424"/>
      <c r="BS596" s="1507" t="s">
        <v>326</v>
      </c>
      <c r="BT596" s="1507"/>
      <c r="BU596" s="1507"/>
      <c r="BV596" s="1507"/>
      <c r="BW596" s="1507"/>
      <c r="BX596" s="1507" t="s">
        <v>163</v>
      </c>
      <c r="BY596" s="1507"/>
      <c r="BZ596" s="1507"/>
      <c r="CA596" s="1507"/>
      <c r="CB596" s="1507"/>
      <c r="CC596" s="1507" t="s">
        <v>164</v>
      </c>
      <c r="CD596" s="1507"/>
      <c r="CE596" s="1507"/>
      <c r="CF596" s="1507"/>
      <c r="CG596" s="1507"/>
      <c r="CH596" s="1507" t="s">
        <v>469</v>
      </c>
      <c r="CI596" s="1507"/>
      <c r="CJ596" s="1507"/>
      <c r="CK596" s="1507"/>
      <c r="CL596" s="1507"/>
      <c r="CM596" s="1507" t="s">
        <v>30</v>
      </c>
      <c r="CN596" s="1507"/>
      <c r="CO596" s="1507"/>
      <c r="CP596" s="1507"/>
      <c r="CQ596" s="1507"/>
      <c r="CR596" s="89"/>
      <c r="CS596" s="1507" t="s">
        <v>642</v>
      </c>
      <c r="CT596" s="1507"/>
      <c r="CU596" s="1507"/>
      <c r="CV596" s="1507"/>
      <c r="CW596" s="1507"/>
      <c r="CX596" s="1507" t="s">
        <v>326</v>
      </c>
      <c r="CY596" s="1507"/>
      <c r="CZ596" s="1507"/>
      <c r="DA596" s="1507"/>
      <c r="DB596" s="1507"/>
      <c r="DC596" s="1507" t="s">
        <v>163</v>
      </c>
      <c r="DD596" s="1507"/>
      <c r="DE596" s="1507"/>
      <c r="DF596" s="1507"/>
      <c r="DG596" s="1507"/>
      <c r="DH596" s="1507" t="s">
        <v>164</v>
      </c>
      <c r="DI596" s="1507"/>
      <c r="DJ596" s="1507"/>
      <c r="DK596" s="1507"/>
      <c r="DL596" s="1507"/>
      <c r="DM596" s="1507" t="s">
        <v>469</v>
      </c>
      <c r="DN596" s="1507"/>
      <c r="DO596" s="1507"/>
      <c r="DP596" s="1507"/>
      <c r="DQ596" s="1507"/>
      <c r="DR596" s="1507" t="s">
        <v>30</v>
      </c>
      <c r="DS596" s="1507"/>
      <c r="DT596" s="1507"/>
      <c r="DU596" s="1507"/>
      <c r="DV596" s="1507"/>
      <c r="DX596" s="1507" t="s">
        <v>642</v>
      </c>
      <c r="DY596" s="1507"/>
      <c r="DZ596" s="1507"/>
      <c r="EA596" s="1507"/>
      <c r="EB596" s="1507"/>
      <c r="EC596" s="1507" t="s">
        <v>326</v>
      </c>
      <c r="ED596" s="1507"/>
      <c r="EE596" s="1507"/>
      <c r="EF596" s="1507"/>
      <c r="EG596" s="1507"/>
      <c r="EH596" s="1507" t="s">
        <v>163</v>
      </c>
      <c r="EI596" s="1507"/>
      <c r="EJ596" s="1507"/>
      <c r="EK596" s="1507"/>
      <c r="EL596" s="1507"/>
      <c r="EM596" s="1507" t="s">
        <v>164</v>
      </c>
      <c r="EN596" s="1507"/>
      <c r="EO596" s="1507"/>
      <c r="EP596" s="1507"/>
      <c r="EQ596" s="1507"/>
      <c r="ER596" s="1507" t="s">
        <v>469</v>
      </c>
      <c r="ES596" s="1507"/>
      <c r="ET596" s="1507"/>
      <c r="EU596" s="1507"/>
      <c r="EV596" s="1507"/>
      <c r="EW596" s="1507" t="s">
        <v>30</v>
      </c>
      <c r="EX596" s="1507"/>
      <c r="EY596" s="1507"/>
      <c r="EZ596" s="1507"/>
      <c r="FA596" s="1507"/>
    </row>
    <row r="597" spans="1:157" s="4" customFormat="1" ht="12.95" customHeight="1">
      <c r="A597" s="22"/>
      <c r="B597" t="s">
        <v>317</v>
      </c>
      <c r="C597"/>
      <c r="D597"/>
      <c r="E597"/>
      <c r="F597"/>
      <c r="G597" s="1464"/>
      <c r="H597" s="1464"/>
      <c r="I597" s="1464"/>
      <c r="J597" s="1464"/>
      <c r="K597" s="1464"/>
      <c r="L597" s="1464"/>
      <c r="M597"/>
      <c r="N597"/>
      <c r="O597" s="33" t="s">
        <v>207</v>
      </c>
      <c r="P597" s="1488"/>
      <c r="Q597" s="1488"/>
      <c r="R597" s="1488"/>
      <c r="S597"/>
      <c r="T597" s="22"/>
      <c r="U597" t="s">
        <v>317</v>
      </c>
      <c r="V597"/>
      <c r="W597"/>
      <c r="X597"/>
      <c r="Y597"/>
      <c r="Z597" s="1464"/>
      <c r="AA597" s="1464"/>
      <c r="AB597" s="1464"/>
      <c r="AC597" s="1464"/>
      <c r="AD597" s="1464"/>
      <c r="AE597" s="1464"/>
      <c r="AF597"/>
      <c r="AG597"/>
      <c r="AH597" s="33" t="s">
        <v>207</v>
      </c>
      <c r="AI597" s="1488"/>
      <c r="AJ597" s="1488"/>
      <c r="AK597" s="1488"/>
      <c r="AL597"/>
      <c r="AM597"/>
      <c r="AN597"/>
      <c r="AO597"/>
      <c r="AP597"/>
      <c r="AQ597"/>
      <c r="AR597"/>
      <c r="AS597"/>
      <c r="AT597"/>
      <c r="AU597"/>
      <c r="AV597"/>
      <c r="AW597"/>
      <c r="AX597"/>
      <c r="AY597"/>
      <c r="BA597" s="4" t="s">
        <v>326</v>
      </c>
      <c r="BB597" s="3"/>
      <c r="BC597" s="3"/>
      <c r="BD597" s="3"/>
      <c r="BE597" s="1481">
        <f t="shared" ref="BE597:BE631" si="1">IF(AND(AC718&lt;=0.5,AC718&gt;=0.36),1,0)</f>
        <v>0</v>
      </c>
      <c r="BF597" s="1483"/>
      <c r="BG597" s="1492">
        <f t="shared" ref="BG597:BG631" si="2">IF(BE597=1,G718,0)</f>
        <v>0</v>
      </c>
      <c r="BH597" s="1494"/>
      <c r="BI597" s="1481">
        <f t="shared" ref="BI597:BI631" si="3">IF(AND(AC718&lt;=0.35,AC718&gt;0),1,0)</f>
        <v>1</v>
      </c>
      <c r="BJ597" s="1483"/>
      <c r="BK597" s="1492">
        <f t="shared" ref="BK597:BK631" si="4">IF(BI597=1,G718,0)</f>
        <v>15</v>
      </c>
      <c r="BL597" s="1494"/>
      <c r="BM597" s="3"/>
      <c r="BN597" s="1485">
        <f t="shared" ref="BN597:BN631" si="5">IF(B718="SRO/Studio",G718,0)</f>
        <v>15</v>
      </c>
      <c r="BO597" s="1486"/>
      <c r="BP597" s="1486"/>
      <c r="BQ597" s="1486"/>
      <c r="BR597" s="1487"/>
      <c r="BS597" s="1484">
        <f t="shared" ref="BS597:BS631" si="6">IF(B718="1 Bedroom",G718,0)</f>
        <v>0</v>
      </c>
      <c r="BT597" s="1484"/>
      <c r="BU597" s="1484"/>
      <c r="BV597" s="1484"/>
      <c r="BW597" s="1484"/>
      <c r="BX597" s="1484">
        <f t="shared" ref="BX597:BX631" si="7">IF(B718="2 Bedrooms",G718,0)</f>
        <v>0</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5">
        <f t="shared" ref="CS597:CS631" si="11">IF(AND(B718="SRO/Studio",AC718&lt;=0.3),G718,0)</f>
        <v>15</v>
      </c>
      <c r="CT597" s="1495"/>
      <c r="CU597" s="1495"/>
      <c r="CV597" s="1495"/>
      <c r="CW597" s="1495"/>
      <c r="CX597" s="1495">
        <f t="shared" ref="CX597:CX631" si="12">IF(AND(B718="1 Bedroom",AC718&lt;=0.3),G718,0)</f>
        <v>0</v>
      </c>
      <c r="CY597" s="1495"/>
      <c r="CZ597" s="1495"/>
      <c r="DA597" s="1495"/>
      <c r="DB597" s="1495"/>
      <c r="DC597" s="1495">
        <f t="shared" ref="DC597:DC631" si="13">IF(AND(B718="2 Bedrooms",AC718&lt;=0.3),G718,0)</f>
        <v>0</v>
      </c>
      <c r="DD597" s="1495"/>
      <c r="DE597" s="1495"/>
      <c r="DF597" s="1495"/>
      <c r="DG597" s="1495"/>
      <c r="DH597" s="1495">
        <f t="shared" ref="DH597:DH631" si="14">IF(AND(B718="3 Bedrooms",AC718&lt;=0.3),G718,0)</f>
        <v>0</v>
      </c>
      <c r="DI597" s="1495"/>
      <c r="DJ597" s="1495"/>
      <c r="DK597" s="1495"/>
      <c r="DL597" s="1495"/>
      <c r="DM597" s="1495">
        <f t="shared" ref="DM597:DM631" si="15">IF(AND(B718="4 Bedrooms",AC718&lt;=0.3),G718,0)</f>
        <v>0</v>
      </c>
      <c r="DN597" s="1495"/>
      <c r="DO597" s="1495"/>
      <c r="DP597" s="1495"/>
      <c r="DQ597" s="1495"/>
      <c r="DR597" s="1495">
        <f t="shared" ref="DR597:DR631" si="16">IF(AND(B718="5 Bedrooms",AC718&lt;=0.3),G718,0)</f>
        <v>0</v>
      </c>
      <c r="DS597" s="1495"/>
      <c r="DT597" s="1495"/>
      <c r="DU597" s="1495"/>
      <c r="DV597" s="1495"/>
      <c r="DX597" s="1481">
        <f t="shared" ref="DX597:DX631" si="17">IF(BN597&gt;0,O718,"")</f>
        <v>389</v>
      </c>
      <c r="DY597" s="1482"/>
      <c r="DZ597" s="1482"/>
      <c r="EA597" s="1482"/>
      <c r="EB597" s="1483"/>
      <c r="EC597" s="1481" t="str">
        <f t="shared" ref="EC597:EC631" si="18">IF(BS597&gt;0,O718,"")</f>
        <v/>
      </c>
      <c r="ED597" s="1482"/>
      <c r="EE597" s="1482"/>
      <c r="EF597" s="1482"/>
      <c r="EG597" s="1483"/>
      <c r="EH597" s="1481" t="str">
        <f t="shared" ref="EH597:EH631" si="19">IF(BX597&gt;0,O718,"")</f>
        <v/>
      </c>
      <c r="EI597" s="1482"/>
      <c r="EJ597" s="1482"/>
      <c r="EK597" s="1482"/>
      <c r="EL597" s="1483"/>
      <c r="EM597" s="1481" t="str">
        <f t="shared" ref="EM597:EM631" si="20">IF(CC597&gt;0,O718,"")</f>
        <v/>
      </c>
      <c r="EN597" s="1482"/>
      <c r="EO597" s="1482"/>
      <c r="EP597" s="1482"/>
      <c r="EQ597" s="1483"/>
      <c r="ER597" s="1481" t="str">
        <f t="shared" ref="ER597:ER631" si="21">IF(CH597&gt;0,O718,"")</f>
        <v/>
      </c>
      <c r="ES597" s="1482"/>
      <c r="ET597" s="1482"/>
      <c r="EU597" s="1482"/>
      <c r="EV597" s="1483"/>
      <c r="EW597" s="1481" t="str">
        <f t="shared" ref="EW597:EW631" si="22">IF(CM597&gt;0,O718,"")</f>
        <v/>
      </c>
      <c r="EX597" s="1482"/>
      <c r="EY597" s="1482"/>
      <c r="EZ597" s="1482"/>
      <c r="FA597" s="1483"/>
    </row>
    <row r="598" spans="1:157" s="4" customFormat="1" ht="12.95"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1">
        <f t="shared" si="1"/>
        <v>0</v>
      </c>
      <c r="BF598" s="1483"/>
      <c r="BG598" s="1492">
        <f t="shared" si="2"/>
        <v>0</v>
      </c>
      <c r="BH598" s="1494"/>
      <c r="BI598" s="1481">
        <f t="shared" si="3"/>
        <v>1</v>
      </c>
      <c r="BJ598" s="1483"/>
      <c r="BK598" s="1492">
        <f t="shared" si="4"/>
        <v>12</v>
      </c>
      <c r="BL598" s="1494"/>
      <c r="BM598" s="3"/>
      <c r="BN598" s="1485">
        <f t="shared" si="5"/>
        <v>12</v>
      </c>
      <c r="BO598" s="1486"/>
      <c r="BP598" s="1486"/>
      <c r="BQ598" s="1486"/>
      <c r="BR598" s="1487"/>
      <c r="BS598" s="1484">
        <f t="shared" si="6"/>
        <v>0</v>
      </c>
      <c r="BT598" s="1484"/>
      <c r="BU598" s="1484"/>
      <c r="BV598" s="1484"/>
      <c r="BW598" s="1484"/>
      <c r="BX598" s="1484">
        <f t="shared" si="7"/>
        <v>0</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5">
        <f t="shared" si="11"/>
        <v>12</v>
      </c>
      <c r="CT598" s="1495"/>
      <c r="CU598" s="1495"/>
      <c r="CV598" s="1495"/>
      <c r="CW598" s="1495"/>
      <c r="CX598" s="1495">
        <f t="shared" si="12"/>
        <v>0</v>
      </c>
      <c r="CY598" s="1495"/>
      <c r="CZ598" s="1495"/>
      <c r="DA598" s="1495"/>
      <c r="DB598" s="1495"/>
      <c r="DC598" s="1495">
        <f t="shared" si="13"/>
        <v>0</v>
      </c>
      <c r="DD598" s="1495"/>
      <c r="DE598" s="1495"/>
      <c r="DF598" s="1495"/>
      <c r="DG598" s="1495"/>
      <c r="DH598" s="1495">
        <f t="shared" si="14"/>
        <v>0</v>
      </c>
      <c r="DI598" s="1495"/>
      <c r="DJ598" s="1495"/>
      <c r="DK598" s="1495"/>
      <c r="DL598" s="1495"/>
      <c r="DM598" s="1495">
        <f t="shared" si="15"/>
        <v>0</v>
      </c>
      <c r="DN598" s="1495"/>
      <c r="DO598" s="1495"/>
      <c r="DP598" s="1495"/>
      <c r="DQ598" s="1495"/>
      <c r="DR598" s="1495">
        <f t="shared" si="16"/>
        <v>0</v>
      </c>
      <c r="DS598" s="1495"/>
      <c r="DT598" s="1495"/>
      <c r="DU598" s="1495"/>
      <c r="DV598" s="1495"/>
      <c r="DX598" s="1481">
        <f t="shared" si="17"/>
        <v>777</v>
      </c>
      <c r="DY598" s="1482"/>
      <c r="DZ598" s="1482"/>
      <c r="EA598" s="1482"/>
      <c r="EB598" s="1483"/>
      <c r="EC598" s="1481" t="str">
        <f t="shared" si="18"/>
        <v/>
      </c>
      <c r="ED598" s="1482"/>
      <c r="EE598" s="1482"/>
      <c r="EF598" s="1482"/>
      <c r="EG598" s="1483"/>
      <c r="EH598" s="1481" t="str">
        <f t="shared" si="19"/>
        <v/>
      </c>
      <c r="EI598" s="1482"/>
      <c r="EJ598" s="1482"/>
      <c r="EK598" s="1482"/>
      <c r="EL598" s="1483"/>
      <c r="EM598" s="1481" t="str">
        <f t="shared" si="20"/>
        <v/>
      </c>
      <c r="EN598" s="1482"/>
      <c r="EO598" s="1482"/>
      <c r="EP598" s="1482"/>
      <c r="EQ598" s="1483"/>
      <c r="ER598" s="1481" t="str">
        <f t="shared" si="21"/>
        <v/>
      </c>
      <c r="ES598" s="1482"/>
      <c r="ET598" s="1482"/>
      <c r="EU598" s="1482"/>
      <c r="EV598" s="1483"/>
      <c r="EW598" s="1481" t="str">
        <f t="shared" si="22"/>
        <v/>
      </c>
      <c r="EX598" s="1482"/>
      <c r="EY598" s="1482"/>
      <c r="EZ598" s="1482"/>
      <c r="FA598" s="1483"/>
    </row>
    <row r="599" spans="1:157" ht="12.95" customHeight="1">
      <c r="A599" s="22"/>
      <c r="B599" t="s">
        <v>20</v>
      </c>
      <c r="N599" s="1403" t="s">
        <v>678</v>
      </c>
      <c r="O599" s="1403"/>
      <c r="T599" s="22"/>
      <c r="U599" t="s">
        <v>20</v>
      </c>
      <c r="AG599" s="1403" t="s">
        <v>678</v>
      </c>
      <c r="AH599" s="1403"/>
      <c r="BA599" s="4" t="s">
        <v>164</v>
      </c>
      <c r="BB599" s="3"/>
      <c r="BC599" s="3"/>
      <c r="BD599" s="3"/>
      <c r="BE599" s="1481">
        <f t="shared" si="1"/>
        <v>0</v>
      </c>
      <c r="BF599" s="1483"/>
      <c r="BG599" s="1492">
        <f t="shared" si="2"/>
        <v>0</v>
      </c>
      <c r="BH599" s="1494"/>
      <c r="BI599" s="1481">
        <f t="shared" si="3"/>
        <v>0</v>
      </c>
      <c r="BJ599" s="1483"/>
      <c r="BK599" s="1492">
        <f t="shared" si="4"/>
        <v>0</v>
      </c>
      <c r="BL599" s="1494"/>
      <c r="BM599" s="3"/>
      <c r="BN599" s="1485">
        <f t="shared" si="5"/>
        <v>2</v>
      </c>
      <c r="BO599" s="1486"/>
      <c r="BP599" s="1486"/>
      <c r="BQ599" s="1486"/>
      <c r="BR599" s="1487"/>
      <c r="BS599" s="1484">
        <f t="shared" si="6"/>
        <v>0</v>
      </c>
      <c r="BT599" s="1484"/>
      <c r="BU599" s="1484"/>
      <c r="BV599" s="1484"/>
      <c r="BW599" s="1484"/>
      <c r="BX599" s="1484">
        <f t="shared" si="7"/>
        <v>0</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5">
        <f t="shared" si="11"/>
        <v>0</v>
      </c>
      <c r="CT599" s="1495"/>
      <c r="CU599" s="1495"/>
      <c r="CV599" s="1495"/>
      <c r="CW599" s="1495"/>
      <c r="CX599" s="1495">
        <f t="shared" si="12"/>
        <v>0</v>
      </c>
      <c r="CY599" s="1495"/>
      <c r="CZ599" s="1495"/>
      <c r="DA599" s="1495"/>
      <c r="DB599" s="1495"/>
      <c r="DC599" s="1495">
        <f t="shared" si="13"/>
        <v>0</v>
      </c>
      <c r="DD599" s="1495"/>
      <c r="DE599" s="1495"/>
      <c r="DF599" s="1495"/>
      <c r="DG599" s="1495"/>
      <c r="DH599" s="1495">
        <f t="shared" si="14"/>
        <v>0</v>
      </c>
      <c r="DI599" s="1495"/>
      <c r="DJ599" s="1495"/>
      <c r="DK599" s="1495"/>
      <c r="DL599" s="1495"/>
      <c r="DM599" s="1495">
        <f t="shared" si="15"/>
        <v>0</v>
      </c>
      <c r="DN599" s="1495"/>
      <c r="DO599" s="1495"/>
      <c r="DP599" s="1495"/>
      <c r="DQ599" s="1495"/>
      <c r="DR599" s="1495">
        <f t="shared" si="16"/>
        <v>0</v>
      </c>
      <c r="DS599" s="1495"/>
      <c r="DT599" s="1495"/>
      <c r="DU599" s="1495"/>
      <c r="DV599" s="1495"/>
      <c r="DX599" s="1481">
        <f t="shared" si="17"/>
        <v>1554</v>
      </c>
      <c r="DY599" s="1482"/>
      <c r="DZ599" s="1482"/>
      <c r="EA599" s="1482"/>
      <c r="EB599" s="1483"/>
      <c r="EC599" s="1481" t="str">
        <f t="shared" si="18"/>
        <v/>
      </c>
      <c r="ED599" s="1482"/>
      <c r="EE599" s="1482"/>
      <c r="EF599" s="1482"/>
      <c r="EG599" s="1483"/>
      <c r="EH599" s="1481" t="str">
        <f t="shared" si="19"/>
        <v/>
      </c>
      <c r="EI599" s="1482"/>
      <c r="EJ599" s="1482"/>
      <c r="EK599" s="1482"/>
      <c r="EL599" s="1483"/>
      <c r="EM599" s="1481" t="str">
        <f t="shared" si="20"/>
        <v/>
      </c>
      <c r="EN599" s="1482"/>
      <c r="EO599" s="1482"/>
      <c r="EP599" s="1482"/>
      <c r="EQ599" s="1483"/>
      <c r="ER599" s="1481" t="str">
        <f t="shared" si="21"/>
        <v/>
      </c>
      <c r="ES599" s="1482"/>
      <c r="ET599" s="1482"/>
      <c r="EU599" s="1482"/>
      <c r="EV599" s="1483"/>
      <c r="EW599" s="1481" t="str">
        <f t="shared" si="22"/>
        <v/>
      </c>
      <c r="EX599" s="1482"/>
      <c r="EY599" s="1482"/>
      <c r="EZ599" s="1482"/>
      <c r="FA599" s="1483"/>
    </row>
    <row r="600" spans="1:157" ht="12.95" customHeight="1">
      <c r="A600" s="22"/>
      <c r="T600" s="22"/>
      <c r="BA600" s="4" t="s">
        <v>165</v>
      </c>
      <c r="BB600" s="3"/>
      <c r="BC600" s="3"/>
      <c r="BD600" s="3"/>
      <c r="BE600" s="1481">
        <f t="shared" si="1"/>
        <v>0</v>
      </c>
      <c r="BF600" s="1483"/>
      <c r="BG600" s="1492">
        <f t="shared" si="2"/>
        <v>0</v>
      </c>
      <c r="BH600" s="1494"/>
      <c r="BI600" s="1481">
        <f t="shared" si="3"/>
        <v>1</v>
      </c>
      <c r="BJ600" s="1483"/>
      <c r="BK600" s="1492">
        <f t="shared" si="4"/>
        <v>2</v>
      </c>
      <c r="BL600" s="1494"/>
      <c r="BM600" s="3"/>
      <c r="BN600" s="1485">
        <f t="shared" si="5"/>
        <v>0</v>
      </c>
      <c r="BO600" s="1486"/>
      <c r="BP600" s="1486"/>
      <c r="BQ600" s="1486"/>
      <c r="BR600" s="1487"/>
      <c r="BS600" s="1484">
        <f t="shared" si="6"/>
        <v>2</v>
      </c>
      <c r="BT600" s="1484"/>
      <c r="BU600" s="1484"/>
      <c r="BV600" s="1484"/>
      <c r="BW600" s="1484"/>
      <c r="BX600" s="1484">
        <f t="shared" si="7"/>
        <v>0</v>
      </c>
      <c r="BY600" s="1484"/>
      <c r="BZ600" s="1484"/>
      <c r="CA600" s="1484"/>
      <c r="CB600" s="1484"/>
      <c r="CC600" s="1484">
        <f t="shared" si="8"/>
        <v>0</v>
      </c>
      <c r="CD600" s="1484"/>
      <c r="CE600" s="1484"/>
      <c r="CF600" s="1484"/>
      <c r="CG600" s="1484"/>
      <c r="CH600" s="1484">
        <f t="shared" si="9"/>
        <v>0</v>
      </c>
      <c r="CI600" s="1484"/>
      <c r="CJ600" s="1484"/>
      <c r="CK600" s="1484"/>
      <c r="CL600" s="1484"/>
      <c r="CM600" s="1484">
        <f t="shared" si="10"/>
        <v>0</v>
      </c>
      <c r="CN600" s="1484"/>
      <c r="CO600" s="1484"/>
      <c r="CP600" s="1484"/>
      <c r="CQ600" s="1484"/>
      <c r="CR600" s="6"/>
      <c r="CS600" s="1495">
        <f t="shared" si="11"/>
        <v>0</v>
      </c>
      <c r="CT600" s="1495"/>
      <c r="CU600" s="1495"/>
      <c r="CV600" s="1495"/>
      <c r="CW600" s="1495"/>
      <c r="CX600" s="1495">
        <f t="shared" si="12"/>
        <v>2</v>
      </c>
      <c r="CY600" s="1495"/>
      <c r="CZ600" s="1495"/>
      <c r="DA600" s="1495"/>
      <c r="DB600" s="1495"/>
      <c r="DC600" s="1495">
        <f t="shared" si="13"/>
        <v>0</v>
      </c>
      <c r="DD600" s="1495"/>
      <c r="DE600" s="1495"/>
      <c r="DF600" s="1495"/>
      <c r="DG600" s="1495"/>
      <c r="DH600" s="1495">
        <f t="shared" si="14"/>
        <v>0</v>
      </c>
      <c r="DI600" s="1495"/>
      <c r="DJ600" s="1495"/>
      <c r="DK600" s="1495"/>
      <c r="DL600" s="1495"/>
      <c r="DM600" s="1495">
        <f t="shared" si="15"/>
        <v>0</v>
      </c>
      <c r="DN600" s="1495"/>
      <c r="DO600" s="1495"/>
      <c r="DP600" s="1495"/>
      <c r="DQ600" s="1495"/>
      <c r="DR600" s="1495">
        <f t="shared" si="16"/>
        <v>0</v>
      </c>
      <c r="DS600" s="1495"/>
      <c r="DT600" s="1495"/>
      <c r="DU600" s="1495"/>
      <c r="DV600" s="1495"/>
      <c r="DX600" s="1481" t="str">
        <f t="shared" si="17"/>
        <v/>
      </c>
      <c r="DY600" s="1482"/>
      <c r="DZ600" s="1482"/>
      <c r="EA600" s="1482"/>
      <c r="EB600" s="1483"/>
      <c r="EC600" s="1481">
        <f t="shared" si="18"/>
        <v>416</v>
      </c>
      <c r="ED600" s="1482"/>
      <c r="EE600" s="1482"/>
      <c r="EF600" s="1482"/>
      <c r="EG600" s="1483"/>
      <c r="EH600" s="1481" t="str">
        <f t="shared" si="19"/>
        <v/>
      </c>
      <c r="EI600" s="1482"/>
      <c r="EJ600" s="1482"/>
      <c r="EK600" s="1482"/>
      <c r="EL600" s="1483"/>
      <c r="EM600" s="1481" t="str">
        <f t="shared" si="20"/>
        <v/>
      </c>
      <c r="EN600" s="1482"/>
      <c r="EO600" s="1482"/>
      <c r="EP600" s="1482"/>
      <c r="EQ600" s="1483"/>
      <c r="ER600" s="1481" t="str">
        <f t="shared" si="21"/>
        <v/>
      </c>
      <c r="ES600" s="1482"/>
      <c r="ET600" s="1482"/>
      <c r="EU600" s="1482"/>
      <c r="EV600" s="1483"/>
      <c r="EW600" s="1481" t="str">
        <f t="shared" si="22"/>
        <v/>
      </c>
      <c r="EX600" s="1482"/>
      <c r="EY600" s="1482"/>
      <c r="EZ600" s="1482"/>
      <c r="FA600" s="1483"/>
    </row>
    <row r="601" spans="1:157" ht="12.95" customHeight="1">
      <c r="A601" s="55" t="s">
        <v>470</v>
      </c>
      <c r="B601" t="s">
        <v>472</v>
      </c>
      <c r="G601" s="1449">
        <f>C562</f>
        <v>0</v>
      </c>
      <c r="H601" s="1449"/>
      <c r="I601" s="1449"/>
      <c r="J601" s="1449"/>
      <c r="K601" s="1449"/>
      <c r="L601" s="1449"/>
      <c r="M601" s="1449"/>
      <c r="N601" s="1449"/>
      <c r="O601" s="1449"/>
      <c r="P601" s="1449"/>
      <c r="Q601" s="1449"/>
      <c r="R601" s="1449"/>
      <c r="T601" s="55" t="s">
        <v>655</v>
      </c>
      <c r="U601" t="s">
        <v>472</v>
      </c>
      <c r="Z601" s="1449">
        <f>C563</f>
        <v>0</v>
      </c>
      <c r="AA601" s="1449"/>
      <c r="AB601" s="1449"/>
      <c r="AC601" s="1449"/>
      <c r="AD601" s="1449"/>
      <c r="AE601" s="1449"/>
      <c r="AF601" s="1449"/>
      <c r="AG601" s="1449"/>
      <c r="AH601" s="1449"/>
      <c r="AI601" s="1449"/>
      <c r="AJ601" s="1449"/>
      <c r="AK601" s="1449"/>
      <c r="BA601" s="4" t="s">
        <v>30</v>
      </c>
      <c r="BB601" s="3"/>
      <c r="BC601" s="3"/>
      <c r="BD601" s="3"/>
      <c r="BE601" s="1481">
        <f t="shared" si="1"/>
        <v>1</v>
      </c>
      <c r="BF601" s="1483"/>
      <c r="BG601" s="1492">
        <f t="shared" si="2"/>
        <v>3</v>
      </c>
      <c r="BH601" s="1494"/>
      <c r="BI601" s="1481">
        <f t="shared" si="3"/>
        <v>0</v>
      </c>
      <c r="BJ601" s="1483"/>
      <c r="BK601" s="1492">
        <f t="shared" si="4"/>
        <v>0</v>
      </c>
      <c r="BL601" s="1494"/>
      <c r="BM601" s="3"/>
      <c r="BN601" s="1485">
        <f t="shared" si="5"/>
        <v>0</v>
      </c>
      <c r="BO601" s="1486"/>
      <c r="BP601" s="1486"/>
      <c r="BQ601" s="1486"/>
      <c r="BR601" s="1487"/>
      <c r="BS601" s="1484">
        <f t="shared" si="6"/>
        <v>3</v>
      </c>
      <c r="BT601" s="1484"/>
      <c r="BU601" s="1484"/>
      <c r="BV601" s="1484"/>
      <c r="BW601" s="1484"/>
      <c r="BX601" s="1484">
        <f t="shared" si="7"/>
        <v>0</v>
      </c>
      <c r="BY601" s="1484"/>
      <c r="BZ601" s="1484"/>
      <c r="CA601" s="1484"/>
      <c r="CB601" s="1484"/>
      <c r="CC601" s="1484">
        <f t="shared" si="8"/>
        <v>0</v>
      </c>
      <c r="CD601" s="1484"/>
      <c r="CE601" s="1484"/>
      <c r="CF601" s="1484"/>
      <c r="CG601" s="1484"/>
      <c r="CH601" s="1484">
        <f t="shared" si="9"/>
        <v>0</v>
      </c>
      <c r="CI601" s="1484"/>
      <c r="CJ601" s="1484"/>
      <c r="CK601" s="1484"/>
      <c r="CL601" s="1484"/>
      <c r="CM601" s="1484">
        <f t="shared" si="10"/>
        <v>0</v>
      </c>
      <c r="CN601" s="1484"/>
      <c r="CO601" s="1484"/>
      <c r="CP601" s="1484"/>
      <c r="CQ601" s="1484"/>
      <c r="CR601" s="6"/>
      <c r="CS601" s="1495">
        <f t="shared" si="11"/>
        <v>0</v>
      </c>
      <c r="CT601" s="1495"/>
      <c r="CU601" s="1495"/>
      <c r="CV601" s="1495"/>
      <c r="CW601" s="1495"/>
      <c r="CX601" s="1495">
        <f t="shared" si="12"/>
        <v>0</v>
      </c>
      <c r="CY601" s="1495"/>
      <c r="CZ601" s="1495"/>
      <c r="DA601" s="1495"/>
      <c r="DB601" s="1495"/>
      <c r="DC601" s="1495">
        <f t="shared" si="13"/>
        <v>0</v>
      </c>
      <c r="DD601" s="1495"/>
      <c r="DE601" s="1495"/>
      <c r="DF601" s="1495"/>
      <c r="DG601" s="1495"/>
      <c r="DH601" s="1495">
        <f t="shared" si="14"/>
        <v>0</v>
      </c>
      <c r="DI601" s="1495"/>
      <c r="DJ601" s="1495"/>
      <c r="DK601" s="1495"/>
      <c r="DL601" s="1495"/>
      <c r="DM601" s="1495">
        <f t="shared" si="15"/>
        <v>0</v>
      </c>
      <c r="DN601" s="1495"/>
      <c r="DO601" s="1495"/>
      <c r="DP601" s="1495"/>
      <c r="DQ601" s="1495"/>
      <c r="DR601" s="1495">
        <f t="shared" si="16"/>
        <v>0</v>
      </c>
      <c r="DS601" s="1495"/>
      <c r="DT601" s="1495"/>
      <c r="DU601" s="1495"/>
      <c r="DV601" s="1495"/>
      <c r="DX601" s="1481" t="str">
        <f t="shared" si="17"/>
        <v/>
      </c>
      <c r="DY601" s="1482"/>
      <c r="DZ601" s="1482"/>
      <c r="EA601" s="1482"/>
      <c r="EB601" s="1483"/>
      <c r="EC601" s="1481">
        <f t="shared" si="18"/>
        <v>1387</v>
      </c>
      <c r="ED601" s="1482"/>
      <c r="EE601" s="1482"/>
      <c r="EF601" s="1482"/>
      <c r="EG601" s="1483"/>
      <c r="EH601" s="1481" t="str">
        <f t="shared" si="19"/>
        <v/>
      </c>
      <c r="EI601" s="1482"/>
      <c r="EJ601" s="1482"/>
      <c r="EK601" s="1482"/>
      <c r="EL601" s="1483"/>
      <c r="EM601" s="1481" t="str">
        <f t="shared" si="20"/>
        <v/>
      </c>
      <c r="EN601" s="1482"/>
      <c r="EO601" s="1482"/>
      <c r="EP601" s="1482"/>
      <c r="EQ601" s="1483"/>
      <c r="ER601" s="1481" t="str">
        <f t="shared" si="21"/>
        <v/>
      </c>
      <c r="ES601" s="1482"/>
      <c r="ET601" s="1482"/>
      <c r="EU601" s="1482"/>
      <c r="EV601" s="1483"/>
      <c r="EW601" s="1481" t="str">
        <f t="shared" si="22"/>
        <v/>
      </c>
      <c r="EX601" s="1482"/>
      <c r="EY601" s="1482"/>
      <c r="EZ601" s="1482"/>
      <c r="FA601" s="1483"/>
    </row>
    <row r="602" spans="1:157" ht="12.95"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1">
        <f t="shared" si="1"/>
        <v>0</v>
      </c>
      <c r="BF602" s="1483"/>
      <c r="BG602" s="1492">
        <f t="shared" si="2"/>
        <v>0</v>
      </c>
      <c r="BH602" s="1494"/>
      <c r="BI602" s="1481">
        <f t="shared" si="3"/>
        <v>0</v>
      </c>
      <c r="BJ602" s="1483"/>
      <c r="BK602" s="1492">
        <f t="shared" si="4"/>
        <v>0</v>
      </c>
      <c r="BL602" s="1494"/>
      <c r="BM602" s="3"/>
      <c r="BN602" s="1485">
        <f t="shared" si="5"/>
        <v>0</v>
      </c>
      <c r="BO602" s="1486"/>
      <c r="BP602" s="1486"/>
      <c r="BQ602" s="1486"/>
      <c r="BR602" s="1487"/>
      <c r="BS602" s="1484">
        <f t="shared" si="6"/>
        <v>0</v>
      </c>
      <c r="BT602" s="1484"/>
      <c r="BU602" s="1484"/>
      <c r="BV602" s="1484"/>
      <c r="BW602" s="1484"/>
      <c r="BX602" s="1484">
        <f t="shared" si="7"/>
        <v>0</v>
      </c>
      <c r="BY602" s="1484"/>
      <c r="BZ602" s="1484"/>
      <c r="CA602" s="1484"/>
      <c r="CB602" s="1484"/>
      <c r="CC602" s="1484">
        <f t="shared" si="8"/>
        <v>0</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5">
        <f t="shared" si="11"/>
        <v>0</v>
      </c>
      <c r="CT602" s="1495"/>
      <c r="CU602" s="1495"/>
      <c r="CV602" s="1495"/>
      <c r="CW602" s="1495"/>
      <c r="CX602" s="1495">
        <f t="shared" si="12"/>
        <v>0</v>
      </c>
      <c r="CY602" s="1495"/>
      <c r="CZ602" s="1495"/>
      <c r="DA602" s="1495"/>
      <c r="DB602" s="1495"/>
      <c r="DC602" s="1495">
        <f t="shared" si="13"/>
        <v>0</v>
      </c>
      <c r="DD602" s="1495"/>
      <c r="DE602" s="1495"/>
      <c r="DF602" s="1495"/>
      <c r="DG602" s="1495"/>
      <c r="DH602" s="1495">
        <f t="shared" si="14"/>
        <v>0</v>
      </c>
      <c r="DI602" s="1495"/>
      <c r="DJ602" s="1495"/>
      <c r="DK602" s="1495"/>
      <c r="DL602" s="1495"/>
      <c r="DM602" s="1495">
        <f t="shared" si="15"/>
        <v>0</v>
      </c>
      <c r="DN602" s="1495"/>
      <c r="DO602" s="1495"/>
      <c r="DP602" s="1495"/>
      <c r="DQ602" s="1495"/>
      <c r="DR602" s="1495">
        <f t="shared" si="16"/>
        <v>0</v>
      </c>
      <c r="DS602" s="1495"/>
      <c r="DT602" s="1495"/>
      <c r="DU602" s="1495"/>
      <c r="DV602" s="1495"/>
      <c r="DX602" s="1481" t="str">
        <f t="shared" si="17"/>
        <v/>
      </c>
      <c r="DY602" s="1482"/>
      <c r="DZ602" s="1482"/>
      <c r="EA602" s="1482"/>
      <c r="EB602" s="1483"/>
      <c r="EC602" s="1481" t="str">
        <f t="shared" si="18"/>
        <v/>
      </c>
      <c r="ED602" s="1482"/>
      <c r="EE602" s="1482"/>
      <c r="EF602" s="1482"/>
      <c r="EG602" s="1483"/>
      <c r="EH602" s="1481" t="str">
        <f t="shared" si="19"/>
        <v/>
      </c>
      <c r="EI602" s="1482"/>
      <c r="EJ602" s="1482"/>
      <c r="EK602" s="1482"/>
      <c r="EL602" s="1483"/>
      <c r="EM602" s="1481" t="str">
        <f t="shared" si="20"/>
        <v/>
      </c>
      <c r="EN602" s="1482"/>
      <c r="EO602" s="1482"/>
      <c r="EP602" s="1482"/>
      <c r="EQ602" s="1483"/>
      <c r="ER602" s="1481" t="str">
        <f t="shared" si="21"/>
        <v/>
      </c>
      <c r="ES602" s="1482"/>
      <c r="ET602" s="1482"/>
      <c r="EU602" s="1482"/>
      <c r="EV602" s="1483"/>
      <c r="EW602" s="1481" t="str">
        <f t="shared" si="22"/>
        <v/>
      </c>
      <c r="EX602" s="1482"/>
      <c r="EY602" s="1482"/>
      <c r="EZ602" s="1482"/>
      <c r="FA602" s="1483"/>
    </row>
    <row r="603" spans="1:157" ht="12.95" customHeight="1">
      <c r="A603" s="22"/>
      <c r="B603" t="s">
        <v>589</v>
      </c>
      <c r="G603" s="1404"/>
      <c r="H603" s="1404"/>
      <c r="I603" s="1404"/>
      <c r="J603" s="1404"/>
      <c r="K603" s="1404"/>
      <c r="L603" s="1404"/>
      <c r="M603" s="1404"/>
      <c r="N603" s="1404"/>
      <c r="O603" s="1404"/>
      <c r="P603" s="1404"/>
      <c r="Q603" s="1404"/>
      <c r="R603" s="1404"/>
      <c r="T603" s="22"/>
      <c r="U603" t="s">
        <v>589</v>
      </c>
      <c r="Z603" s="1405"/>
      <c r="AA603" s="1405"/>
      <c r="AB603" s="1405"/>
      <c r="AC603" s="1405"/>
      <c r="AD603" s="1405"/>
      <c r="AE603" s="1405"/>
      <c r="AF603" s="1405"/>
      <c r="AG603" s="1405"/>
      <c r="AH603" s="1405"/>
      <c r="AI603" s="1405"/>
      <c r="AJ603" s="1405"/>
      <c r="AK603" s="1405"/>
      <c r="AZ603" s="3"/>
      <c r="BA603" s="3"/>
      <c r="BB603" s="3"/>
      <c r="BC603" s="3"/>
      <c r="BD603" s="3"/>
      <c r="BE603" s="1481">
        <f t="shared" si="1"/>
        <v>0</v>
      </c>
      <c r="BF603" s="1483"/>
      <c r="BG603" s="1492">
        <f t="shared" si="2"/>
        <v>0</v>
      </c>
      <c r="BH603" s="1494"/>
      <c r="BI603" s="1481">
        <f t="shared" si="3"/>
        <v>0</v>
      </c>
      <c r="BJ603" s="1483"/>
      <c r="BK603" s="1492">
        <f t="shared" si="4"/>
        <v>0</v>
      </c>
      <c r="BL603" s="1494"/>
      <c r="BM603" s="3"/>
      <c r="BN603" s="1485">
        <f t="shared" si="5"/>
        <v>0</v>
      </c>
      <c r="BO603" s="1486"/>
      <c r="BP603" s="1486"/>
      <c r="BQ603" s="1486"/>
      <c r="BR603" s="1487"/>
      <c r="BS603" s="1484">
        <f t="shared" si="6"/>
        <v>0</v>
      </c>
      <c r="BT603" s="1484"/>
      <c r="BU603" s="1484"/>
      <c r="BV603" s="1484"/>
      <c r="BW603" s="1484"/>
      <c r="BX603" s="1484">
        <f t="shared" si="7"/>
        <v>0</v>
      </c>
      <c r="BY603" s="1484"/>
      <c r="BZ603" s="1484"/>
      <c r="CA603" s="1484"/>
      <c r="CB603" s="1484"/>
      <c r="CC603" s="1484">
        <f t="shared" si="8"/>
        <v>0</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5">
        <f t="shared" si="11"/>
        <v>0</v>
      </c>
      <c r="CT603" s="1495"/>
      <c r="CU603" s="1495"/>
      <c r="CV603" s="1495"/>
      <c r="CW603" s="1495"/>
      <c r="CX603" s="1495">
        <f t="shared" si="12"/>
        <v>0</v>
      </c>
      <c r="CY603" s="1495"/>
      <c r="CZ603" s="1495"/>
      <c r="DA603" s="1495"/>
      <c r="DB603" s="1495"/>
      <c r="DC603" s="1495">
        <f t="shared" si="13"/>
        <v>0</v>
      </c>
      <c r="DD603" s="1495"/>
      <c r="DE603" s="1495"/>
      <c r="DF603" s="1495"/>
      <c r="DG603" s="1495"/>
      <c r="DH603" s="1495">
        <f t="shared" si="14"/>
        <v>0</v>
      </c>
      <c r="DI603" s="1495"/>
      <c r="DJ603" s="1495"/>
      <c r="DK603" s="1495"/>
      <c r="DL603" s="1495"/>
      <c r="DM603" s="1495">
        <f t="shared" si="15"/>
        <v>0</v>
      </c>
      <c r="DN603" s="1495"/>
      <c r="DO603" s="1495"/>
      <c r="DP603" s="1495"/>
      <c r="DQ603" s="1495"/>
      <c r="DR603" s="1495">
        <f t="shared" si="16"/>
        <v>0</v>
      </c>
      <c r="DS603" s="1495"/>
      <c r="DT603" s="1495"/>
      <c r="DU603" s="1495"/>
      <c r="DV603" s="1495"/>
      <c r="DX603" s="1481" t="str">
        <f t="shared" si="17"/>
        <v/>
      </c>
      <c r="DY603" s="1482"/>
      <c r="DZ603" s="1482"/>
      <c r="EA603" s="1482"/>
      <c r="EB603" s="1483"/>
      <c r="EC603" s="1481" t="str">
        <f t="shared" si="18"/>
        <v/>
      </c>
      <c r="ED603" s="1482"/>
      <c r="EE603" s="1482"/>
      <c r="EF603" s="1482"/>
      <c r="EG603" s="1483"/>
      <c r="EH603" s="1481" t="str">
        <f t="shared" si="19"/>
        <v/>
      </c>
      <c r="EI603" s="1482"/>
      <c r="EJ603" s="1482"/>
      <c r="EK603" s="1482"/>
      <c r="EL603" s="1483"/>
      <c r="EM603" s="1481" t="str">
        <f t="shared" si="20"/>
        <v/>
      </c>
      <c r="EN603" s="1482"/>
      <c r="EO603" s="1482"/>
      <c r="EP603" s="1482"/>
      <c r="EQ603" s="1483"/>
      <c r="ER603" s="1481" t="str">
        <f t="shared" si="21"/>
        <v/>
      </c>
      <c r="ES603" s="1482"/>
      <c r="ET603" s="1482"/>
      <c r="EU603" s="1482"/>
      <c r="EV603" s="1483"/>
      <c r="EW603" s="1481" t="str">
        <f t="shared" si="22"/>
        <v/>
      </c>
      <c r="EX603" s="1482"/>
      <c r="EY603" s="1482"/>
      <c r="EZ603" s="1482"/>
      <c r="FA603" s="1483"/>
    </row>
    <row r="604" spans="1:157" ht="12.95" customHeight="1">
      <c r="A604" s="22"/>
      <c r="B604" t="s">
        <v>17</v>
      </c>
      <c r="G604" s="1404"/>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1">
        <f t="shared" si="1"/>
        <v>0</v>
      </c>
      <c r="BF604" s="1483"/>
      <c r="BG604" s="1492">
        <f t="shared" si="2"/>
        <v>0</v>
      </c>
      <c r="BH604" s="1494"/>
      <c r="BI604" s="1481">
        <f t="shared" si="3"/>
        <v>0</v>
      </c>
      <c r="BJ604" s="1483"/>
      <c r="BK604" s="1492">
        <f t="shared" si="4"/>
        <v>0</v>
      </c>
      <c r="BL604" s="1494"/>
      <c r="BM604" s="3"/>
      <c r="BN604" s="1485">
        <f t="shared" si="5"/>
        <v>0</v>
      </c>
      <c r="BO604" s="1486"/>
      <c r="BP604" s="1486"/>
      <c r="BQ604" s="1486"/>
      <c r="BR604" s="1487"/>
      <c r="BS604" s="1484">
        <f t="shared" si="6"/>
        <v>0</v>
      </c>
      <c r="BT604" s="1484"/>
      <c r="BU604" s="1484"/>
      <c r="BV604" s="1484"/>
      <c r="BW604" s="1484"/>
      <c r="BX604" s="1484">
        <f t="shared" si="7"/>
        <v>0</v>
      </c>
      <c r="BY604" s="1484"/>
      <c r="BZ604" s="1484"/>
      <c r="CA604" s="1484"/>
      <c r="CB604" s="1484"/>
      <c r="CC604" s="1484">
        <f t="shared" si="8"/>
        <v>0</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5">
        <f t="shared" si="11"/>
        <v>0</v>
      </c>
      <c r="CT604" s="1495"/>
      <c r="CU604" s="1495"/>
      <c r="CV604" s="1495"/>
      <c r="CW604" s="1495"/>
      <c r="CX604" s="1495">
        <f t="shared" si="12"/>
        <v>0</v>
      </c>
      <c r="CY604" s="1495"/>
      <c r="CZ604" s="1495"/>
      <c r="DA604" s="1495"/>
      <c r="DB604" s="1495"/>
      <c r="DC604" s="1495">
        <f t="shared" si="13"/>
        <v>0</v>
      </c>
      <c r="DD604" s="1495"/>
      <c r="DE604" s="1495"/>
      <c r="DF604" s="1495"/>
      <c r="DG604" s="1495"/>
      <c r="DH604" s="1495">
        <f t="shared" si="14"/>
        <v>0</v>
      </c>
      <c r="DI604" s="1495"/>
      <c r="DJ604" s="1495"/>
      <c r="DK604" s="1495"/>
      <c r="DL604" s="1495"/>
      <c r="DM604" s="1495">
        <f t="shared" si="15"/>
        <v>0</v>
      </c>
      <c r="DN604" s="1495"/>
      <c r="DO604" s="1495"/>
      <c r="DP604" s="1495"/>
      <c r="DQ604" s="1495"/>
      <c r="DR604" s="1495">
        <f t="shared" si="16"/>
        <v>0</v>
      </c>
      <c r="DS604" s="1495"/>
      <c r="DT604" s="1495"/>
      <c r="DU604" s="1495"/>
      <c r="DV604" s="1495"/>
      <c r="DX604" s="1481" t="str">
        <f t="shared" si="17"/>
        <v/>
      </c>
      <c r="DY604" s="1482"/>
      <c r="DZ604" s="1482"/>
      <c r="EA604" s="1482"/>
      <c r="EB604" s="1483"/>
      <c r="EC604" s="1481" t="str">
        <f t="shared" si="18"/>
        <v/>
      </c>
      <c r="ED604" s="1482"/>
      <c r="EE604" s="1482"/>
      <c r="EF604" s="1482"/>
      <c r="EG604" s="1483"/>
      <c r="EH604" s="1481" t="str">
        <f t="shared" si="19"/>
        <v/>
      </c>
      <c r="EI604" s="1482"/>
      <c r="EJ604" s="1482"/>
      <c r="EK604" s="1482"/>
      <c r="EL604" s="1483"/>
      <c r="EM604" s="1481" t="str">
        <f t="shared" si="20"/>
        <v/>
      </c>
      <c r="EN604" s="1482"/>
      <c r="EO604" s="1482"/>
      <c r="EP604" s="1482"/>
      <c r="EQ604" s="1483"/>
      <c r="ER604" s="1481" t="str">
        <f t="shared" si="21"/>
        <v/>
      </c>
      <c r="ES604" s="1482"/>
      <c r="ET604" s="1482"/>
      <c r="EU604" s="1482"/>
      <c r="EV604" s="1483"/>
      <c r="EW604" s="1481" t="str">
        <f t="shared" si="22"/>
        <v/>
      </c>
      <c r="EX604" s="1482"/>
      <c r="EY604" s="1482"/>
      <c r="EZ604" s="1482"/>
      <c r="FA604" s="1483"/>
    </row>
    <row r="605" spans="1:157" s="4" customFormat="1" ht="12.95" customHeight="1">
      <c r="A605" s="22"/>
      <c r="B605" t="s">
        <v>317</v>
      </c>
      <c r="C605"/>
      <c r="D605"/>
      <c r="E605"/>
      <c r="F605"/>
      <c r="G605" s="1464"/>
      <c r="H605" s="1464"/>
      <c r="I605" s="1464"/>
      <c r="J605" s="1464"/>
      <c r="K605" s="1464"/>
      <c r="L605" s="1464"/>
      <c r="M605"/>
      <c r="N605"/>
      <c r="O605" s="33" t="s">
        <v>207</v>
      </c>
      <c r="P605" s="1488"/>
      <c r="Q605" s="1488"/>
      <c r="R605" s="1488"/>
      <c r="S605"/>
      <c r="T605" s="22"/>
      <c r="U605" t="s">
        <v>317</v>
      </c>
      <c r="V605"/>
      <c r="W605"/>
      <c r="X605"/>
      <c r="Y605"/>
      <c r="Z605" s="1464"/>
      <c r="AA605" s="1464"/>
      <c r="AB605" s="1464"/>
      <c r="AC605" s="1464"/>
      <c r="AD605" s="1464"/>
      <c r="AE605" s="1464"/>
      <c r="AF605"/>
      <c r="AG605"/>
      <c r="AH605" s="33" t="s">
        <v>207</v>
      </c>
      <c r="AI605" s="1488"/>
      <c r="AJ605" s="1488"/>
      <c r="AK605" s="1488"/>
      <c r="AL605"/>
      <c r="AM605"/>
      <c r="AN605"/>
      <c r="AO605"/>
      <c r="AP605"/>
      <c r="AQ605"/>
      <c r="AR605"/>
      <c r="AS605"/>
      <c r="AT605"/>
      <c r="AU605"/>
      <c r="AV605"/>
      <c r="AW605"/>
      <c r="AX605"/>
      <c r="AY605"/>
      <c r="AZ605" s="3"/>
      <c r="BA605" s="3"/>
      <c r="BB605" s="3"/>
      <c r="BC605" s="3"/>
      <c r="BD605" s="3"/>
      <c r="BE605" s="1481">
        <f t="shared" si="1"/>
        <v>0</v>
      </c>
      <c r="BF605" s="1483"/>
      <c r="BG605" s="1492">
        <f t="shared" si="2"/>
        <v>0</v>
      </c>
      <c r="BH605" s="1494"/>
      <c r="BI605" s="1481">
        <f t="shared" si="3"/>
        <v>0</v>
      </c>
      <c r="BJ605" s="1483"/>
      <c r="BK605" s="1492">
        <f t="shared" si="4"/>
        <v>0</v>
      </c>
      <c r="BL605" s="1494"/>
      <c r="BM605" s="3"/>
      <c r="BN605" s="1485">
        <f t="shared" si="5"/>
        <v>0</v>
      </c>
      <c r="BO605" s="1486"/>
      <c r="BP605" s="1486"/>
      <c r="BQ605" s="1486"/>
      <c r="BR605" s="1487"/>
      <c r="BS605" s="1484">
        <f t="shared" si="6"/>
        <v>0</v>
      </c>
      <c r="BT605" s="1484"/>
      <c r="BU605" s="1484"/>
      <c r="BV605" s="1484"/>
      <c r="BW605" s="1484"/>
      <c r="BX605" s="1484">
        <f t="shared" si="7"/>
        <v>0</v>
      </c>
      <c r="BY605" s="1484"/>
      <c r="BZ605" s="1484"/>
      <c r="CA605" s="1484"/>
      <c r="CB605" s="1484"/>
      <c r="CC605" s="1484">
        <f t="shared" si="8"/>
        <v>0</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5">
        <f t="shared" si="11"/>
        <v>0</v>
      </c>
      <c r="CT605" s="1495"/>
      <c r="CU605" s="1495"/>
      <c r="CV605" s="1495"/>
      <c r="CW605" s="1495"/>
      <c r="CX605" s="1495">
        <f t="shared" si="12"/>
        <v>0</v>
      </c>
      <c r="CY605" s="1495"/>
      <c r="CZ605" s="1495"/>
      <c r="DA605" s="1495"/>
      <c r="DB605" s="1495"/>
      <c r="DC605" s="1495">
        <f t="shared" si="13"/>
        <v>0</v>
      </c>
      <c r="DD605" s="1495"/>
      <c r="DE605" s="1495"/>
      <c r="DF605" s="1495"/>
      <c r="DG605" s="1495"/>
      <c r="DH605" s="1495">
        <f t="shared" si="14"/>
        <v>0</v>
      </c>
      <c r="DI605" s="1495"/>
      <c r="DJ605" s="1495"/>
      <c r="DK605" s="1495"/>
      <c r="DL605" s="1495"/>
      <c r="DM605" s="1495">
        <f t="shared" si="15"/>
        <v>0</v>
      </c>
      <c r="DN605" s="1495"/>
      <c r="DO605" s="1495"/>
      <c r="DP605" s="1495"/>
      <c r="DQ605" s="1495"/>
      <c r="DR605" s="1495">
        <f t="shared" si="16"/>
        <v>0</v>
      </c>
      <c r="DS605" s="1495"/>
      <c r="DT605" s="1495"/>
      <c r="DU605" s="1495"/>
      <c r="DV605" s="1495"/>
      <c r="DX605" s="1481" t="str">
        <f t="shared" si="17"/>
        <v/>
      </c>
      <c r="DY605" s="1482"/>
      <c r="DZ605" s="1482"/>
      <c r="EA605" s="1482"/>
      <c r="EB605" s="1483"/>
      <c r="EC605" s="1481" t="str">
        <f t="shared" si="18"/>
        <v/>
      </c>
      <c r="ED605" s="1482"/>
      <c r="EE605" s="1482"/>
      <c r="EF605" s="1482"/>
      <c r="EG605" s="1483"/>
      <c r="EH605" s="1481" t="str">
        <f t="shared" si="19"/>
        <v/>
      </c>
      <c r="EI605" s="1482"/>
      <c r="EJ605" s="1482"/>
      <c r="EK605" s="1482"/>
      <c r="EL605" s="1483"/>
      <c r="EM605" s="1481" t="str">
        <f t="shared" si="20"/>
        <v/>
      </c>
      <c r="EN605" s="1482"/>
      <c r="EO605" s="1482"/>
      <c r="EP605" s="1482"/>
      <c r="EQ605" s="1483"/>
      <c r="ER605" s="1481" t="str">
        <f t="shared" si="21"/>
        <v/>
      </c>
      <c r="ES605" s="1482"/>
      <c r="ET605" s="1482"/>
      <c r="EU605" s="1482"/>
      <c r="EV605" s="1483"/>
      <c r="EW605" s="1481" t="str">
        <f t="shared" si="22"/>
        <v/>
      </c>
      <c r="EX605" s="1482"/>
      <c r="EY605" s="1482"/>
      <c r="EZ605" s="1482"/>
      <c r="FA605" s="1483"/>
    </row>
    <row r="606" spans="1:157" s="4" customFormat="1" ht="12.95"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1">
        <f t="shared" si="1"/>
        <v>0</v>
      </c>
      <c r="BF606" s="1483"/>
      <c r="BG606" s="1492">
        <f t="shared" si="2"/>
        <v>0</v>
      </c>
      <c r="BH606" s="1494"/>
      <c r="BI606" s="1481">
        <f t="shared" si="3"/>
        <v>0</v>
      </c>
      <c r="BJ606" s="1483"/>
      <c r="BK606" s="1492">
        <f t="shared" si="4"/>
        <v>0</v>
      </c>
      <c r="BL606" s="1494"/>
      <c r="BM606" s="3"/>
      <c r="BN606" s="1485">
        <f t="shared" si="5"/>
        <v>0</v>
      </c>
      <c r="BO606" s="1486"/>
      <c r="BP606" s="1486"/>
      <c r="BQ606" s="1486"/>
      <c r="BR606" s="1487"/>
      <c r="BS606" s="1484">
        <f t="shared" si="6"/>
        <v>0</v>
      </c>
      <c r="BT606" s="1484"/>
      <c r="BU606" s="1484"/>
      <c r="BV606" s="1484"/>
      <c r="BW606" s="1484"/>
      <c r="BX606" s="1484">
        <f t="shared" si="7"/>
        <v>0</v>
      </c>
      <c r="BY606" s="1484"/>
      <c r="BZ606" s="1484"/>
      <c r="CA606" s="1484"/>
      <c r="CB606" s="1484"/>
      <c r="CC606" s="1484">
        <f t="shared" si="8"/>
        <v>0</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5">
        <f t="shared" si="11"/>
        <v>0</v>
      </c>
      <c r="CT606" s="1495"/>
      <c r="CU606" s="1495"/>
      <c r="CV606" s="1495"/>
      <c r="CW606" s="1495"/>
      <c r="CX606" s="1495">
        <f t="shared" si="12"/>
        <v>0</v>
      </c>
      <c r="CY606" s="1495"/>
      <c r="CZ606" s="1495"/>
      <c r="DA606" s="1495"/>
      <c r="DB606" s="1495"/>
      <c r="DC606" s="1495">
        <f t="shared" si="13"/>
        <v>0</v>
      </c>
      <c r="DD606" s="1495"/>
      <c r="DE606" s="1495"/>
      <c r="DF606" s="1495"/>
      <c r="DG606" s="1495"/>
      <c r="DH606" s="1495">
        <f t="shared" si="14"/>
        <v>0</v>
      </c>
      <c r="DI606" s="1495"/>
      <c r="DJ606" s="1495"/>
      <c r="DK606" s="1495"/>
      <c r="DL606" s="1495"/>
      <c r="DM606" s="1495">
        <f t="shared" si="15"/>
        <v>0</v>
      </c>
      <c r="DN606" s="1495"/>
      <c r="DO606" s="1495"/>
      <c r="DP606" s="1495"/>
      <c r="DQ606" s="1495"/>
      <c r="DR606" s="1495">
        <f t="shared" si="16"/>
        <v>0</v>
      </c>
      <c r="DS606" s="1495"/>
      <c r="DT606" s="1495"/>
      <c r="DU606" s="1495"/>
      <c r="DV606" s="1495"/>
      <c r="DX606" s="1481" t="str">
        <f t="shared" si="17"/>
        <v/>
      </c>
      <c r="DY606" s="1482"/>
      <c r="DZ606" s="1482"/>
      <c r="EA606" s="1482"/>
      <c r="EB606" s="1483"/>
      <c r="EC606" s="1481" t="str">
        <f t="shared" si="18"/>
        <v/>
      </c>
      <c r="ED606" s="1482"/>
      <c r="EE606" s="1482"/>
      <c r="EF606" s="1482"/>
      <c r="EG606" s="1483"/>
      <c r="EH606" s="1481" t="str">
        <f t="shared" si="19"/>
        <v/>
      </c>
      <c r="EI606" s="1482"/>
      <c r="EJ606" s="1482"/>
      <c r="EK606" s="1482"/>
      <c r="EL606" s="1483"/>
      <c r="EM606" s="1481" t="str">
        <f t="shared" si="20"/>
        <v/>
      </c>
      <c r="EN606" s="1482"/>
      <c r="EO606" s="1482"/>
      <c r="EP606" s="1482"/>
      <c r="EQ606" s="1483"/>
      <c r="ER606" s="1481" t="str">
        <f t="shared" si="21"/>
        <v/>
      </c>
      <c r="ES606" s="1482"/>
      <c r="ET606" s="1482"/>
      <c r="EU606" s="1482"/>
      <c r="EV606" s="1483"/>
      <c r="EW606" s="1481" t="str">
        <f t="shared" si="22"/>
        <v/>
      </c>
      <c r="EX606" s="1482"/>
      <c r="EY606" s="1482"/>
      <c r="EZ606" s="1482"/>
      <c r="FA606" s="1483"/>
    </row>
    <row r="607" spans="1:157" s="4" customFormat="1" ht="12.95" customHeight="1">
      <c r="A607" s="22"/>
      <c r="B607" t="s">
        <v>20</v>
      </c>
      <c r="C607"/>
      <c r="D607"/>
      <c r="E607"/>
      <c r="F607"/>
      <c r="G607"/>
      <c r="H607"/>
      <c r="I607"/>
      <c r="J607"/>
      <c r="K607"/>
      <c r="L607"/>
      <c r="M607"/>
      <c r="N607" s="1403" t="s">
        <v>678</v>
      </c>
      <c r="O607" s="1403"/>
      <c r="P607"/>
      <c r="Q607"/>
      <c r="R607"/>
      <c r="S607"/>
      <c r="T607" s="22"/>
      <c r="U607" t="s">
        <v>20</v>
      </c>
      <c r="V607"/>
      <c r="W607"/>
      <c r="X607"/>
      <c r="Y607"/>
      <c r="Z607"/>
      <c r="AA607"/>
      <c r="AB607"/>
      <c r="AC607"/>
      <c r="AD607"/>
      <c r="AE607"/>
      <c r="AF607"/>
      <c r="AG607" s="1403" t="s">
        <v>678</v>
      </c>
      <c r="AH607" s="1403"/>
      <c r="AI607"/>
      <c r="AJ607"/>
      <c r="AK607"/>
      <c r="AL607"/>
      <c r="AM607"/>
      <c r="AN607"/>
      <c r="AO607"/>
      <c r="AP607"/>
      <c r="AQ607"/>
      <c r="AR607"/>
      <c r="AS607"/>
      <c r="AT607"/>
      <c r="AU607"/>
      <c r="AV607"/>
      <c r="AW607"/>
      <c r="AX607"/>
      <c r="AY607"/>
      <c r="AZ607" s="3"/>
      <c r="BA607" s="3"/>
      <c r="BB607" s="3"/>
      <c r="BC607" s="3"/>
      <c r="BD607" s="3"/>
      <c r="BE607" s="1481">
        <f t="shared" si="1"/>
        <v>0</v>
      </c>
      <c r="BF607" s="1483"/>
      <c r="BG607" s="1492">
        <f t="shared" si="2"/>
        <v>0</v>
      </c>
      <c r="BH607" s="1494"/>
      <c r="BI607" s="1481">
        <f t="shared" si="3"/>
        <v>0</v>
      </c>
      <c r="BJ607" s="1483"/>
      <c r="BK607" s="1492">
        <f t="shared" si="4"/>
        <v>0</v>
      </c>
      <c r="BL607" s="1494"/>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0</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5">
        <f t="shared" si="11"/>
        <v>0</v>
      </c>
      <c r="CT607" s="1495"/>
      <c r="CU607" s="1495"/>
      <c r="CV607" s="1495"/>
      <c r="CW607" s="1495"/>
      <c r="CX607" s="1495">
        <f t="shared" si="12"/>
        <v>0</v>
      </c>
      <c r="CY607" s="1495"/>
      <c r="CZ607" s="1495"/>
      <c r="DA607" s="1495"/>
      <c r="DB607" s="1495"/>
      <c r="DC607" s="1495">
        <f t="shared" si="13"/>
        <v>0</v>
      </c>
      <c r="DD607" s="1495"/>
      <c r="DE607" s="1495"/>
      <c r="DF607" s="1495"/>
      <c r="DG607" s="1495"/>
      <c r="DH607" s="1495">
        <f t="shared" si="14"/>
        <v>0</v>
      </c>
      <c r="DI607" s="1495"/>
      <c r="DJ607" s="1495"/>
      <c r="DK607" s="1495"/>
      <c r="DL607" s="1495"/>
      <c r="DM607" s="1495">
        <f t="shared" si="15"/>
        <v>0</v>
      </c>
      <c r="DN607" s="1495"/>
      <c r="DO607" s="1495"/>
      <c r="DP607" s="1495"/>
      <c r="DQ607" s="1495"/>
      <c r="DR607" s="1495">
        <f t="shared" si="16"/>
        <v>0</v>
      </c>
      <c r="DS607" s="1495"/>
      <c r="DT607" s="1495"/>
      <c r="DU607" s="1495"/>
      <c r="DV607" s="1495"/>
      <c r="DX607" s="1481" t="str">
        <f t="shared" si="17"/>
        <v/>
      </c>
      <c r="DY607" s="1482"/>
      <c r="DZ607" s="1482"/>
      <c r="EA607" s="1482"/>
      <c r="EB607" s="1483"/>
      <c r="EC607" s="1481" t="str">
        <f t="shared" si="18"/>
        <v/>
      </c>
      <c r="ED607" s="1482"/>
      <c r="EE607" s="1482"/>
      <c r="EF607" s="1482"/>
      <c r="EG607" s="1483"/>
      <c r="EH607" s="1481" t="str">
        <f t="shared" si="19"/>
        <v/>
      </c>
      <c r="EI607" s="1482"/>
      <c r="EJ607" s="1482"/>
      <c r="EK607" s="1482"/>
      <c r="EL607" s="1483"/>
      <c r="EM607" s="1481" t="str">
        <f t="shared" si="20"/>
        <v/>
      </c>
      <c r="EN607" s="1482"/>
      <c r="EO607" s="1482"/>
      <c r="EP607" s="1482"/>
      <c r="EQ607" s="1483"/>
      <c r="ER607" s="1481" t="str">
        <f t="shared" si="21"/>
        <v/>
      </c>
      <c r="ES607" s="1482"/>
      <c r="ET607" s="1482"/>
      <c r="EU607" s="1482"/>
      <c r="EV607" s="1483"/>
      <c r="EW607" s="1481" t="str">
        <f t="shared" si="22"/>
        <v/>
      </c>
      <c r="EX607" s="1482"/>
      <c r="EY607" s="1482"/>
      <c r="EZ607" s="1482"/>
      <c r="FA607" s="1483"/>
    </row>
    <row r="608" spans="1:157" ht="12.95" customHeight="1">
      <c r="A608" s="22"/>
      <c r="T608" s="22"/>
      <c r="AZ608" s="3"/>
      <c r="BA608" s="3"/>
      <c r="BB608" s="3"/>
      <c r="BC608" s="3"/>
      <c r="BD608" s="3"/>
      <c r="BE608" s="1481">
        <f t="shared" si="1"/>
        <v>0</v>
      </c>
      <c r="BF608" s="1483"/>
      <c r="BG608" s="1492">
        <f t="shared" si="2"/>
        <v>0</v>
      </c>
      <c r="BH608" s="1494"/>
      <c r="BI608" s="1481">
        <f t="shared" si="3"/>
        <v>0</v>
      </c>
      <c r="BJ608" s="1483"/>
      <c r="BK608" s="1492">
        <f t="shared" si="4"/>
        <v>0</v>
      </c>
      <c r="BL608" s="1494"/>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0</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5">
        <f t="shared" si="11"/>
        <v>0</v>
      </c>
      <c r="CT608" s="1495"/>
      <c r="CU608" s="1495"/>
      <c r="CV608" s="1495"/>
      <c r="CW608" s="1495"/>
      <c r="CX608" s="1495">
        <f t="shared" si="12"/>
        <v>0</v>
      </c>
      <c r="CY608" s="1495"/>
      <c r="CZ608" s="1495"/>
      <c r="DA608" s="1495"/>
      <c r="DB608" s="1495"/>
      <c r="DC608" s="1495">
        <f t="shared" si="13"/>
        <v>0</v>
      </c>
      <c r="DD608" s="1495"/>
      <c r="DE608" s="1495"/>
      <c r="DF608" s="1495"/>
      <c r="DG608" s="1495"/>
      <c r="DH608" s="1495">
        <f t="shared" si="14"/>
        <v>0</v>
      </c>
      <c r="DI608" s="1495"/>
      <c r="DJ608" s="1495"/>
      <c r="DK608" s="1495"/>
      <c r="DL608" s="1495"/>
      <c r="DM608" s="1495">
        <f t="shared" si="15"/>
        <v>0</v>
      </c>
      <c r="DN608" s="1495"/>
      <c r="DO608" s="1495"/>
      <c r="DP608" s="1495"/>
      <c r="DQ608" s="1495"/>
      <c r="DR608" s="1495">
        <f t="shared" si="16"/>
        <v>0</v>
      </c>
      <c r="DS608" s="1495"/>
      <c r="DT608" s="1495"/>
      <c r="DU608" s="1495"/>
      <c r="DV608" s="1495"/>
      <c r="DX608" s="1481" t="str">
        <f t="shared" si="17"/>
        <v/>
      </c>
      <c r="DY608" s="1482"/>
      <c r="DZ608" s="1482"/>
      <c r="EA608" s="1482"/>
      <c r="EB608" s="1483"/>
      <c r="EC608" s="1481" t="str">
        <f t="shared" si="18"/>
        <v/>
      </c>
      <c r="ED608" s="1482"/>
      <c r="EE608" s="1482"/>
      <c r="EF608" s="1482"/>
      <c r="EG608" s="1483"/>
      <c r="EH608" s="1481" t="str">
        <f t="shared" si="19"/>
        <v/>
      </c>
      <c r="EI608" s="1482"/>
      <c r="EJ608" s="1482"/>
      <c r="EK608" s="1482"/>
      <c r="EL608" s="1483"/>
      <c r="EM608" s="1481" t="str">
        <f t="shared" si="20"/>
        <v/>
      </c>
      <c r="EN608" s="1482"/>
      <c r="EO608" s="1482"/>
      <c r="EP608" s="1482"/>
      <c r="EQ608" s="1483"/>
      <c r="ER608" s="1481" t="str">
        <f t="shared" si="21"/>
        <v/>
      </c>
      <c r="ES608" s="1482"/>
      <c r="ET608" s="1482"/>
      <c r="EU608" s="1482"/>
      <c r="EV608" s="1483"/>
      <c r="EW608" s="1481" t="str">
        <f t="shared" si="22"/>
        <v/>
      </c>
      <c r="EX608" s="1482"/>
      <c r="EY608" s="1482"/>
      <c r="EZ608" s="1482"/>
      <c r="FA608" s="1483"/>
    </row>
    <row r="609" spans="1:157" ht="12.95" customHeight="1">
      <c r="A609" s="55" t="s">
        <v>363</v>
      </c>
      <c r="B609" t="s">
        <v>472</v>
      </c>
      <c r="G609" s="1449">
        <f>C564</f>
        <v>0</v>
      </c>
      <c r="H609" s="1449"/>
      <c r="I609" s="1449"/>
      <c r="J609" s="1449"/>
      <c r="K609" s="1449"/>
      <c r="L609" s="1449"/>
      <c r="M609" s="1449"/>
      <c r="N609" s="1449"/>
      <c r="O609" s="1449"/>
      <c r="P609" s="1449"/>
      <c r="Q609" s="1449"/>
      <c r="R609" s="1449"/>
      <c r="T609" s="55" t="s">
        <v>364</v>
      </c>
      <c r="U609" t="s">
        <v>472</v>
      </c>
      <c r="Z609" s="1449">
        <f>C565</f>
        <v>0</v>
      </c>
      <c r="AA609" s="1449"/>
      <c r="AB609" s="1449"/>
      <c r="AC609" s="1449"/>
      <c r="AD609" s="1449"/>
      <c r="AE609" s="1449"/>
      <c r="AF609" s="1449"/>
      <c r="AG609" s="1449"/>
      <c r="AH609" s="1449"/>
      <c r="AI609" s="1449"/>
      <c r="AJ609" s="1449"/>
      <c r="AK609" s="1449"/>
      <c r="AZ609" s="3"/>
      <c r="BA609" s="3"/>
      <c r="BB609" s="3"/>
      <c r="BC609" s="3"/>
      <c r="BD609" s="3"/>
      <c r="BE609" s="1481">
        <f t="shared" si="1"/>
        <v>0</v>
      </c>
      <c r="BF609" s="1483"/>
      <c r="BG609" s="1492">
        <f t="shared" si="2"/>
        <v>0</v>
      </c>
      <c r="BH609" s="1494"/>
      <c r="BI609" s="1481">
        <f t="shared" si="3"/>
        <v>0</v>
      </c>
      <c r="BJ609" s="1483"/>
      <c r="BK609" s="1492">
        <f t="shared" si="4"/>
        <v>0</v>
      </c>
      <c r="BL609" s="1494"/>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0</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5">
        <f t="shared" si="11"/>
        <v>0</v>
      </c>
      <c r="CT609" s="1495"/>
      <c r="CU609" s="1495"/>
      <c r="CV609" s="1495"/>
      <c r="CW609" s="1495"/>
      <c r="CX609" s="1495">
        <f t="shared" si="12"/>
        <v>0</v>
      </c>
      <c r="CY609" s="1495"/>
      <c r="CZ609" s="1495"/>
      <c r="DA609" s="1495"/>
      <c r="DB609" s="1495"/>
      <c r="DC609" s="1495">
        <f t="shared" si="13"/>
        <v>0</v>
      </c>
      <c r="DD609" s="1495"/>
      <c r="DE609" s="1495"/>
      <c r="DF609" s="1495"/>
      <c r="DG609" s="1495"/>
      <c r="DH609" s="1495">
        <f t="shared" si="14"/>
        <v>0</v>
      </c>
      <c r="DI609" s="1495"/>
      <c r="DJ609" s="1495"/>
      <c r="DK609" s="1495"/>
      <c r="DL609" s="1495"/>
      <c r="DM609" s="1495">
        <f t="shared" si="15"/>
        <v>0</v>
      </c>
      <c r="DN609" s="1495"/>
      <c r="DO609" s="1495"/>
      <c r="DP609" s="1495"/>
      <c r="DQ609" s="1495"/>
      <c r="DR609" s="1495">
        <f t="shared" si="16"/>
        <v>0</v>
      </c>
      <c r="DS609" s="1495"/>
      <c r="DT609" s="1495"/>
      <c r="DU609" s="1495"/>
      <c r="DV609" s="1495"/>
      <c r="DX609" s="1481" t="str">
        <f t="shared" si="17"/>
        <v/>
      </c>
      <c r="DY609" s="1482"/>
      <c r="DZ609" s="1482"/>
      <c r="EA609" s="1482"/>
      <c r="EB609" s="1483"/>
      <c r="EC609" s="1481" t="str">
        <f t="shared" si="18"/>
        <v/>
      </c>
      <c r="ED609" s="1482"/>
      <c r="EE609" s="1482"/>
      <c r="EF609" s="1482"/>
      <c r="EG609" s="1483"/>
      <c r="EH609" s="1481" t="str">
        <f t="shared" si="19"/>
        <v/>
      </c>
      <c r="EI609" s="1482"/>
      <c r="EJ609" s="1482"/>
      <c r="EK609" s="1482"/>
      <c r="EL609" s="1483"/>
      <c r="EM609" s="1481" t="str">
        <f t="shared" si="20"/>
        <v/>
      </c>
      <c r="EN609" s="1482"/>
      <c r="EO609" s="1482"/>
      <c r="EP609" s="1482"/>
      <c r="EQ609" s="1483"/>
      <c r="ER609" s="1481" t="str">
        <f t="shared" si="21"/>
        <v/>
      </c>
      <c r="ES609" s="1482"/>
      <c r="ET609" s="1482"/>
      <c r="EU609" s="1482"/>
      <c r="EV609" s="1483"/>
      <c r="EW609" s="1481" t="str">
        <f t="shared" si="22"/>
        <v/>
      </c>
      <c r="EX609" s="1482"/>
      <c r="EY609" s="1482"/>
      <c r="EZ609" s="1482"/>
      <c r="FA609" s="1483"/>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1">
        <f t="shared" si="1"/>
        <v>0</v>
      </c>
      <c r="BF610" s="1483"/>
      <c r="BG610" s="1492">
        <f t="shared" si="2"/>
        <v>0</v>
      </c>
      <c r="BH610" s="1494"/>
      <c r="BI610" s="1481">
        <f t="shared" si="3"/>
        <v>0</v>
      </c>
      <c r="BJ610" s="1483"/>
      <c r="BK610" s="1492">
        <f t="shared" si="4"/>
        <v>0</v>
      </c>
      <c r="BL610" s="1494"/>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5">
        <f t="shared" si="11"/>
        <v>0</v>
      </c>
      <c r="CT610" s="1495"/>
      <c r="CU610" s="1495"/>
      <c r="CV610" s="1495"/>
      <c r="CW610" s="1495"/>
      <c r="CX610" s="1495">
        <f t="shared" si="12"/>
        <v>0</v>
      </c>
      <c r="CY610" s="1495"/>
      <c r="CZ610" s="1495"/>
      <c r="DA610" s="1495"/>
      <c r="DB610" s="1495"/>
      <c r="DC610" s="1495">
        <f t="shared" si="13"/>
        <v>0</v>
      </c>
      <c r="DD610" s="1495"/>
      <c r="DE610" s="1495"/>
      <c r="DF610" s="1495"/>
      <c r="DG610" s="1495"/>
      <c r="DH610" s="1495">
        <f t="shared" si="14"/>
        <v>0</v>
      </c>
      <c r="DI610" s="1495"/>
      <c r="DJ610" s="1495"/>
      <c r="DK610" s="1495"/>
      <c r="DL610" s="1495"/>
      <c r="DM610" s="1495">
        <f t="shared" si="15"/>
        <v>0</v>
      </c>
      <c r="DN610" s="1495"/>
      <c r="DO610" s="1495"/>
      <c r="DP610" s="1495"/>
      <c r="DQ610" s="1495"/>
      <c r="DR610" s="1495">
        <f t="shared" si="16"/>
        <v>0</v>
      </c>
      <c r="DS610" s="1495"/>
      <c r="DT610" s="1495"/>
      <c r="DU610" s="1495"/>
      <c r="DV610" s="1495"/>
      <c r="DX610" s="1481" t="str">
        <f t="shared" si="17"/>
        <v/>
      </c>
      <c r="DY610" s="1482"/>
      <c r="DZ610" s="1482"/>
      <c r="EA610" s="1482"/>
      <c r="EB610" s="1483"/>
      <c r="EC610" s="1481" t="str">
        <f t="shared" si="18"/>
        <v/>
      </c>
      <c r="ED610" s="1482"/>
      <c r="EE610" s="1482"/>
      <c r="EF610" s="1482"/>
      <c r="EG610" s="1483"/>
      <c r="EH610" s="1481" t="str">
        <f t="shared" si="19"/>
        <v/>
      </c>
      <c r="EI610" s="1482"/>
      <c r="EJ610" s="1482"/>
      <c r="EK610" s="1482"/>
      <c r="EL610" s="1483"/>
      <c r="EM610" s="1481" t="str">
        <f t="shared" si="20"/>
        <v/>
      </c>
      <c r="EN610" s="1482"/>
      <c r="EO610" s="1482"/>
      <c r="EP610" s="1482"/>
      <c r="EQ610" s="1483"/>
      <c r="ER610" s="1481" t="str">
        <f t="shared" si="21"/>
        <v/>
      </c>
      <c r="ES610" s="1482"/>
      <c r="ET610" s="1482"/>
      <c r="EU610" s="1482"/>
      <c r="EV610" s="1483"/>
      <c r="EW610" s="1481" t="str">
        <f t="shared" si="22"/>
        <v/>
      </c>
      <c r="EX610" s="1482"/>
      <c r="EY610" s="1482"/>
      <c r="EZ610" s="1482"/>
      <c r="FA610" s="1483"/>
    </row>
    <row r="611" spans="1:157" ht="12.95" customHeight="1">
      <c r="B611" t="s">
        <v>589</v>
      </c>
      <c r="G611" s="1404"/>
      <c r="H611" s="1404"/>
      <c r="I611" s="1404"/>
      <c r="J611" s="1404"/>
      <c r="K611" s="1404"/>
      <c r="L611" s="1404"/>
      <c r="M611" s="1404"/>
      <c r="N611" s="1404"/>
      <c r="O611" s="1404"/>
      <c r="P611" s="1404"/>
      <c r="Q611" s="1404"/>
      <c r="R611" s="1404"/>
      <c r="U611" t="s">
        <v>589</v>
      </c>
      <c r="Z611" s="1405"/>
      <c r="AA611" s="1405"/>
      <c r="AB611" s="1405"/>
      <c r="AC611" s="1405"/>
      <c r="AD611" s="1405"/>
      <c r="AE611" s="1405"/>
      <c r="AF611" s="1405"/>
      <c r="AG611" s="1405"/>
      <c r="AH611" s="1405"/>
      <c r="AI611" s="1405"/>
      <c r="AJ611" s="1405"/>
      <c r="AK611" s="1405"/>
      <c r="AZ611" s="3"/>
      <c r="BA611" s="3"/>
      <c r="BB611" s="3"/>
      <c r="BC611" s="3"/>
      <c r="BD611" s="3"/>
      <c r="BE611" s="1481">
        <f t="shared" si="1"/>
        <v>0</v>
      </c>
      <c r="BF611" s="1483"/>
      <c r="BG611" s="1492">
        <f t="shared" si="2"/>
        <v>0</v>
      </c>
      <c r="BH611" s="1494"/>
      <c r="BI611" s="1481">
        <f t="shared" si="3"/>
        <v>0</v>
      </c>
      <c r="BJ611" s="1483"/>
      <c r="BK611" s="1492">
        <f t="shared" si="4"/>
        <v>0</v>
      </c>
      <c r="BL611" s="1494"/>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5">
        <f t="shared" si="11"/>
        <v>0</v>
      </c>
      <c r="CT611" s="1495"/>
      <c r="CU611" s="1495"/>
      <c r="CV611" s="1495"/>
      <c r="CW611" s="1495"/>
      <c r="CX611" s="1495">
        <f t="shared" si="12"/>
        <v>0</v>
      </c>
      <c r="CY611" s="1495"/>
      <c r="CZ611" s="1495"/>
      <c r="DA611" s="1495"/>
      <c r="DB611" s="1495"/>
      <c r="DC611" s="1495">
        <f t="shared" si="13"/>
        <v>0</v>
      </c>
      <c r="DD611" s="1495"/>
      <c r="DE611" s="1495"/>
      <c r="DF611" s="1495"/>
      <c r="DG611" s="1495"/>
      <c r="DH611" s="1495">
        <f t="shared" si="14"/>
        <v>0</v>
      </c>
      <c r="DI611" s="1495"/>
      <c r="DJ611" s="1495"/>
      <c r="DK611" s="1495"/>
      <c r="DL611" s="1495"/>
      <c r="DM611" s="1495">
        <f t="shared" si="15"/>
        <v>0</v>
      </c>
      <c r="DN611" s="1495"/>
      <c r="DO611" s="1495"/>
      <c r="DP611" s="1495"/>
      <c r="DQ611" s="1495"/>
      <c r="DR611" s="1495">
        <f t="shared" si="16"/>
        <v>0</v>
      </c>
      <c r="DS611" s="1495"/>
      <c r="DT611" s="1495"/>
      <c r="DU611" s="1495"/>
      <c r="DV611" s="1495"/>
      <c r="DX611" s="1481" t="str">
        <f t="shared" si="17"/>
        <v/>
      </c>
      <c r="DY611" s="1482"/>
      <c r="DZ611" s="1482"/>
      <c r="EA611" s="1482"/>
      <c r="EB611" s="1483"/>
      <c r="EC611" s="1481" t="str">
        <f t="shared" si="18"/>
        <v/>
      </c>
      <c r="ED611" s="1482"/>
      <c r="EE611" s="1482"/>
      <c r="EF611" s="1482"/>
      <c r="EG611" s="1483"/>
      <c r="EH611" s="1481" t="str">
        <f t="shared" si="19"/>
        <v/>
      </c>
      <c r="EI611" s="1482"/>
      <c r="EJ611" s="1482"/>
      <c r="EK611" s="1482"/>
      <c r="EL611" s="1483"/>
      <c r="EM611" s="1481" t="str">
        <f t="shared" si="20"/>
        <v/>
      </c>
      <c r="EN611" s="1482"/>
      <c r="EO611" s="1482"/>
      <c r="EP611" s="1482"/>
      <c r="EQ611" s="1483"/>
      <c r="ER611" s="1481" t="str">
        <f t="shared" si="21"/>
        <v/>
      </c>
      <c r="ES611" s="1482"/>
      <c r="ET611" s="1482"/>
      <c r="EU611" s="1482"/>
      <c r="EV611" s="1483"/>
      <c r="EW611" s="1481" t="str">
        <f t="shared" si="22"/>
        <v/>
      </c>
      <c r="EX611" s="1482"/>
      <c r="EY611" s="1482"/>
      <c r="EZ611" s="1482"/>
      <c r="FA611" s="1483"/>
    </row>
    <row r="612" spans="1:157" ht="12.9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1">
        <f t="shared" si="1"/>
        <v>0</v>
      </c>
      <c r="BF612" s="1483"/>
      <c r="BG612" s="1492">
        <f t="shared" si="2"/>
        <v>0</v>
      </c>
      <c r="BH612" s="1494"/>
      <c r="BI612" s="1481">
        <f t="shared" si="3"/>
        <v>0</v>
      </c>
      <c r="BJ612" s="1483"/>
      <c r="BK612" s="1492">
        <f t="shared" si="4"/>
        <v>0</v>
      </c>
      <c r="BL612" s="1494"/>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5">
        <f t="shared" si="11"/>
        <v>0</v>
      </c>
      <c r="CT612" s="1495"/>
      <c r="CU612" s="1495"/>
      <c r="CV612" s="1495"/>
      <c r="CW612" s="1495"/>
      <c r="CX612" s="1495">
        <f t="shared" si="12"/>
        <v>0</v>
      </c>
      <c r="CY612" s="1495"/>
      <c r="CZ612" s="1495"/>
      <c r="DA612" s="1495"/>
      <c r="DB612" s="1495"/>
      <c r="DC612" s="1495">
        <f t="shared" si="13"/>
        <v>0</v>
      </c>
      <c r="DD612" s="1495"/>
      <c r="DE612" s="1495"/>
      <c r="DF612" s="1495"/>
      <c r="DG612" s="1495"/>
      <c r="DH612" s="1495">
        <f t="shared" si="14"/>
        <v>0</v>
      </c>
      <c r="DI612" s="1495"/>
      <c r="DJ612" s="1495"/>
      <c r="DK612" s="1495"/>
      <c r="DL612" s="1495"/>
      <c r="DM612" s="1495">
        <f t="shared" si="15"/>
        <v>0</v>
      </c>
      <c r="DN612" s="1495"/>
      <c r="DO612" s="1495"/>
      <c r="DP612" s="1495"/>
      <c r="DQ612" s="1495"/>
      <c r="DR612" s="1495">
        <f t="shared" si="16"/>
        <v>0</v>
      </c>
      <c r="DS612" s="1495"/>
      <c r="DT612" s="1495"/>
      <c r="DU612" s="1495"/>
      <c r="DV612" s="1495"/>
      <c r="DX612" s="1481" t="str">
        <f t="shared" si="17"/>
        <v/>
      </c>
      <c r="DY612" s="1482"/>
      <c r="DZ612" s="1482"/>
      <c r="EA612" s="1482"/>
      <c r="EB612" s="1483"/>
      <c r="EC612" s="1481" t="str">
        <f t="shared" si="18"/>
        <v/>
      </c>
      <c r="ED612" s="1482"/>
      <c r="EE612" s="1482"/>
      <c r="EF612" s="1482"/>
      <c r="EG612" s="1483"/>
      <c r="EH612" s="1481" t="str">
        <f t="shared" si="19"/>
        <v/>
      </c>
      <c r="EI612" s="1482"/>
      <c r="EJ612" s="1482"/>
      <c r="EK612" s="1482"/>
      <c r="EL612" s="1483"/>
      <c r="EM612" s="1481" t="str">
        <f t="shared" si="20"/>
        <v/>
      </c>
      <c r="EN612" s="1482"/>
      <c r="EO612" s="1482"/>
      <c r="EP612" s="1482"/>
      <c r="EQ612" s="1483"/>
      <c r="ER612" s="1481" t="str">
        <f t="shared" si="21"/>
        <v/>
      </c>
      <c r="ES612" s="1482"/>
      <c r="ET612" s="1482"/>
      <c r="EU612" s="1482"/>
      <c r="EV612" s="1483"/>
      <c r="EW612" s="1481" t="str">
        <f t="shared" si="22"/>
        <v/>
      </c>
      <c r="EX612" s="1482"/>
      <c r="EY612" s="1482"/>
      <c r="EZ612" s="1482"/>
      <c r="FA612" s="1483"/>
    </row>
    <row r="613" spans="1:157" ht="12.95" customHeight="1">
      <c r="B613" t="s">
        <v>317</v>
      </c>
      <c r="G613" s="1464"/>
      <c r="H613" s="1464"/>
      <c r="I613" s="1464"/>
      <c r="J613" s="1464"/>
      <c r="K613" s="1464"/>
      <c r="L613" s="1464"/>
      <c r="O613" s="33" t="s">
        <v>207</v>
      </c>
      <c r="P613" s="1488"/>
      <c r="Q613" s="1488"/>
      <c r="R613" s="1488"/>
      <c r="U613" t="s">
        <v>317</v>
      </c>
      <c r="Z613" s="1464"/>
      <c r="AA613" s="1464"/>
      <c r="AB613" s="1464"/>
      <c r="AC613" s="1464"/>
      <c r="AD613" s="1464"/>
      <c r="AE613" s="1464"/>
      <c r="AH613" s="33" t="s">
        <v>207</v>
      </c>
      <c r="AI613" s="1488"/>
      <c r="AJ613" s="1488"/>
      <c r="AK613" s="1488"/>
      <c r="AZ613" s="3"/>
      <c r="BA613" s="3"/>
      <c r="BB613" s="3"/>
      <c r="BC613" s="3"/>
      <c r="BD613" s="3"/>
      <c r="BE613" s="1481">
        <f t="shared" si="1"/>
        <v>0</v>
      </c>
      <c r="BF613" s="1483"/>
      <c r="BG613" s="1492">
        <f t="shared" si="2"/>
        <v>0</v>
      </c>
      <c r="BH613" s="1494"/>
      <c r="BI613" s="1481">
        <f t="shared" si="3"/>
        <v>0</v>
      </c>
      <c r="BJ613" s="1483"/>
      <c r="BK613" s="1492">
        <f t="shared" si="4"/>
        <v>0</v>
      </c>
      <c r="BL613" s="1494"/>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5">
        <f t="shared" si="11"/>
        <v>0</v>
      </c>
      <c r="CT613" s="1495"/>
      <c r="CU613" s="1495"/>
      <c r="CV613" s="1495"/>
      <c r="CW613" s="1495"/>
      <c r="CX613" s="1495">
        <f t="shared" si="12"/>
        <v>0</v>
      </c>
      <c r="CY613" s="1495"/>
      <c r="CZ613" s="1495"/>
      <c r="DA613" s="1495"/>
      <c r="DB613" s="1495"/>
      <c r="DC613" s="1495">
        <f t="shared" si="13"/>
        <v>0</v>
      </c>
      <c r="DD613" s="1495"/>
      <c r="DE613" s="1495"/>
      <c r="DF613" s="1495"/>
      <c r="DG613" s="1495"/>
      <c r="DH613" s="1495">
        <f t="shared" si="14"/>
        <v>0</v>
      </c>
      <c r="DI613" s="1495"/>
      <c r="DJ613" s="1495"/>
      <c r="DK613" s="1495"/>
      <c r="DL613" s="1495"/>
      <c r="DM613" s="1495">
        <f t="shared" si="15"/>
        <v>0</v>
      </c>
      <c r="DN613" s="1495"/>
      <c r="DO613" s="1495"/>
      <c r="DP613" s="1495"/>
      <c r="DQ613" s="1495"/>
      <c r="DR613" s="1495">
        <f t="shared" si="16"/>
        <v>0</v>
      </c>
      <c r="DS613" s="1495"/>
      <c r="DT613" s="1495"/>
      <c r="DU613" s="1495"/>
      <c r="DV613" s="1495"/>
      <c r="DX613" s="1481" t="str">
        <f t="shared" si="17"/>
        <v/>
      </c>
      <c r="DY613" s="1482"/>
      <c r="DZ613" s="1482"/>
      <c r="EA613" s="1482"/>
      <c r="EB613" s="1483"/>
      <c r="EC613" s="1481" t="str">
        <f t="shared" si="18"/>
        <v/>
      </c>
      <c r="ED613" s="1482"/>
      <c r="EE613" s="1482"/>
      <c r="EF613" s="1482"/>
      <c r="EG613" s="1483"/>
      <c r="EH613" s="1481" t="str">
        <f t="shared" si="19"/>
        <v/>
      </c>
      <c r="EI613" s="1482"/>
      <c r="EJ613" s="1482"/>
      <c r="EK613" s="1482"/>
      <c r="EL613" s="1483"/>
      <c r="EM613" s="1481" t="str">
        <f t="shared" si="20"/>
        <v/>
      </c>
      <c r="EN613" s="1482"/>
      <c r="EO613" s="1482"/>
      <c r="EP613" s="1482"/>
      <c r="EQ613" s="1483"/>
      <c r="ER613" s="1481" t="str">
        <f t="shared" si="21"/>
        <v/>
      </c>
      <c r="ES613" s="1482"/>
      <c r="ET613" s="1482"/>
      <c r="EU613" s="1482"/>
      <c r="EV613" s="1483"/>
      <c r="EW613" s="1481" t="str">
        <f t="shared" si="22"/>
        <v/>
      </c>
      <c r="EX613" s="1482"/>
      <c r="EY613" s="1482"/>
      <c r="EZ613" s="1482"/>
      <c r="FA613" s="1483"/>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1">
        <f t="shared" si="1"/>
        <v>0</v>
      </c>
      <c r="BF614" s="1483"/>
      <c r="BG614" s="1492">
        <f t="shared" si="2"/>
        <v>0</v>
      </c>
      <c r="BH614" s="1494"/>
      <c r="BI614" s="1481">
        <f t="shared" si="3"/>
        <v>0</v>
      </c>
      <c r="BJ614" s="1483"/>
      <c r="BK614" s="1492">
        <f t="shared" si="4"/>
        <v>0</v>
      </c>
      <c r="BL614" s="1494"/>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5">
        <f t="shared" si="11"/>
        <v>0</v>
      </c>
      <c r="CT614" s="1495"/>
      <c r="CU614" s="1495"/>
      <c r="CV614" s="1495"/>
      <c r="CW614" s="1495"/>
      <c r="CX614" s="1495">
        <f t="shared" si="12"/>
        <v>0</v>
      </c>
      <c r="CY614" s="1495"/>
      <c r="CZ614" s="1495"/>
      <c r="DA614" s="1495"/>
      <c r="DB614" s="1495"/>
      <c r="DC614" s="1495">
        <f t="shared" si="13"/>
        <v>0</v>
      </c>
      <c r="DD614" s="1495"/>
      <c r="DE614" s="1495"/>
      <c r="DF614" s="1495"/>
      <c r="DG614" s="1495"/>
      <c r="DH614" s="1495">
        <f t="shared" si="14"/>
        <v>0</v>
      </c>
      <c r="DI614" s="1495"/>
      <c r="DJ614" s="1495"/>
      <c r="DK614" s="1495"/>
      <c r="DL614" s="1495"/>
      <c r="DM614" s="1495">
        <f t="shared" si="15"/>
        <v>0</v>
      </c>
      <c r="DN614" s="1495"/>
      <c r="DO614" s="1495"/>
      <c r="DP614" s="1495"/>
      <c r="DQ614" s="1495"/>
      <c r="DR614" s="1495">
        <f t="shared" si="16"/>
        <v>0</v>
      </c>
      <c r="DS614" s="1495"/>
      <c r="DT614" s="1495"/>
      <c r="DU614" s="1495"/>
      <c r="DV614" s="1495"/>
      <c r="DX614" s="1481" t="str">
        <f t="shared" si="17"/>
        <v/>
      </c>
      <c r="DY614" s="1482"/>
      <c r="DZ614" s="1482"/>
      <c r="EA614" s="1482"/>
      <c r="EB614" s="1483"/>
      <c r="EC614" s="1481" t="str">
        <f t="shared" si="18"/>
        <v/>
      </c>
      <c r="ED614" s="1482"/>
      <c r="EE614" s="1482"/>
      <c r="EF614" s="1482"/>
      <c r="EG614" s="1483"/>
      <c r="EH614" s="1481" t="str">
        <f t="shared" si="19"/>
        <v/>
      </c>
      <c r="EI614" s="1482"/>
      <c r="EJ614" s="1482"/>
      <c r="EK614" s="1482"/>
      <c r="EL614" s="1483"/>
      <c r="EM614" s="1481" t="str">
        <f t="shared" si="20"/>
        <v/>
      </c>
      <c r="EN614" s="1482"/>
      <c r="EO614" s="1482"/>
      <c r="EP614" s="1482"/>
      <c r="EQ614" s="1483"/>
      <c r="ER614" s="1481" t="str">
        <f t="shared" si="21"/>
        <v/>
      </c>
      <c r="ES614" s="1482"/>
      <c r="ET614" s="1482"/>
      <c r="EU614" s="1482"/>
      <c r="EV614" s="1483"/>
      <c r="EW614" s="1481" t="str">
        <f t="shared" si="22"/>
        <v/>
      </c>
      <c r="EX614" s="1482"/>
      <c r="EY614" s="1482"/>
      <c r="EZ614" s="1482"/>
      <c r="FA614" s="1483"/>
    </row>
    <row r="615" spans="1:157" ht="12.95" customHeight="1">
      <c r="B615" t="s">
        <v>20</v>
      </c>
      <c r="N615" s="1403" t="s">
        <v>678</v>
      </c>
      <c r="O615" s="1403"/>
      <c r="U615" t="s">
        <v>20</v>
      </c>
      <c r="AG615" s="1403" t="s">
        <v>678</v>
      </c>
      <c r="AH615" s="1403"/>
      <c r="AU615" s="934"/>
      <c r="AV615" s="934"/>
      <c r="AW615" s="934"/>
      <c r="AX615" s="934"/>
      <c r="AY615" s="934"/>
      <c r="AZ615" s="3"/>
      <c r="BA615" s="3"/>
      <c r="BB615" s="3"/>
      <c r="BC615" s="3"/>
      <c r="BD615" s="3"/>
      <c r="BE615" s="1481">
        <f t="shared" si="1"/>
        <v>0</v>
      </c>
      <c r="BF615" s="1483"/>
      <c r="BG615" s="1492">
        <f t="shared" si="2"/>
        <v>0</v>
      </c>
      <c r="BH615" s="1494"/>
      <c r="BI615" s="1481">
        <f t="shared" si="3"/>
        <v>0</v>
      </c>
      <c r="BJ615" s="1483"/>
      <c r="BK615" s="1492">
        <f t="shared" si="4"/>
        <v>0</v>
      </c>
      <c r="BL615" s="1494"/>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5">
        <f t="shared" si="11"/>
        <v>0</v>
      </c>
      <c r="CT615" s="1495"/>
      <c r="CU615" s="1495"/>
      <c r="CV615" s="1495"/>
      <c r="CW615" s="1495"/>
      <c r="CX615" s="1495">
        <f t="shared" si="12"/>
        <v>0</v>
      </c>
      <c r="CY615" s="1495"/>
      <c r="CZ615" s="1495"/>
      <c r="DA615" s="1495"/>
      <c r="DB615" s="1495"/>
      <c r="DC615" s="1495">
        <f t="shared" si="13"/>
        <v>0</v>
      </c>
      <c r="DD615" s="1495"/>
      <c r="DE615" s="1495"/>
      <c r="DF615" s="1495"/>
      <c r="DG615" s="1495"/>
      <c r="DH615" s="1495">
        <f t="shared" si="14"/>
        <v>0</v>
      </c>
      <c r="DI615" s="1495"/>
      <c r="DJ615" s="1495"/>
      <c r="DK615" s="1495"/>
      <c r="DL615" s="1495"/>
      <c r="DM615" s="1495">
        <f t="shared" si="15"/>
        <v>0</v>
      </c>
      <c r="DN615" s="1495"/>
      <c r="DO615" s="1495"/>
      <c r="DP615" s="1495"/>
      <c r="DQ615" s="1495"/>
      <c r="DR615" s="1495">
        <f t="shared" si="16"/>
        <v>0</v>
      </c>
      <c r="DS615" s="1495"/>
      <c r="DT615" s="1495"/>
      <c r="DU615" s="1495"/>
      <c r="DV615" s="1495"/>
      <c r="DX615" s="1481" t="str">
        <f t="shared" si="17"/>
        <v/>
      </c>
      <c r="DY615" s="1482"/>
      <c r="DZ615" s="1482"/>
      <c r="EA615" s="1482"/>
      <c r="EB615" s="1483"/>
      <c r="EC615" s="1481" t="str">
        <f t="shared" si="18"/>
        <v/>
      </c>
      <c r="ED615" s="1482"/>
      <c r="EE615" s="1482"/>
      <c r="EF615" s="1482"/>
      <c r="EG615" s="1483"/>
      <c r="EH615" s="1481" t="str">
        <f t="shared" si="19"/>
        <v/>
      </c>
      <c r="EI615" s="1482"/>
      <c r="EJ615" s="1482"/>
      <c r="EK615" s="1482"/>
      <c r="EL615" s="1483"/>
      <c r="EM615" s="1481" t="str">
        <f t="shared" si="20"/>
        <v/>
      </c>
      <c r="EN615" s="1482"/>
      <c r="EO615" s="1482"/>
      <c r="EP615" s="1482"/>
      <c r="EQ615" s="1483"/>
      <c r="ER615" s="1481" t="str">
        <f t="shared" si="21"/>
        <v/>
      </c>
      <c r="ES615" s="1482"/>
      <c r="ET615" s="1482"/>
      <c r="EU615" s="1482"/>
      <c r="EV615" s="1483"/>
      <c r="EW615" s="1481" t="str">
        <f t="shared" si="22"/>
        <v/>
      </c>
      <c r="EX615" s="1482"/>
      <c r="EY615" s="1482"/>
      <c r="EZ615" s="1482"/>
      <c r="FA615" s="1483"/>
    </row>
    <row r="616" spans="1:157" ht="12.95" customHeight="1">
      <c r="AZ616" s="3"/>
      <c r="BA616" s="3"/>
      <c r="BB616" s="3"/>
      <c r="BC616" s="3"/>
      <c r="BD616" s="3"/>
      <c r="BE616" s="1481">
        <f t="shared" si="1"/>
        <v>0</v>
      </c>
      <c r="BF616" s="1483"/>
      <c r="BG616" s="1492">
        <f t="shared" si="2"/>
        <v>0</v>
      </c>
      <c r="BH616" s="1494"/>
      <c r="BI616" s="1481">
        <f t="shared" si="3"/>
        <v>0</v>
      </c>
      <c r="BJ616" s="1483"/>
      <c r="BK616" s="1492">
        <f t="shared" si="4"/>
        <v>0</v>
      </c>
      <c r="BL616" s="1494"/>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5">
        <f t="shared" si="11"/>
        <v>0</v>
      </c>
      <c r="CT616" s="1495"/>
      <c r="CU616" s="1495"/>
      <c r="CV616" s="1495"/>
      <c r="CW616" s="1495"/>
      <c r="CX616" s="1495">
        <f t="shared" si="12"/>
        <v>0</v>
      </c>
      <c r="CY616" s="1495"/>
      <c r="CZ616" s="1495"/>
      <c r="DA616" s="1495"/>
      <c r="DB616" s="1495"/>
      <c r="DC616" s="1495">
        <f t="shared" si="13"/>
        <v>0</v>
      </c>
      <c r="DD616" s="1495"/>
      <c r="DE616" s="1495"/>
      <c r="DF616" s="1495"/>
      <c r="DG616" s="1495"/>
      <c r="DH616" s="1495">
        <f t="shared" si="14"/>
        <v>0</v>
      </c>
      <c r="DI616" s="1495"/>
      <c r="DJ616" s="1495"/>
      <c r="DK616" s="1495"/>
      <c r="DL616" s="1495"/>
      <c r="DM616" s="1495">
        <f t="shared" si="15"/>
        <v>0</v>
      </c>
      <c r="DN616" s="1495"/>
      <c r="DO616" s="1495"/>
      <c r="DP616" s="1495"/>
      <c r="DQ616" s="1495"/>
      <c r="DR616" s="1495">
        <f t="shared" si="16"/>
        <v>0</v>
      </c>
      <c r="DS616" s="1495"/>
      <c r="DT616" s="1495"/>
      <c r="DU616" s="1495"/>
      <c r="DV616" s="1495"/>
      <c r="DX616" s="1481" t="str">
        <f t="shared" si="17"/>
        <v/>
      </c>
      <c r="DY616" s="1482"/>
      <c r="DZ616" s="1482"/>
      <c r="EA616" s="1482"/>
      <c r="EB616" s="1483"/>
      <c r="EC616" s="1481" t="str">
        <f t="shared" si="18"/>
        <v/>
      </c>
      <c r="ED616" s="1482"/>
      <c r="EE616" s="1482"/>
      <c r="EF616" s="1482"/>
      <c r="EG616" s="1483"/>
      <c r="EH616" s="1481" t="str">
        <f t="shared" si="19"/>
        <v/>
      </c>
      <c r="EI616" s="1482"/>
      <c r="EJ616" s="1482"/>
      <c r="EK616" s="1482"/>
      <c r="EL616" s="1483"/>
      <c r="EM616" s="1481" t="str">
        <f t="shared" si="20"/>
        <v/>
      </c>
      <c r="EN616" s="1482"/>
      <c r="EO616" s="1482"/>
      <c r="EP616" s="1482"/>
      <c r="EQ616" s="1483"/>
      <c r="ER616" s="1481" t="str">
        <f t="shared" si="21"/>
        <v/>
      </c>
      <c r="ES616" s="1482"/>
      <c r="ET616" s="1482"/>
      <c r="EU616" s="1482"/>
      <c r="EV616" s="1483"/>
      <c r="EW616" s="1481" t="str">
        <f t="shared" si="22"/>
        <v/>
      </c>
      <c r="EX616" s="1482"/>
      <c r="EY616" s="1482"/>
      <c r="EZ616" s="1482"/>
      <c r="FA616" s="1483"/>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1">
        <f t="shared" si="1"/>
        <v>0</v>
      </c>
      <c r="BF617" s="1483"/>
      <c r="BG617" s="1492">
        <f t="shared" si="2"/>
        <v>0</v>
      </c>
      <c r="BH617" s="1494"/>
      <c r="BI617" s="1481">
        <f t="shared" si="3"/>
        <v>0</v>
      </c>
      <c r="BJ617" s="1483"/>
      <c r="BK617" s="1492">
        <f t="shared" si="4"/>
        <v>0</v>
      </c>
      <c r="BL617" s="1494"/>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5">
        <f t="shared" si="11"/>
        <v>0</v>
      </c>
      <c r="CT617" s="1495"/>
      <c r="CU617" s="1495"/>
      <c r="CV617" s="1495"/>
      <c r="CW617" s="1495"/>
      <c r="CX617" s="1495">
        <f t="shared" si="12"/>
        <v>0</v>
      </c>
      <c r="CY617" s="1495"/>
      <c r="CZ617" s="1495"/>
      <c r="DA617" s="1495"/>
      <c r="DB617" s="1495"/>
      <c r="DC617" s="1495">
        <f t="shared" si="13"/>
        <v>0</v>
      </c>
      <c r="DD617" s="1495"/>
      <c r="DE617" s="1495"/>
      <c r="DF617" s="1495"/>
      <c r="DG617" s="1495"/>
      <c r="DH617" s="1495">
        <f t="shared" si="14"/>
        <v>0</v>
      </c>
      <c r="DI617" s="1495"/>
      <c r="DJ617" s="1495"/>
      <c r="DK617" s="1495"/>
      <c r="DL617" s="1495"/>
      <c r="DM617" s="1495">
        <f t="shared" si="15"/>
        <v>0</v>
      </c>
      <c r="DN617" s="1495"/>
      <c r="DO617" s="1495"/>
      <c r="DP617" s="1495"/>
      <c r="DQ617" s="1495"/>
      <c r="DR617" s="1495">
        <f t="shared" si="16"/>
        <v>0</v>
      </c>
      <c r="DS617" s="1495"/>
      <c r="DT617" s="1495"/>
      <c r="DU617" s="1495"/>
      <c r="DV617" s="1495"/>
      <c r="DX617" s="1481" t="str">
        <f t="shared" si="17"/>
        <v/>
      </c>
      <c r="DY617" s="1482"/>
      <c r="DZ617" s="1482"/>
      <c r="EA617" s="1482"/>
      <c r="EB617" s="1483"/>
      <c r="EC617" s="1481" t="str">
        <f t="shared" si="18"/>
        <v/>
      </c>
      <c r="ED617" s="1482"/>
      <c r="EE617" s="1482"/>
      <c r="EF617" s="1482"/>
      <c r="EG617" s="1483"/>
      <c r="EH617" s="1481" t="str">
        <f t="shared" si="19"/>
        <v/>
      </c>
      <c r="EI617" s="1482"/>
      <c r="EJ617" s="1482"/>
      <c r="EK617" s="1482"/>
      <c r="EL617" s="1483"/>
      <c r="EM617" s="1481" t="str">
        <f t="shared" si="20"/>
        <v/>
      </c>
      <c r="EN617" s="1482"/>
      <c r="EO617" s="1482"/>
      <c r="EP617" s="1482"/>
      <c r="EQ617" s="1483"/>
      <c r="ER617" s="1481" t="str">
        <f t="shared" si="21"/>
        <v/>
      </c>
      <c r="ES617" s="1482"/>
      <c r="ET617" s="1482"/>
      <c r="EU617" s="1482"/>
      <c r="EV617" s="1483"/>
      <c r="EW617" s="1481" t="str">
        <f t="shared" si="22"/>
        <v/>
      </c>
      <c r="EX617" s="1482"/>
      <c r="EY617" s="1482"/>
      <c r="EZ617" s="1482"/>
      <c r="FA617" s="1483"/>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1">
        <f t="shared" si="1"/>
        <v>0</v>
      </c>
      <c r="BF618" s="1483"/>
      <c r="BG618" s="1492">
        <f t="shared" si="2"/>
        <v>0</v>
      </c>
      <c r="BH618" s="1494"/>
      <c r="BI618" s="1481">
        <f t="shared" si="3"/>
        <v>0</v>
      </c>
      <c r="BJ618" s="1483"/>
      <c r="BK618" s="1492">
        <f t="shared" si="4"/>
        <v>0</v>
      </c>
      <c r="BL618" s="1494"/>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5">
        <f t="shared" si="11"/>
        <v>0</v>
      </c>
      <c r="CT618" s="1495"/>
      <c r="CU618" s="1495"/>
      <c r="CV618" s="1495"/>
      <c r="CW618" s="1495"/>
      <c r="CX618" s="1495">
        <f t="shared" si="12"/>
        <v>0</v>
      </c>
      <c r="CY618" s="1495"/>
      <c r="CZ618" s="1495"/>
      <c r="DA618" s="1495"/>
      <c r="DB618" s="1495"/>
      <c r="DC618" s="1495">
        <f t="shared" si="13"/>
        <v>0</v>
      </c>
      <c r="DD618" s="1495"/>
      <c r="DE618" s="1495"/>
      <c r="DF618" s="1495"/>
      <c r="DG618" s="1495"/>
      <c r="DH618" s="1495">
        <f t="shared" si="14"/>
        <v>0</v>
      </c>
      <c r="DI618" s="1495"/>
      <c r="DJ618" s="1495"/>
      <c r="DK618" s="1495"/>
      <c r="DL618" s="1495"/>
      <c r="DM618" s="1495">
        <f t="shared" si="15"/>
        <v>0</v>
      </c>
      <c r="DN618" s="1495"/>
      <c r="DO618" s="1495"/>
      <c r="DP618" s="1495"/>
      <c r="DQ618" s="1495"/>
      <c r="DR618" s="1495">
        <f t="shared" si="16"/>
        <v>0</v>
      </c>
      <c r="DS618" s="1495"/>
      <c r="DT618" s="1495"/>
      <c r="DU618" s="1495"/>
      <c r="DV618" s="1495"/>
      <c r="DX618" s="1481" t="str">
        <f t="shared" si="17"/>
        <v/>
      </c>
      <c r="DY618" s="1482"/>
      <c r="DZ618" s="1482"/>
      <c r="EA618" s="1482"/>
      <c r="EB618" s="1483"/>
      <c r="EC618" s="1481" t="str">
        <f t="shared" si="18"/>
        <v/>
      </c>
      <c r="ED618" s="1482"/>
      <c r="EE618" s="1482"/>
      <c r="EF618" s="1482"/>
      <c r="EG618" s="1483"/>
      <c r="EH618" s="1481" t="str">
        <f t="shared" si="19"/>
        <v/>
      </c>
      <c r="EI618" s="1482"/>
      <c r="EJ618" s="1482"/>
      <c r="EK618" s="1482"/>
      <c r="EL618" s="1483"/>
      <c r="EM618" s="1481" t="str">
        <f t="shared" si="20"/>
        <v/>
      </c>
      <c r="EN618" s="1482"/>
      <c r="EO618" s="1482"/>
      <c r="EP618" s="1482"/>
      <c r="EQ618" s="1483"/>
      <c r="ER618" s="1481" t="str">
        <f t="shared" si="21"/>
        <v/>
      </c>
      <c r="ES618" s="1482"/>
      <c r="ET618" s="1482"/>
      <c r="EU618" s="1482"/>
      <c r="EV618" s="1483"/>
      <c r="EW618" s="1481" t="str">
        <f t="shared" si="22"/>
        <v/>
      </c>
      <c r="EX618" s="1482"/>
      <c r="EY618" s="1482"/>
      <c r="EZ618" s="1482"/>
      <c r="FA618" s="1483"/>
    </row>
    <row r="619" spans="1:157" ht="12.95" customHeight="1">
      <c r="AZ619" s="3"/>
      <c r="BA619" s="3"/>
      <c r="BB619" s="3"/>
      <c r="BC619" s="3"/>
      <c r="BD619" s="3"/>
      <c r="BE619" s="1481">
        <f t="shared" si="1"/>
        <v>0</v>
      </c>
      <c r="BF619" s="1483"/>
      <c r="BG619" s="1492">
        <f t="shared" si="2"/>
        <v>0</v>
      </c>
      <c r="BH619" s="1494"/>
      <c r="BI619" s="1481">
        <f t="shared" si="3"/>
        <v>0</v>
      </c>
      <c r="BJ619" s="1483"/>
      <c r="BK619" s="1492">
        <f t="shared" si="4"/>
        <v>0</v>
      </c>
      <c r="BL619" s="1494"/>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5">
        <f t="shared" si="11"/>
        <v>0</v>
      </c>
      <c r="CT619" s="1495"/>
      <c r="CU619" s="1495"/>
      <c r="CV619" s="1495"/>
      <c r="CW619" s="1495"/>
      <c r="CX619" s="1495">
        <f t="shared" si="12"/>
        <v>0</v>
      </c>
      <c r="CY619" s="1495"/>
      <c r="CZ619" s="1495"/>
      <c r="DA619" s="1495"/>
      <c r="DB619" s="1495"/>
      <c r="DC619" s="1495">
        <f t="shared" si="13"/>
        <v>0</v>
      </c>
      <c r="DD619" s="1495"/>
      <c r="DE619" s="1495"/>
      <c r="DF619" s="1495"/>
      <c r="DG619" s="1495"/>
      <c r="DH619" s="1495">
        <f t="shared" si="14"/>
        <v>0</v>
      </c>
      <c r="DI619" s="1495"/>
      <c r="DJ619" s="1495"/>
      <c r="DK619" s="1495"/>
      <c r="DL619" s="1495"/>
      <c r="DM619" s="1495">
        <f t="shared" si="15"/>
        <v>0</v>
      </c>
      <c r="DN619" s="1495"/>
      <c r="DO619" s="1495"/>
      <c r="DP619" s="1495"/>
      <c r="DQ619" s="1495"/>
      <c r="DR619" s="1495">
        <f t="shared" si="16"/>
        <v>0</v>
      </c>
      <c r="DS619" s="1495"/>
      <c r="DT619" s="1495"/>
      <c r="DU619" s="1495"/>
      <c r="DV619" s="1495"/>
      <c r="DX619" s="1481" t="str">
        <f t="shared" si="17"/>
        <v/>
      </c>
      <c r="DY619" s="1482"/>
      <c r="DZ619" s="1482"/>
      <c r="EA619" s="1482"/>
      <c r="EB619" s="1483"/>
      <c r="EC619" s="1481" t="str">
        <f t="shared" si="18"/>
        <v/>
      </c>
      <c r="ED619" s="1482"/>
      <c r="EE619" s="1482"/>
      <c r="EF619" s="1482"/>
      <c r="EG619" s="1483"/>
      <c r="EH619" s="1481" t="str">
        <f t="shared" si="19"/>
        <v/>
      </c>
      <c r="EI619" s="1482"/>
      <c r="EJ619" s="1482"/>
      <c r="EK619" s="1482"/>
      <c r="EL619" s="1483"/>
      <c r="EM619" s="1481" t="str">
        <f t="shared" si="20"/>
        <v/>
      </c>
      <c r="EN619" s="1482"/>
      <c r="EO619" s="1482"/>
      <c r="EP619" s="1482"/>
      <c r="EQ619" s="1483"/>
      <c r="ER619" s="1481" t="str">
        <f t="shared" si="21"/>
        <v/>
      </c>
      <c r="ES619" s="1482"/>
      <c r="ET619" s="1482"/>
      <c r="EU619" s="1482"/>
      <c r="EV619" s="1483"/>
      <c r="EW619" s="1481" t="str">
        <f t="shared" si="22"/>
        <v/>
      </c>
      <c r="EX619" s="1482"/>
      <c r="EY619" s="1482"/>
      <c r="EZ619" s="1482"/>
      <c r="FA619" s="1483"/>
    </row>
    <row r="620" spans="1:157" ht="12.95" customHeight="1">
      <c r="A620" s="2" t="s">
        <v>320</v>
      </c>
      <c r="B620" s="2"/>
      <c r="C620" s="2" t="s">
        <v>21</v>
      </c>
      <c r="AZ620" s="3"/>
      <c r="BA620" s="3"/>
      <c r="BB620" s="3"/>
      <c r="BC620" s="3"/>
      <c r="BD620" s="3"/>
      <c r="BE620" s="1481">
        <f t="shared" si="1"/>
        <v>0</v>
      </c>
      <c r="BF620" s="1483"/>
      <c r="BG620" s="1492">
        <f t="shared" si="2"/>
        <v>0</v>
      </c>
      <c r="BH620" s="1494"/>
      <c r="BI620" s="1481">
        <f t="shared" si="3"/>
        <v>0</v>
      </c>
      <c r="BJ620" s="1483"/>
      <c r="BK620" s="1492">
        <f t="shared" si="4"/>
        <v>0</v>
      </c>
      <c r="BL620" s="1494"/>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5">
        <f t="shared" si="11"/>
        <v>0</v>
      </c>
      <c r="CT620" s="1495"/>
      <c r="CU620" s="1495"/>
      <c r="CV620" s="1495"/>
      <c r="CW620" s="1495"/>
      <c r="CX620" s="1495">
        <f t="shared" si="12"/>
        <v>0</v>
      </c>
      <c r="CY620" s="1495"/>
      <c r="CZ620" s="1495"/>
      <c r="DA620" s="1495"/>
      <c r="DB620" s="1495"/>
      <c r="DC620" s="1495">
        <f t="shared" si="13"/>
        <v>0</v>
      </c>
      <c r="DD620" s="1495"/>
      <c r="DE620" s="1495"/>
      <c r="DF620" s="1495"/>
      <c r="DG620" s="1495"/>
      <c r="DH620" s="1495">
        <f t="shared" si="14"/>
        <v>0</v>
      </c>
      <c r="DI620" s="1495"/>
      <c r="DJ620" s="1495"/>
      <c r="DK620" s="1495"/>
      <c r="DL620" s="1495"/>
      <c r="DM620" s="1495">
        <f t="shared" si="15"/>
        <v>0</v>
      </c>
      <c r="DN620" s="1495"/>
      <c r="DO620" s="1495"/>
      <c r="DP620" s="1495"/>
      <c r="DQ620" s="1495"/>
      <c r="DR620" s="1495">
        <f t="shared" si="16"/>
        <v>0</v>
      </c>
      <c r="DS620" s="1495"/>
      <c r="DT620" s="1495"/>
      <c r="DU620" s="1495"/>
      <c r="DV620" s="1495"/>
      <c r="DX620" s="1481" t="str">
        <f t="shared" si="17"/>
        <v/>
      </c>
      <c r="DY620" s="1482"/>
      <c r="DZ620" s="1482"/>
      <c r="EA620" s="1482"/>
      <c r="EB620" s="1483"/>
      <c r="EC620" s="1481" t="str">
        <f t="shared" si="18"/>
        <v/>
      </c>
      <c r="ED620" s="1482"/>
      <c r="EE620" s="1482"/>
      <c r="EF620" s="1482"/>
      <c r="EG620" s="1483"/>
      <c r="EH620" s="1481" t="str">
        <f t="shared" si="19"/>
        <v/>
      </c>
      <c r="EI620" s="1482"/>
      <c r="EJ620" s="1482"/>
      <c r="EK620" s="1482"/>
      <c r="EL620" s="1483"/>
      <c r="EM620" s="1481" t="str">
        <f t="shared" si="20"/>
        <v/>
      </c>
      <c r="EN620" s="1482"/>
      <c r="EO620" s="1482"/>
      <c r="EP620" s="1482"/>
      <c r="EQ620" s="1483"/>
      <c r="ER620" s="1481" t="str">
        <f t="shared" si="21"/>
        <v/>
      </c>
      <c r="ES620" s="1482"/>
      <c r="ET620" s="1482"/>
      <c r="EU620" s="1482"/>
      <c r="EV620" s="1483"/>
      <c r="EW620" s="1481" t="str">
        <f t="shared" si="22"/>
        <v/>
      </c>
      <c r="EX620" s="1482"/>
      <c r="EY620" s="1482"/>
      <c r="EZ620" s="1482"/>
      <c r="FA620" s="1483"/>
    </row>
    <row r="621" spans="1:157" ht="12.95" customHeight="1">
      <c r="A621" s="2"/>
      <c r="B621" s="2"/>
      <c r="C621" s="2"/>
      <c r="AZ621" s="3"/>
      <c r="BA621" s="3"/>
      <c r="BB621" s="3"/>
      <c r="BC621" s="3"/>
      <c r="BD621" s="3"/>
      <c r="BE621" s="1481">
        <f t="shared" si="1"/>
        <v>0</v>
      </c>
      <c r="BF621" s="1483"/>
      <c r="BG621" s="1492">
        <f t="shared" si="2"/>
        <v>0</v>
      </c>
      <c r="BH621" s="1494"/>
      <c r="BI621" s="1481">
        <f t="shared" si="3"/>
        <v>0</v>
      </c>
      <c r="BJ621" s="1483"/>
      <c r="BK621" s="1492">
        <f t="shared" si="4"/>
        <v>0</v>
      </c>
      <c r="BL621" s="1494"/>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5">
        <f t="shared" si="11"/>
        <v>0</v>
      </c>
      <c r="CT621" s="1495"/>
      <c r="CU621" s="1495"/>
      <c r="CV621" s="1495"/>
      <c r="CW621" s="1495"/>
      <c r="CX621" s="1495">
        <f t="shared" si="12"/>
        <v>0</v>
      </c>
      <c r="CY621" s="1495"/>
      <c r="CZ621" s="1495"/>
      <c r="DA621" s="1495"/>
      <c r="DB621" s="1495"/>
      <c r="DC621" s="1495">
        <f t="shared" si="13"/>
        <v>0</v>
      </c>
      <c r="DD621" s="1495"/>
      <c r="DE621" s="1495"/>
      <c r="DF621" s="1495"/>
      <c r="DG621" s="1495"/>
      <c r="DH621" s="1495">
        <f t="shared" si="14"/>
        <v>0</v>
      </c>
      <c r="DI621" s="1495"/>
      <c r="DJ621" s="1495"/>
      <c r="DK621" s="1495"/>
      <c r="DL621" s="1495"/>
      <c r="DM621" s="1495">
        <f t="shared" si="15"/>
        <v>0</v>
      </c>
      <c r="DN621" s="1495"/>
      <c r="DO621" s="1495"/>
      <c r="DP621" s="1495"/>
      <c r="DQ621" s="1495"/>
      <c r="DR621" s="1495">
        <f t="shared" si="16"/>
        <v>0</v>
      </c>
      <c r="DS621" s="1495"/>
      <c r="DT621" s="1495"/>
      <c r="DU621" s="1495"/>
      <c r="DV621" s="1495"/>
      <c r="DX621" s="1481" t="str">
        <f t="shared" si="17"/>
        <v/>
      </c>
      <c r="DY621" s="1482"/>
      <c r="DZ621" s="1482"/>
      <c r="EA621" s="1482"/>
      <c r="EB621" s="1483"/>
      <c r="EC621" s="1481" t="str">
        <f t="shared" si="18"/>
        <v/>
      </c>
      <c r="ED621" s="1482"/>
      <c r="EE621" s="1482"/>
      <c r="EF621" s="1482"/>
      <c r="EG621" s="1483"/>
      <c r="EH621" s="1481" t="str">
        <f t="shared" si="19"/>
        <v/>
      </c>
      <c r="EI621" s="1482"/>
      <c r="EJ621" s="1482"/>
      <c r="EK621" s="1482"/>
      <c r="EL621" s="1483"/>
      <c r="EM621" s="1481" t="str">
        <f t="shared" si="20"/>
        <v/>
      </c>
      <c r="EN621" s="1482"/>
      <c r="EO621" s="1482"/>
      <c r="EP621" s="1482"/>
      <c r="EQ621" s="1483"/>
      <c r="ER621" s="1481" t="str">
        <f t="shared" si="21"/>
        <v/>
      </c>
      <c r="ES621" s="1482"/>
      <c r="ET621" s="1482"/>
      <c r="EU621" s="1482"/>
      <c r="EV621" s="1483"/>
      <c r="EW621" s="1481" t="str">
        <f t="shared" si="22"/>
        <v/>
      </c>
      <c r="EX621" s="1482"/>
      <c r="EY621" s="1482"/>
      <c r="EZ621" s="1482"/>
      <c r="FA621" s="1483"/>
    </row>
    <row r="622" spans="1:157" ht="12.95" customHeight="1">
      <c r="C622" s="2" t="s">
        <v>2421</v>
      </c>
      <c r="AZ622" s="3"/>
      <c r="BA622" s="3"/>
      <c r="BB622" s="3"/>
      <c r="BC622" s="3"/>
      <c r="BD622" s="3"/>
      <c r="BE622" s="1481">
        <f t="shared" si="1"/>
        <v>0</v>
      </c>
      <c r="BF622" s="1483"/>
      <c r="BG622" s="1492">
        <f t="shared" si="2"/>
        <v>0</v>
      </c>
      <c r="BH622" s="1494"/>
      <c r="BI622" s="1481">
        <f t="shared" si="3"/>
        <v>0</v>
      </c>
      <c r="BJ622" s="1483"/>
      <c r="BK622" s="1492">
        <f t="shared" si="4"/>
        <v>0</v>
      </c>
      <c r="BL622" s="1494"/>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5">
        <f t="shared" si="11"/>
        <v>0</v>
      </c>
      <c r="CT622" s="1495"/>
      <c r="CU622" s="1495"/>
      <c r="CV622" s="1495"/>
      <c r="CW622" s="1495"/>
      <c r="CX622" s="1495">
        <f t="shared" si="12"/>
        <v>0</v>
      </c>
      <c r="CY622" s="1495"/>
      <c r="CZ622" s="1495"/>
      <c r="DA622" s="1495"/>
      <c r="DB622" s="1495"/>
      <c r="DC622" s="1495">
        <f t="shared" si="13"/>
        <v>0</v>
      </c>
      <c r="DD622" s="1495"/>
      <c r="DE622" s="1495"/>
      <c r="DF622" s="1495"/>
      <c r="DG622" s="1495"/>
      <c r="DH622" s="1495">
        <f t="shared" si="14"/>
        <v>0</v>
      </c>
      <c r="DI622" s="1495"/>
      <c r="DJ622" s="1495"/>
      <c r="DK622" s="1495"/>
      <c r="DL622" s="1495"/>
      <c r="DM622" s="1495">
        <f t="shared" si="15"/>
        <v>0</v>
      </c>
      <c r="DN622" s="1495"/>
      <c r="DO622" s="1495"/>
      <c r="DP622" s="1495"/>
      <c r="DQ622" s="1495"/>
      <c r="DR622" s="1495">
        <f t="shared" si="16"/>
        <v>0</v>
      </c>
      <c r="DS622" s="1495"/>
      <c r="DT622" s="1495"/>
      <c r="DU622" s="1495"/>
      <c r="DV622" s="1495"/>
      <c r="DX622" s="1481" t="str">
        <f t="shared" si="17"/>
        <v/>
      </c>
      <c r="DY622" s="1482"/>
      <c r="DZ622" s="1482"/>
      <c r="EA622" s="1482"/>
      <c r="EB622" s="1483"/>
      <c r="EC622" s="1481" t="str">
        <f t="shared" si="18"/>
        <v/>
      </c>
      <c r="ED622" s="1482"/>
      <c r="EE622" s="1482"/>
      <c r="EF622" s="1482"/>
      <c r="EG622" s="1483"/>
      <c r="EH622" s="1481" t="str">
        <f t="shared" si="19"/>
        <v/>
      </c>
      <c r="EI622" s="1482"/>
      <c r="EJ622" s="1482"/>
      <c r="EK622" s="1482"/>
      <c r="EL622" s="1483"/>
      <c r="EM622" s="1481" t="str">
        <f t="shared" si="20"/>
        <v/>
      </c>
      <c r="EN622" s="1482"/>
      <c r="EO622" s="1482"/>
      <c r="EP622" s="1482"/>
      <c r="EQ622" s="1483"/>
      <c r="ER622" s="1481" t="str">
        <f t="shared" si="21"/>
        <v/>
      </c>
      <c r="ES622" s="1482"/>
      <c r="ET622" s="1482"/>
      <c r="EU622" s="1482"/>
      <c r="EV622" s="1483"/>
      <c r="EW622" s="1481" t="str">
        <f t="shared" si="22"/>
        <v/>
      </c>
      <c r="EX622" s="1482"/>
      <c r="EY622" s="1482"/>
      <c r="EZ622" s="1482"/>
      <c r="FA622" s="1483"/>
    </row>
    <row r="623" spans="1:157" ht="12.95" customHeight="1">
      <c r="B623" s="546"/>
      <c r="C623" s="2"/>
      <c r="AU623" s="3"/>
      <c r="AZ623" s="3"/>
      <c r="BA623" s="3"/>
      <c r="BB623" s="3"/>
      <c r="BC623" s="3"/>
      <c r="BD623" s="3"/>
      <c r="BE623" s="1481">
        <f t="shared" si="1"/>
        <v>0</v>
      </c>
      <c r="BF623" s="1483"/>
      <c r="BG623" s="1492">
        <f t="shared" si="2"/>
        <v>0</v>
      </c>
      <c r="BH623" s="1494"/>
      <c r="BI623" s="1481">
        <f t="shared" si="3"/>
        <v>0</v>
      </c>
      <c r="BJ623" s="1483"/>
      <c r="BK623" s="1492">
        <f t="shared" si="4"/>
        <v>0</v>
      </c>
      <c r="BL623" s="1494"/>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5">
        <f t="shared" si="11"/>
        <v>0</v>
      </c>
      <c r="CT623" s="1495"/>
      <c r="CU623" s="1495"/>
      <c r="CV623" s="1495"/>
      <c r="CW623" s="1495"/>
      <c r="CX623" s="1495">
        <f t="shared" si="12"/>
        <v>0</v>
      </c>
      <c r="CY623" s="1495"/>
      <c r="CZ623" s="1495"/>
      <c r="DA623" s="1495"/>
      <c r="DB623" s="1495"/>
      <c r="DC623" s="1495">
        <f t="shared" si="13"/>
        <v>0</v>
      </c>
      <c r="DD623" s="1495"/>
      <c r="DE623" s="1495"/>
      <c r="DF623" s="1495"/>
      <c r="DG623" s="1495"/>
      <c r="DH623" s="1495">
        <f t="shared" si="14"/>
        <v>0</v>
      </c>
      <c r="DI623" s="1495"/>
      <c r="DJ623" s="1495"/>
      <c r="DK623" s="1495"/>
      <c r="DL623" s="1495"/>
      <c r="DM623" s="1495">
        <f t="shared" si="15"/>
        <v>0</v>
      </c>
      <c r="DN623" s="1495"/>
      <c r="DO623" s="1495"/>
      <c r="DP623" s="1495"/>
      <c r="DQ623" s="1495"/>
      <c r="DR623" s="1495">
        <f t="shared" si="16"/>
        <v>0</v>
      </c>
      <c r="DS623" s="1495"/>
      <c r="DT623" s="1495"/>
      <c r="DU623" s="1495"/>
      <c r="DV623" s="1495"/>
      <c r="DX623" s="1481" t="str">
        <f t="shared" si="17"/>
        <v/>
      </c>
      <c r="DY623" s="1482"/>
      <c r="DZ623" s="1482"/>
      <c r="EA623" s="1482"/>
      <c r="EB623" s="1483"/>
      <c r="EC623" s="1481" t="str">
        <f t="shared" si="18"/>
        <v/>
      </c>
      <c r="ED623" s="1482"/>
      <c r="EE623" s="1482"/>
      <c r="EF623" s="1482"/>
      <c r="EG623" s="1483"/>
      <c r="EH623" s="1481" t="str">
        <f t="shared" si="19"/>
        <v/>
      </c>
      <c r="EI623" s="1482"/>
      <c r="EJ623" s="1482"/>
      <c r="EK623" s="1482"/>
      <c r="EL623" s="1483"/>
      <c r="EM623" s="1481" t="str">
        <f t="shared" si="20"/>
        <v/>
      </c>
      <c r="EN623" s="1482"/>
      <c r="EO623" s="1482"/>
      <c r="EP623" s="1482"/>
      <c r="EQ623" s="1483"/>
      <c r="ER623" s="1481" t="str">
        <f t="shared" si="21"/>
        <v/>
      </c>
      <c r="ES623" s="1482"/>
      <c r="ET623" s="1482"/>
      <c r="EU623" s="1482"/>
      <c r="EV623" s="1483"/>
      <c r="EW623" s="1481" t="str">
        <f t="shared" si="22"/>
        <v/>
      </c>
      <c r="EX623" s="1482"/>
      <c r="EY623" s="1482"/>
      <c r="EZ623" s="1482"/>
      <c r="FA623" s="1483"/>
    </row>
    <row r="624" spans="1:157" ht="12.95" customHeight="1">
      <c r="B624" s="1505" t="s">
        <v>2423</v>
      </c>
      <c r="C624" s="1505"/>
      <c r="D624" s="1505"/>
      <c r="E624" s="1505"/>
      <c r="F624" s="1505"/>
      <c r="G624" s="1505"/>
      <c r="H624" s="1505"/>
      <c r="I624" s="1505"/>
      <c r="J624" s="1505"/>
      <c r="K624" s="1505"/>
      <c r="L624" s="1505"/>
      <c r="M624" s="1463" t="s">
        <v>2424</v>
      </c>
      <c r="N624" s="1463"/>
      <c r="O624" s="1463"/>
      <c r="P624" s="1463"/>
      <c r="Q624" s="1463" t="s">
        <v>2045</v>
      </c>
      <c r="R624" s="1463"/>
      <c r="S624" s="1463"/>
      <c r="T624" s="1463" t="s">
        <v>2043</v>
      </c>
      <c r="U624" s="1463"/>
      <c r="V624" s="1463"/>
      <c r="W624" s="1466" t="s">
        <v>462</v>
      </c>
      <c r="X624" s="1466"/>
      <c r="Y624" s="1466"/>
      <c r="Z624" s="1499" t="s">
        <v>2453</v>
      </c>
      <c r="AA624" s="1499"/>
      <c r="AB624" s="1500"/>
      <c r="AC624" s="1708" t="s">
        <v>1866</v>
      </c>
      <c r="AD624" s="1709"/>
      <c r="AE624" s="1710"/>
      <c r="AF624" s="1632" t="s">
        <v>2232</v>
      </c>
      <c r="AG624" s="1499"/>
      <c r="AH624" s="1499"/>
      <c r="AI624" s="1499"/>
      <c r="AJ624" s="1500"/>
      <c r="AK624" s="1637" t="s">
        <v>2233</v>
      </c>
      <c r="AL624" s="1638"/>
      <c r="AM624" s="1638"/>
      <c r="AN624" s="1639"/>
      <c r="AO624" s="1463" t="s">
        <v>463</v>
      </c>
      <c r="AP624" s="1463"/>
      <c r="AQ624" s="1463"/>
      <c r="AR624" s="1463"/>
      <c r="AS624" s="1463"/>
      <c r="AU624" s="3"/>
      <c r="AZ624" s="3"/>
      <c r="BA624" s="3"/>
      <c r="BB624" s="3"/>
      <c r="BC624" s="3"/>
      <c r="BD624" s="3"/>
      <c r="BE624" s="1481">
        <f t="shared" si="1"/>
        <v>0</v>
      </c>
      <c r="BF624" s="1483"/>
      <c r="BG624" s="1492">
        <f t="shared" si="2"/>
        <v>0</v>
      </c>
      <c r="BH624" s="1494"/>
      <c r="BI624" s="1481">
        <f t="shared" si="3"/>
        <v>0</v>
      </c>
      <c r="BJ624" s="1483"/>
      <c r="BK624" s="1492">
        <f t="shared" si="4"/>
        <v>0</v>
      </c>
      <c r="BL624" s="1494"/>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5">
        <f t="shared" si="11"/>
        <v>0</v>
      </c>
      <c r="CT624" s="1495"/>
      <c r="CU624" s="1495"/>
      <c r="CV624" s="1495"/>
      <c r="CW624" s="1495"/>
      <c r="CX624" s="1495">
        <f t="shared" si="12"/>
        <v>0</v>
      </c>
      <c r="CY624" s="1495"/>
      <c r="CZ624" s="1495"/>
      <c r="DA624" s="1495"/>
      <c r="DB624" s="1495"/>
      <c r="DC624" s="1495">
        <f t="shared" si="13"/>
        <v>0</v>
      </c>
      <c r="DD624" s="1495"/>
      <c r="DE624" s="1495"/>
      <c r="DF624" s="1495"/>
      <c r="DG624" s="1495"/>
      <c r="DH624" s="1495">
        <f t="shared" si="14"/>
        <v>0</v>
      </c>
      <c r="DI624" s="1495"/>
      <c r="DJ624" s="1495"/>
      <c r="DK624" s="1495"/>
      <c r="DL624" s="1495"/>
      <c r="DM624" s="1495">
        <f t="shared" si="15"/>
        <v>0</v>
      </c>
      <c r="DN624" s="1495"/>
      <c r="DO624" s="1495"/>
      <c r="DP624" s="1495"/>
      <c r="DQ624" s="1495"/>
      <c r="DR624" s="1495">
        <f t="shared" si="16"/>
        <v>0</v>
      </c>
      <c r="DS624" s="1495"/>
      <c r="DT624" s="1495"/>
      <c r="DU624" s="1495"/>
      <c r="DV624" s="1495"/>
      <c r="DX624" s="1481" t="str">
        <f t="shared" si="17"/>
        <v/>
      </c>
      <c r="DY624" s="1482"/>
      <c r="DZ624" s="1482"/>
      <c r="EA624" s="1482"/>
      <c r="EB624" s="1483"/>
      <c r="EC624" s="1481" t="str">
        <f t="shared" si="18"/>
        <v/>
      </c>
      <c r="ED624" s="1482"/>
      <c r="EE624" s="1482"/>
      <c r="EF624" s="1482"/>
      <c r="EG624" s="1483"/>
      <c r="EH624" s="1481" t="str">
        <f t="shared" si="19"/>
        <v/>
      </c>
      <c r="EI624" s="1482"/>
      <c r="EJ624" s="1482"/>
      <c r="EK624" s="1482"/>
      <c r="EL624" s="1483"/>
      <c r="EM624" s="1481" t="str">
        <f t="shared" si="20"/>
        <v/>
      </c>
      <c r="EN624" s="1482"/>
      <c r="EO624" s="1482"/>
      <c r="EP624" s="1482"/>
      <c r="EQ624" s="1483"/>
      <c r="ER624" s="1481" t="str">
        <f t="shared" si="21"/>
        <v/>
      </c>
      <c r="ES624" s="1482"/>
      <c r="ET624" s="1482"/>
      <c r="EU624" s="1482"/>
      <c r="EV624" s="1483"/>
      <c r="EW624" s="1481" t="str">
        <f t="shared" si="22"/>
        <v/>
      </c>
      <c r="EX624" s="1482"/>
      <c r="EY624" s="1482"/>
      <c r="EZ624" s="1482"/>
      <c r="FA624" s="1483"/>
    </row>
    <row r="625" spans="2:157" ht="12.95" customHeight="1">
      <c r="B625" s="1505"/>
      <c r="C625" s="1505"/>
      <c r="D625" s="1505"/>
      <c r="E625" s="1505"/>
      <c r="F625" s="1505"/>
      <c r="G625" s="1505"/>
      <c r="H625" s="1505"/>
      <c r="I625" s="1505"/>
      <c r="J625" s="1505"/>
      <c r="K625" s="1505"/>
      <c r="L625" s="1505"/>
      <c r="M625" s="1463"/>
      <c r="N625" s="1463"/>
      <c r="O625" s="1463"/>
      <c r="P625" s="1463"/>
      <c r="Q625" s="1463"/>
      <c r="R625" s="1463"/>
      <c r="S625" s="1463"/>
      <c r="T625" s="1463"/>
      <c r="U625" s="1463"/>
      <c r="V625" s="1463"/>
      <c r="W625" s="1466"/>
      <c r="X625" s="1466"/>
      <c r="Y625" s="1466"/>
      <c r="Z625" s="1501"/>
      <c r="AA625" s="1501"/>
      <c r="AB625" s="1502"/>
      <c r="AC625" s="1711"/>
      <c r="AD625" s="1712"/>
      <c r="AE625" s="1713"/>
      <c r="AF625" s="1633"/>
      <c r="AG625" s="1501"/>
      <c r="AH625" s="1501"/>
      <c r="AI625" s="1501"/>
      <c r="AJ625" s="1502"/>
      <c r="AK625" s="1640"/>
      <c r="AL625" s="1641"/>
      <c r="AM625" s="1641"/>
      <c r="AN625" s="1642"/>
      <c r="AO625" s="1463"/>
      <c r="AP625" s="1463"/>
      <c r="AQ625" s="1463"/>
      <c r="AR625" s="1463"/>
      <c r="AS625" s="1463"/>
      <c r="AU625" s="3"/>
      <c r="AZ625" s="3"/>
      <c r="BA625" s="3"/>
      <c r="BB625" s="3"/>
      <c r="BC625" s="3"/>
      <c r="BD625" s="3"/>
      <c r="BE625" s="1481">
        <f t="shared" si="1"/>
        <v>0</v>
      </c>
      <c r="BF625" s="1483"/>
      <c r="BG625" s="1492">
        <f t="shared" si="2"/>
        <v>0</v>
      </c>
      <c r="BH625" s="1494"/>
      <c r="BI625" s="1481">
        <f t="shared" si="3"/>
        <v>0</v>
      </c>
      <c r="BJ625" s="1483"/>
      <c r="BK625" s="1492">
        <f t="shared" si="4"/>
        <v>0</v>
      </c>
      <c r="BL625" s="1494"/>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5">
        <f t="shared" si="11"/>
        <v>0</v>
      </c>
      <c r="CT625" s="1495"/>
      <c r="CU625" s="1495"/>
      <c r="CV625" s="1495"/>
      <c r="CW625" s="1495"/>
      <c r="CX625" s="1495">
        <f t="shared" si="12"/>
        <v>0</v>
      </c>
      <c r="CY625" s="1495"/>
      <c r="CZ625" s="1495"/>
      <c r="DA625" s="1495"/>
      <c r="DB625" s="1495"/>
      <c r="DC625" s="1495">
        <f t="shared" si="13"/>
        <v>0</v>
      </c>
      <c r="DD625" s="1495"/>
      <c r="DE625" s="1495"/>
      <c r="DF625" s="1495"/>
      <c r="DG625" s="1495"/>
      <c r="DH625" s="1495">
        <f t="shared" si="14"/>
        <v>0</v>
      </c>
      <c r="DI625" s="1495"/>
      <c r="DJ625" s="1495"/>
      <c r="DK625" s="1495"/>
      <c r="DL625" s="1495"/>
      <c r="DM625" s="1495">
        <f t="shared" si="15"/>
        <v>0</v>
      </c>
      <c r="DN625" s="1495"/>
      <c r="DO625" s="1495"/>
      <c r="DP625" s="1495"/>
      <c r="DQ625" s="1495"/>
      <c r="DR625" s="1495">
        <f t="shared" si="16"/>
        <v>0</v>
      </c>
      <c r="DS625" s="1495"/>
      <c r="DT625" s="1495"/>
      <c r="DU625" s="1495"/>
      <c r="DV625" s="1495"/>
      <c r="DX625" s="1481" t="str">
        <f t="shared" si="17"/>
        <v/>
      </c>
      <c r="DY625" s="1482"/>
      <c r="DZ625" s="1482"/>
      <c r="EA625" s="1482"/>
      <c r="EB625" s="1483"/>
      <c r="EC625" s="1481" t="str">
        <f t="shared" si="18"/>
        <v/>
      </c>
      <c r="ED625" s="1482"/>
      <c r="EE625" s="1482"/>
      <c r="EF625" s="1482"/>
      <c r="EG625" s="1483"/>
      <c r="EH625" s="1481" t="str">
        <f t="shared" si="19"/>
        <v/>
      </c>
      <c r="EI625" s="1482"/>
      <c r="EJ625" s="1482"/>
      <c r="EK625" s="1482"/>
      <c r="EL625" s="1483"/>
      <c r="EM625" s="1481" t="str">
        <f t="shared" si="20"/>
        <v/>
      </c>
      <c r="EN625" s="1482"/>
      <c r="EO625" s="1482"/>
      <c r="EP625" s="1482"/>
      <c r="EQ625" s="1483"/>
      <c r="ER625" s="1481" t="str">
        <f t="shared" si="21"/>
        <v/>
      </c>
      <c r="ES625" s="1482"/>
      <c r="ET625" s="1482"/>
      <c r="EU625" s="1482"/>
      <c r="EV625" s="1483"/>
      <c r="EW625" s="1481" t="str">
        <f t="shared" si="22"/>
        <v/>
      </c>
      <c r="EX625" s="1482"/>
      <c r="EY625" s="1482"/>
      <c r="EZ625" s="1482"/>
      <c r="FA625" s="1483"/>
    </row>
    <row r="626" spans="2:157" ht="12.95" customHeight="1">
      <c r="B626" s="1505"/>
      <c r="C626" s="1505"/>
      <c r="D626" s="1505"/>
      <c r="E626" s="1505"/>
      <c r="F626" s="1505"/>
      <c r="G626" s="1505"/>
      <c r="H626" s="1505"/>
      <c r="I626" s="1505"/>
      <c r="J626" s="1505"/>
      <c r="K626" s="1505"/>
      <c r="L626" s="1505"/>
      <c r="M626" s="1463"/>
      <c r="N626" s="1463"/>
      <c r="O626" s="1463"/>
      <c r="P626" s="1463"/>
      <c r="Q626" s="1463"/>
      <c r="R626" s="1463"/>
      <c r="S626" s="1463"/>
      <c r="T626" s="1463"/>
      <c r="U626" s="1463"/>
      <c r="V626" s="1463"/>
      <c r="W626" s="1466"/>
      <c r="X626" s="1466"/>
      <c r="Y626" s="1466"/>
      <c r="Z626" s="1503"/>
      <c r="AA626" s="1503"/>
      <c r="AB626" s="1504"/>
      <c r="AC626" s="1714"/>
      <c r="AD626" s="1715"/>
      <c r="AE626" s="1716"/>
      <c r="AF626" s="1634"/>
      <c r="AG626" s="1503"/>
      <c r="AH626" s="1503"/>
      <c r="AI626" s="1503"/>
      <c r="AJ626" s="1504"/>
      <c r="AK626" s="1643"/>
      <c r="AL626" s="1644"/>
      <c r="AM626" s="1644"/>
      <c r="AN626" s="1645"/>
      <c r="AO626" s="1463"/>
      <c r="AP626" s="1463"/>
      <c r="AQ626" s="1463"/>
      <c r="AR626" s="1463"/>
      <c r="AS626" s="1463"/>
      <c r="AT626" s="3"/>
      <c r="AU626" s="3"/>
      <c r="AZ626" s="3"/>
      <c r="BA626" s="3"/>
      <c r="BB626" s="3"/>
      <c r="BC626" s="3"/>
      <c r="BD626" s="3"/>
      <c r="BE626" s="1481">
        <f t="shared" si="1"/>
        <v>0</v>
      </c>
      <c r="BF626" s="1483"/>
      <c r="BG626" s="1492">
        <f t="shared" si="2"/>
        <v>0</v>
      </c>
      <c r="BH626" s="1494"/>
      <c r="BI626" s="1481">
        <f t="shared" si="3"/>
        <v>0</v>
      </c>
      <c r="BJ626" s="1483"/>
      <c r="BK626" s="1492">
        <f t="shared" si="4"/>
        <v>0</v>
      </c>
      <c r="BL626" s="1494"/>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5">
        <f t="shared" si="11"/>
        <v>0</v>
      </c>
      <c r="CT626" s="1495"/>
      <c r="CU626" s="1495"/>
      <c r="CV626" s="1495"/>
      <c r="CW626" s="1495"/>
      <c r="CX626" s="1495">
        <f t="shared" si="12"/>
        <v>0</v>
      </c>
      <c r="CY626" s="1495"/>
      <c r="CZ626" s="1495"/>
      <c r="DA626" s="1495"/>
      <c r="DB626" s="1495"/>
      <c r="DC626" s="1495">
        <f t="shared" si="13"/>
        <v>0</v>
      </c>
      <c r="DD626" s="1495"/>
      <c r="DE626" s="1495"/>
      <c r="DF626" s="1495"/>
      <c r="DG626" s="1495"/>
      <c r="DH626" s="1495">
        <f t="shared" si="14"/>
        <v>0</v>
      </c>
      <c r="DI626" s="1495"/>
      <c r="DJ626" s="1495"/>
      <c r="DK626" s="1495"/>
      <c r="DL626" s="1495"/>
      <c r="DM626" s="1495">
        <f t="shared" si="15"/>
        <v>0</v>
      </c>
      <c r="DN626" s="1495"/>
      <c r="DO626" s="1495"/>
      <c r="DP626" s="1495"/>
      <c r="DQ626" s="1495"/>
      <c r="DR626" s="1495">
        <f t="shared" si="16"/>
        <v>0</v>
      </c>
      <c r="DS626" s="1495"/>
      <c r="DT626" s="1495"/>
      <c r="DU626" s="1495"/>
      <c r="DV626" s="1495"/>
      <c r="DX626" s="1481" t="str">
        <f t="shared" si="17"/>
        <v/>
      </c>
      <c r="DY626" s="1482"/>
      <c r="DZ626" s="1482"/>
      <c r="EA626" s="1482"/>
      <c r="EB626" s="1483"/>
      <c r="EC626" s="1481" t="str">
        <f t="shared" si="18"/>
        <v/>
      </c>
      <c r="ED626" s="1482"/>
      <c r="EE626" s="1482"/>
      <c r="EF626" s="1482"/>
      <c r="EG626" s="1483"/>
      <c r="EH626" s="1481" t="str">
        <f t="shared" si="19"/>
        <v/>
      </c>
      <c r="EI626" s="1482"/>
      <c r="EJ626" s="1482"/>
      <c r="EK626" s="1482"/>
      <c r="EL626" s="1483"/>
      <c r="EM626" s="1481" t="str">
        <f t="shared" si="20"/>
        <v/>
      </c>
      <c r="EN626" s="1482"/>
      <c r="EO626" s="1482"/>
      <c r="EP626" s="1482"/>
      <c r="EQ626" s="1483"/>
      <c r="ER626" s="1481" t="str">
        <f t="shared" si="21"/>
        <v/>
      </c>
      <c r="ES626" s="1482"/>
      <c r="ET626" s="1482"/>
      <c r="EU626" s="1482"/>
      <c r="EV626" s="1483"/>
      <c r="EW626" s="1481" t="str">
        <f t="shared" si="22"/>
        <v/>
      </c>
      <c r="EX626" s="1482"/>
      <c r="EY626" s="1482"/>
      <c r="EZ626" s="1482"/>
      <c r="FA626" s="1483"/>
    </row>
    <row r="627" spans="2:157" ht="12.95" customHeight="1">
      <c r="B627" s="51" t="s">
        <v>112</v>
      </c>
      <c r="C627" s="1462" t="s">
        <v>2647</v>
      </c>
      <c r="D627" s="1462"/>
      <c r="E627" s="1462"/>
      <c r="F627" s="1462"/>
      <c r="G627" s="1462"/>
      <c r="H627" s="1462"/>
      <c r="I627" s="1462"/>
      <c r="J627" s="1462"/>
      <c r="K627" s="1462"/>
      <c r="L627" s="1462"/>
      <c r="M627" s="1447" t="s">
        <v>2434</v>
      </c>
      <c r="N627" s="1447"/>
      <c r="O627" s="1447"/>
      <c r="P627" s="1447"/>
      <c r="Q627" s="1457">
        <v>204</v>
      </c>
      <c r="R627" s="1457"/>
      <c r="S627" s="1458"/>
      <c r="T627" s="1456">
        <v>360</v>
      </c>
      <c r="U627" s="1457"/>
      <c r="V627" s="1458"/>
      <c r="W627" s="1453">
        <v>6.5000000000000002E-2</v>
      </c>
      <c r="X627" s="1454"/>
      <c r="Y627" s="1455"/>
      <c r="Z627" s="1496" t="s">
        <v>2452</v>
      </c>
      <c r="AA627" s="1497"/>
      <c r="AB627" s="1498"/>
      <c r="AC627" s="1450">
        <v>1</v>
      </c>
      <c r="AD627" s="1451"/>
      <c r="AE627" s="1452"/>
      <c r="AF627" s="1379">
        <v>362728</v>
      </c>
      <c r="AG627" s="1380"/>
      <c r="AH627" s="1380"/>
      <c r="AI627" s="1380"/>
      <c r="AJ627" s="1381"/>
      <c r="AK627" s="1459"/>
      <c r="AL627" s="1460"/>
      <c r="AM627" s="1460"/>
      <c r="AN627" s="1461"/>
      <c r="AO627" s="1506">
        <v>5003246</v>
      </c>
      <c r="AP627" s="1506"/>
      <c r="AQ627" s="1506"/>
      <c r="AR627" s="1506"/>
      <c r="AS627" s="1506"/>
      <c r="AT627" s="3"/>
      <c r="AU627" s="3"/>
      <c r="AZ627" s="3"/>
      <c r="BA627" s="3"/>
      <c r="BB627" s="3"/>
      <c r="BC627" s="3"/>
      <c r="BD627" s="3"/>
      <c r="BE627" s="1481">
        <f t="shared" si="1"/>
        <v>0</v>
      </c>
      <c r="BF627" s="1483"/>
      <c r="BG627" s="1492">
        <f t="shared" si="2"/>
        <v>0</v>
      </c>
      <c r="BH627" s="1494"/>
      <c r="BI627" s="1481">
        <f t="shared" si="3"/>
        <v>0</v>
      </c>
      <c r="BJ627" s="1483"/>
      <c r="BK627" s="1492">
        <f t="shared" si="4"/>
        <v>0</v>
      </c>
      <c r="BL627" s="1494"/>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5">
        <f t="shared" si="11"/>
        <v>0</v>
      </c>
      <c r="CT627" s="1495"/>
      <c r="CU627" s="1495"/>
      <c r="CV627" s="1495"/>
      <c r="CW627" s="1495"/>
      <c r="CX627" s="1495">
        <f t="shared" si="12"/>
        <v>0</v>
      </c>
      <c r="CY627" s="1495"/>
      <c r="CZ627" s="1495"/>
      <c r="DA627" s="1495"/>
      <c r="DB627" s="1495"/>
      <c r="DC627" s="1495">
        <f t="shared" si="13"/>
        <v>0</v>
      </c>
      <c r="DD627" s="1495"/>
      <c r="DE627" s="1495"/>
      <c r="DF627" s="1495"/>
      <c r="DG627" s="1495"/>
      <c r="DH627" s="1495">
        <f t="shared" si="14"/>
        <v>0</v>
      </c>
      <c r="DI627" s="1495"/>
      <c r="DJ627" s="1495"/>
      <c r="DK627" s="1495"/>
      <c r="DL627" s="1495"/>
      <c r="DM627" s="1495">
        <f t="shared" si="15"/>
        <v>0</v>
      </c>
      <c r="DN627" s="1495"/>
      <c r="DO627" s="1495"/>
      <c r="DP627" s="1495"/>
      <c r="DQ627" s="1495"/>
      <c r="DR627" s="1495">
        <f t="shared" si="16"/>
        <v>0</v>
      </c>
      <c r="DS627" s="1495"/>
      <c r="DT627" s="1495"/>
      <c r="DU627" s="1495"/>
      <c r="DV627" s="1495"/>
      <c r="DX627" s="1481" t="str">
        <f t="shared" si="17"/>
        <v/>
      </c>
      <c r="DY627" s="1482"/>
      <c r="DZ627" s="1482"/>
      <c r="EA627" s="1482"/>
      <c r="EB627" s="1483"/>
      <c r="EC627" s="1481" t="str">
        <f t="shared" si="18"/>
        <v/>
      </c>
      <c r="ED627" s="1482"/>
      <c r="EE627" s="1482"/>
      <c r="EF627" s="1482"/>
      <c r="EG627" s="1483"/>
      <c r="EH627" s="1481" t="str">
        <f t="shared" si="19"/>
        <v/>
      </c>
      <c r="EI627" s="1482"/>
      <c r="EJ627" s="1482"/>
      <c r="EK627" s="1482"/>
      <c r="EL627" s="1483"/>
      <c r="EM627" s="1481" t="str">
        <f t="shared" si="20"/>
        <v/>
      </c>
      <c r="EN627" s="1482"/>
      <c r="EO627" s="1482"/>
      <c r="EP627" s="1482"/>
      <c r="EQ627" s="1483"/>
      <c r="ER627" s="1481" t="str">
        <f t="shared" si="21"/>
        <v/>
      </c>
      <c r="ES627" s="1482"/>
      <c r="ET627" s="1482"/>
      <c r="EU627" s="1482"/>
      <c r="EV627" s="1483"/>
      <c r="EW627" s="1481" t="str">
        <f t="shared" si="22"/>
        <v/>
      </c>
      <c r="EX627" s="1482"/>
      <c r="EY627" s="1482"/>
      <c r="EZ627" s="1482"/>
      <c r="FA627" s="1483"/>
    </row>
    <row r="628" spans="2:157" ht="12.95" customHeight="1">
      <c r="B628" s="52" t="s">
        <v>113</v>
      </c>
      <c r="C628" s="1462" t="s">
        <v>2648</v>
      </c>
      <c r="D628" s="1462"/>
      <c r="E628" s="1462"/>
      <c r="F628" s="1462"/>
      <c r="G628" s="1462"/>
      <c r="H628" s="1462"/>
      <c r="I628" s="1462"/>
      <c r="J628" s="1462"/>
      <c r="K628" s="1462"/>
      <c r="L628" s="1462"/>
      <c r="M628" s="1447" t="s">
        <v>2436</v>
      </c>
      <c r="N628" s="1447"/>
      <c r="O628" s="1447"/>
      <c r="P628" s="1447"/>
      <c r="Q628" s="1456">
        <v>660</v>
      </c>
      <c r="R628" s="1457"/>
      <c r="S628" s="1458"/>
      <c r="T628" s="1456">
        <v>660</v>
      </c>
      <c r="U628" s="1457"/>
      <c r="V628" s="1458"/>
      <c r="W628" s="1453">
        <v>0.03</v>
      </c>
      <c r="X628" s="1454"/>
      <c r="Y628" s="1455"/>
      <c r="Z628" s="1496" t="s">
        <v>466</v>
      </c>
      <c r="AA628" s="1497"/>
      <c r="AB628" s="1498"/>
      <c r="AC628" s="1450">
        <v>2</v>
      </c>
      <c r="AD628" s="1451"/>
      <c r="AE628" s="1452"/>
      <c r="AF628" s="1379"/>
      <c r="AG628" s="1380"/>
      <c r="AH628" s="1380"/>
      <c r="AI628" s="1380"/>
      <c r="AJ628" s="1381"/>
      <c r="AK628" s="1459"/>
      <c r="AL628" s="1460"/>
      <c r="AM628" s="1460"/>
      <c r="AN628" s="1461"/>
      <c r="AO628" s="1394">
        <v>4822998</v>
      </c>
      <c r="AP628" s="1395"/>
      <c r="AQ628" s="1395"/>
      <c r="AR628" s="1395"/>
      <c r="AS628" s="1396"/>
      <c r="AT628" s="1192" t="str">
        <f>IF(AND(NOT(C627=""),C628="",NOT(C629="")),"!","")</f>
        <v/>
      </c>
      <c r="AU628" s="3"/>
      <c r="AZ628" s="3"/>
      <c r="BA628" s="3"/>
      <c r="BB628" s="3"/>
      <c r="BC628" s="3"/>
      <c r="BD628" s="3"/>
      <c r="BE628" s="1481">
        <f t="shared" si="1"/>
        <v>0</v>
      </c>
      <c r="BF628" s="1483"/>
      <c r="BG628" s="1492">
        <f t="shared" si="2"/>
        <v>0</v>
      </c>
      <c r="BH628" s="1494"/>
      <c r="BI628" s="1481">
        <f t="shared" si="3"/>
        <v>0</v>
      </c>
      <c r="BJ628" s="1483"/>
      <c r="BK628" s="1492">
        <f t="shared" si="4"/>
        <v>0</v>
      </c>
      <c r="BL628" s="1494"/>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5">
        <f t="shared" si="11"/>
        <v>0</v>
      </c>
      <c r="CT628" s="1495"/>
      <c r="CU628" s="1495"/>
      <c r="CV628" s="1495"/>
      <c r="CW628" s="1495"/>
      <c r="CX628" s="1495">
        <f t="shared" si="12"/>
        <v>0</v>
      </c>
      <c r="CY628" s="1495"/>
      <c r="CZ628" s="1495"/>
      <c r="DA628" s="1495"/>
      <c r="DB628" s="1495"/>
      <c r="DC628" s="1495">
        <f t="shared" si="13"/>
        <v>0</v>
      </c>
      <c r="DD628" s="1495"/>
      <c r="DE628" s="1495"/>
      <c r="DF628" s="1495"/>
      <c r="DG628" s="1495"/>
      <c r="DH628" s="1495">
        <f t="shared" si="14"/>
        <v>0</v>
      </c>
      <c r="DI628" s="1495"/>
      <c r="DJ628" s="1495"/>
      <c r="DK628" s="1495"/>
      <c r="DL628" s="1495"/>
      <c r="DM628" s="1495">
        <f t="shared" si="15"/>
        <v>0</v>
      </c>
      <c r="DN628" s="1495"/>
      <c r="DO628" s="1495"/>
      <c r="DP628" s="1495"/>
      <c r="DQ628" s="1495"/>
      <c r="DR628" s="1495">
        <f t="shared" si="16"/>
        <v>0</v>
      </c>
      <c r="DS628" s="1495"/>
      <c r="DT628" s="1495"/>
      <c r="DU628" s="1495"/>
      <c r="DV628" s="1495"/>
      <c r="DX628" s="1481" t="str">
        <f t="shared" si="17"/>
        <v/>
      </c>
      <c r="DY628" s="1482"/>
      <c r="DZ628" s="1482"/>
      <c r="EA628" s="1482"/>
      <c r="EB628" s="1483"/>
      <c r="EC628" s="1481" t="str">
        <f t="shared" si="18"/>
        <v/>
      </c>
      <c r="ED628" s="1482"/>
      <c r="EE628" s="1482"/>
      <c r="EF628" s="1482"/>
      <c r="EG628" s="1483"/>
      <c r="EH628" s="1481" t="str">
        <f t="shared" si="19"/>
        <v/>
      </c>
      <c r="EI628" s="1482"/>
      <c r="EJ628" s="1482"/>
      <c r="EK628" s="1482"/>
      <c r="EL628" s="1483"/>
      <c r="EM628" s="1481" t="str">
        <f t="shared" si="20"/>
        <v/>
      </c>
      <c r="EN628" s="1482"/>
      <c r="EO628" s="1482"/>
      <c r="EP628" s="1482"/>
      <c r="EQ628" s="1483"/>
      <c r="ER628" s="1481" t="str">
        <f t="shared" si="21"/>
        <v/>
      </c>
      <c r="ES628" s="1482"/>
      <c r="ET628" s="1482"/>
      <c r="EU628" s="1482"/>
      <c r="EV628" s="1483"/>
      <c r="EW628" s="1481" t="str">
        <f t="shared" si="22"/>
        <v/>
      </c>
      <c r="EX628" s="1482"/>
      <c r="EY628" s="1482"/>
      <c r="EZ628" s="1482"/>
      <c r="FA628" s="1483"/>
    </row>
    <row r="629" spans="2:157" ht="12.95" customHeight="1">
      <c r="B629" s="52" t="s">
        <v>119</v>
      </c>
      <c r="C629" s="1462" t="s">
        <v>2751</v>
      </c>
      <c r="D629" s="1462"/>
      <c r="E629" s="1462"/>
      <c r="F629" s="1462"/>
      <c r="G629" s="1462"/>
      <c r="H629" s="1462"/>
      <c r="I629" s="1462"/>
      <c r="J629" s="1462"/>
      <c r="K629" s="1462"/>
      <c r="L629" s="1462"/>
      <c r="M629" s="1447" t="s">
        <v>2436</v>
      </c>
      <c r="N629" s="1447"/>
      <c r="O629" s="1447"/>
      <c r="P629" s="1447"/>
      <c r="Q629" s="1456">
        <v>660</v>
      </c>
      <c r="R629" s="1457"/>
      <c r="S629" s="1458"/>
      <c r="T629" s="1456">
        <v>660</v>
      </c>
      <c r="U629" s="1457"/>
      <c r="V629" s="1458"/>
      <c r="W629" s="1453">
        <v>0.03</v>
      </c>
      <c r="X629" s="1454"/>
      <c r="Y629" s="1455"/>
      <c r="Z629" s="1496" t="s">
        <v>466</v>
      </c>
      <c r="AA629" s="1497"/>
      <c r="AB629" s="1498"/>
      <c r="AC629" s="1450">
        <v>3</v>
      </c>
      <c r="AD629" s="1451"/>
      <c r="AE629" s="1452"/>
      <c r="AF629" s="1379"/>
      <c r="AG629" s="1380"/>
      <c r="AH629" s="1380"/>
      <c r="AI629" s="1380"/>
      <c r="AJ629" s="1381"/>
      <c r="AK629" s="1459"/>
      <c r="AL629" s="1460"/>
      <c r="AM629" s="1460"/>
      <c r="AN629" s="1461"/>
      <c r="AO629" s="1394">
        <v>2057850</v>
      </c>
      <c r="AP629" s="1395"/>
      <c r="AQ629" s="1395"/>
      <c r="AR629" s="1395"/>
      <c r="AS629" s="1396"/>
      <c r="AT629" s="1192" t="str">
        <f t="shared" ref="AT629:AT638" si="23">IF(AND(NOT(C628=""),C629="",NOT(C630="")),"!","")</f>
        <v/>
      </c>
      <c r="AU629" s="3"/>
      <c r="AZ629" s="3"/>
      <c r="BA629" s="3"/>
      <c r="BB629" s="3"/>
      <c r="BC629" s="3"/>
      <c r="BD629" s="3"/>
      <c r="BE629" s="1481">
        <f t="shared" si="1"/>
        <v>0</v>
      </c>
      <c r="BF629" s="1483"/>
      <c r="BG629" s="1492">
        <f t="shared" si="2"/>
        <v>0</v>
      </c>
      <c r="BH629" s="1494"/>
      <c r="BI629" s="1481">
        <f t="shared" si="3"/>
        <v>0</v>
      </c>
      <c r="BJ629" s="1483"/>
      <c r="BK629" s="1492">
        <f t="shared" si="4"/>
        <v>0</v>
      </c>
      <c r="BL629" s="1494"/>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5">
        <f t="shared" si="11"/>
        <v>0</v>
      </c>
      <c r="CT629" s="1495"/>
      <c r="CU629" s="1495"/>
      <c r="CV629" s="1495"/>
      <c r="CW629" s="1495"/>
      <c r="CX629" s="1495">
        <f t="shared" si="12"/>
        <v>0</v>
      </c>
      <c r="CY629" s="1495"/>
      <c r="CZ629" s="1495"/>
      <c r="DA629" s="1495"/>
      <c r="DB629" s="1495"/>
      <c r="DC629" s="1495">
        <f t="shared" si="13"/>
        <v>0</v>
      </c>
      <c r="DD629" s="1495"/>
      <c r="DE629" s="1495"/>
      <c r="DF629" s="1495"/>
      <c r="DG629" s="1495"/>
      <c r="DH629" s="1495">
        <f t="shared" si="14"/>
        <v>0</v>
      </c>
      <c r="DI629" s="1495"/>
      <c r="DJ629" s="1495"/>
      <c r="DK629" s="1495"/>
      <c r="DL629" s="1495"/>
      <c r="DM629" s="1495">
        <f t="shared" si="15"/>
        <v>0</v>
      </c>
      <c r="DN629" s="1495"/>
      <c r="DO629" s="1495"/>
      <c r="DP629" s="1495"/>
      <c r="DQ629" s="1495"/>
      <c r="DR629" s="1495">
        <f t="shared" si="16"/>
        <v>0</v>
      </c>
      <c r="DS629" s="1495"/>
      <c r="DT629" s="1495"/>
      <c r="DU629" s="1495"/>
      <c r="DV629" s="1495"/>
      <c r="DX629" s="1481" t="str">
        <f t="shared" si="17"/>
        <v/>
      </c>
      <c r="DY629" s="1482"/>
      <c r="DZ629" s="1482"/>
      <c r="EA629" s="1482"/>
      <c r="EB629" s="1483"/>
      <c r="EC629" s="1481" t="str">
        <f t="shared" si="18"/>
        <v/>
      </c>
      <c r="ED629" s="1482"/>
      <c r="EE629" s="1482"/>
      <c r="EF629" s="1482"/>
      <c r="EG629" s="1483"/>
      <c r="EH629" s="1481" t="str">
        <f t="shared" si="19"/>
        <v/>
      </c>
      <c r="EI629" s="1482"/>
      <c r="EJ629" s="1482"/>
      <c r="EK629" s="1482"/>
      <c r="EL629" s="1483"/>
      <c r="EM629" s="1481" t="str">
        <f t="shared" si="20"/>
        <v/>
      </c>
      <c r="EN629" s="1482"/>
      <c r="EO629" s="1482"/>
      <c r="EP629" s="1482"/>
      <c r="EQ629" s="1483"/>
      <c r="ER629" s="1481" t="str">
        <f t="shared" si="21"/>
        <v/>
      </c>
      <c r="ES629" s="1482"/>
      <c r="ET629" s="1482"/>
      <c r="EU629" s="1482"/>
      <c r="EV629" s="1483"/>
      <c r="EW629" s="1481" t="str">
        <f t="shared" si="22"/>
        <v/>
      </c>
      <c r="EX629" s="1482"/>
      <c r="EY629" s="1482"/>
      <c r="EZ629" s="1482"/>
      <c r="FA629" s="1483"/>
    </row>
    <row r="630" spans="2:157" ht="12.95" customHeight="1">
      <c r="B630" s="52" t="s">
        <v>590</v>
      </c>
      <c r="C630" s="1462" t="s">
        <v>2747</v>
      </c>
      <c r="D630" s="1448"/>
      <c r="E630" s="1448"/>
      <c r="F630" s="1448"/>
      <c r="G630" s="1448"/>
      <c r="H630" s="1448"/>
      <c r="I630" s="1448"/>
      <c r="J630" s="1448"/>
      <c r="K630" s="1448"/>
      <c r="L630" s="1448"/>
      <c r="M630" s="1447" t="s">
        <v>2437</v>
      </c>
      <c r="N630" s="1447"/>
      <c r="O630" s="1447"/>
      <c r="P630" s="1447"/>
      <c r="Q630" s="1456">
        <v>660</v>
      </c>
      <c r="R630" s="1457"/>
      <c r="S630" s="1458"/>
      <c r="T630" s="1456">
        <v>660</v>
      </c>
      <c r="U630" s="1457"/>
      <c r="V630" s="1458"/>
      <c r="W630" s="1453">
        <v>0.04</v>
      </c>
      <c r="X630" s="1454"/>
      <c r="Y630" s="1455"/>
      <c r="Z630" s="1496" t="s">
        <v>466</v>
      </c>
      <c r="AA630" s="1497"/>
      <c r="AB630" s="1498"/>
      <c r="AC630" s="1450">
        <v>4</v>
      </c>
      <c r="AD630" s="1451"/>
      <c r="AE630" s="1452"/>
      <c r="AF630" s="1379"/>
      <c r="AG630" s="1380"/>
      <c r="AH630" s="1380"/>
      <c r="AI630" s="1380"/>
      <c r="AJ630" s="1381"/>
      <c r="AK630" s="1459"/>
      <c r="AL630" s="1460"/>
      <c r="AM630" s="1460"/>
      <c r="AN630" s="1461"/>
      <c r="AO630" s="1394">
        <v>4000000</v>
      </c>
      <c r="AP630" s="1395"/>
      <c r="AQ630" s="1395"/>
      <c r="AR630" s="1395"/>
      <c r="AS630" s="1396"/>
      <c r="AT630" s="1192" t="str">
        <f t="shared" si="23"/>
        <v/>
      </c>
      <c r="AU630" s="3"/>
      <c r="AZ630" s="3"/>
      <c r="BA630" s="3"/>
      <c r="BB630" s="3"/>
      <c r="BC630" s="3"/>
      <c r="BD630" s="3"/>
      <c r="BE630" s="1481">
        <f t="shared" si="1"/>
        <v>0</v>
      </c>
      <c r="BF630" s="1483"/>
      <c r="BG630" s="1492">
        <f t="shared" si="2"/>
        <v>0</v>
      </c>
      <c r="BH630" s="1494"/>
      <c r="BI630" s="1481">
        <f t="shared" si="3"/>
        <v>0</v>
      </c>
      <c r="BJ630" s="1483"/>
      <c r="BK630" s="1492">
        <f t="shared" si="4"/>
        <v>0</v>
      </c>
      <c r="BL630" s="1494"/>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5">
        <f t="shared" si="11"/>
        <v>0</v>
      </c>
      <c r="CT630" s="1495"/>
      <c r="CU630" s="1495"/>
      <c r="CV630" s="1495"/>
      <c r="CW630" s="1495"/>
      <c r="CX630" s="1495">
        <f t="shared" si="12"/>
        <v>0</v>
      </c>
      <c r="CY630" s="1495"/>
      <c r="CZ630" s="1495"/>
      <c r="DA630" s="1495"/>
      <c r="DB630" s="1495"/>
      <c r="DC630" s="1495">
        <f t="shared" si="13"/>
        <v>0</v>
      </c>
      <c r="DD630" s="1495"/>
      <c r="DE630" s="1495"/>
      <c r="DF630" s="1495"/>
      <c r="DG630" s="1495"/>
      <c r="DH630" s="1495">
        <f t="shared" si="14"/>
        <v>0</v>
      </c>
      <c r="DI630" s="1495"/>
      <c r="DJ630" s="1495"/>
      <c r="DK630" s="1495"/>
      <c r="DL630" s="1495"/>
      <c r="DM630" s="1495">
        <f t="shared" si="15"/>
        <v>0</v>
      </c>
      <c r="DN630" s="1495"/>
      <c r="DO630" s="1495"/>
      <c r="DP630" s="1495"/>
      <c r="DQ630" s="1495"/>
      <c r="DR630" s="1495">
        <f t="shared" si="16"/>
        <v>0</v>
      </c>
      <c r="DS630" s="1495"/>
      <c r="DT630" s="1495"/>
      <c r="DU630" s="1495"/>
      <c r="DV630" s="1495"/>
      <c r="DX630" s="1481" t="str">
        <f t="shared" si="17"/>
        <v/>
      </c>
      <c r="DY630" s="1482"/>
      <c r="DZ630" s="1482"/>
      <c r="EA630" s="1482"/>
      <c r="EB630" s="1483"/>
      <c r="EC630" s="1481" t="str">
        <f t="shared" si="18"/>
        <v/>
      </c>
      <c r="ED630" s="1482"/>
      <c r="EE630" s="1482"/>
      <c r="EF630" s="1482"/>
      <c r="EG630" s="1483"/>
      <c r="EH630" s="1481" t="str">
        <f t="shared" si="19"/>
        <v/>
      </c>
      <c r="EI630" s="1482"/>
      <c r="EJ630" s="1482"/>
      <c r="EK630" s="1482"/>
      <c r="EL630" s="1483"/>
      <c r="EM630" s="1481" t="str">
        <f t="shared" si="20"/>
        <v/>
      </c>
      <c r="EN630" s="1482"/>
      <c r="EO630" s="1482"/>
      <c r="EP630" s="1482"/>
      <c r="EQ630" s="1483"/>
      <c r="ER630" s="1481" t="str">
        <f t="shared" si="21"/>
        <v/>
      </c>
      <c r="ES630" s="1482"/>
      <c r="ET630" s="1482"/>
      <c r="EU630" s="1482"/>
      <c r="EV630" s="1483"/>
      <c r="EW630" s="1481" t="str">
        <f t="shared" si="22"/>
        <v/>
      </c>
      <c r="EX630" s="1482"/>
      <c r="EY630" s="1482"/>
      <c r="EZ630" s="1482"/>
      <c r="FA630" s="1483"/>
    </row>
    <row r="631" spans="2:157" ht="12.95" customHeight="1">
      <c r="B631" s="52" t="s">
        <v>773</v>
      </c>
      <c r="C631" s="1462" t="s">
        <v>1852</v>
      </c>
      <c r="D631" s="1448"/>
      <c r="E631" s="1448"/>
      <c r="F631" s="1448"/>
      <c r="G631" s="1448"/>
      <c r="H631" s="1448"/>
      <c r="I631" s="1448"/>
      <c r="J631" s="1448"/>
      <c r="K631" s="1448"/>
      <c r="L631" s="1448"/>
      <c r="M631" s="1447" t="s">
        <v>2427</v>
      </c>
      <c r="N631" s="1447"/>
      <c r="O631" s="1447"/>
      <c r="P631" s="1447"/>
      <c r="Q631" s="1456"/>
      <c r="R631" s="1457"/>
      <c r="S631" s="1458"/>
      <c r="T631" s="1456"/>
      <c r="U631" s="1457"/>
      <c r="V631" s="1458"/>
      <c r="W631" s="1453"/>
      <c r="X631" s="1454"/>
      <c r="Y631" s="1455"/>
      <c r="Z631" s="1496" t="s">
        <v>467</v>
      </c>
      <c r="AA631" s="1497"/>
      <c r="AB631" s="1498"/>
      <c r="AC631" s="1450"/>
      <c r="AD631" s="1451"/>
      <c r="AE631" s="1452"/>
      <c r="AF631" s="1379"/>
      <c r="AG631" s="1380"/>
      <c r="AH631" s="1380"/>
      <c r="AI631" s="1380"/>
      <c r="AJ631" s="1381"/>
      <c r="AK631" s="1459"/>
      <c r="AL631" s="1460"/>
      <c r="AM631" s="1460"/>
      <c r="AN631" s="1461"/>
      <c r="AO631" s="1394">
        <v>1165092</v>
      </c>
      <c r="AP631" s="1395"/>
      <c r="AQ631" s="1395"/>
      <c r="AR631" s="1395"/>
      <c r="AS631" s="1396"/>
      <c r="AT631" s="1192" t="str">
        <f t="shared" si="23"/>
        <v/>
      </c>
      <c r="AU631" s="3"/>
      <c r="AZ631" s="3"/>
      <c r="BA631" s="3"/>
      <c r="BB631" s="3"/>
      <c r="BC631" s="3"/>
      <c r="BD631" s="3"/>
      <c r="BE631" s="1481">
        <f t="shared" si="1"/>
        <v>0</v>
      </c>
      <c r="BF631" s="1483"/>
      <c r="BG631" s="1492">
        <f t="shared" si="2"/>
        <v>0</v>
      </c>
      <c r="BH631" s="1494"/>
      <c r="BI631" s="1481">
        <f t="shared" si="3"/>
        <v>0</v>
      </c>
      <c r="BJ631" s="1483"/>
      <c r="BK631" s="1492">
        <f t="shared" si="4"/>
        <v>0</v>
      </c>
      <c r="BL631" s="1494"/>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5">
        <f t="shared" si="11"/>
        <v>0</v>
      </c>
      <c r="CT631" s="1495"/>
      <c r="CU631" s="1495"/>
      <c r="CV631" s="1495"/>
      <c r="CW631" s="1495"/>
      <c r="CX631" s="1495">
        <f t="shared" si="12"/>
        <v>0</v>
      </c>
      <c r="CY631" s="1495"/>
      <c r="CZ631" s="1495"/>
      <c r="DA631" s="1495"/>
      <c r="DB631" s="1495"/>
      <c r="DC631" s="1495">
        <f t="shared" si="13"/>
        <v>0</v>
      </c>
      <c r="DD631" s="1495"/>
      <c r="DE631" s="1495"/>
      <c r="DF631" s="1495"/>
      <c r="DG631" s="1495"/>
      <c r="DH631" s="1495">
        <f t="shared" si="14"/>
        <v>0</v>
      </c>
      <c r="DI631" s="1495"/>
      <c r="DJ631" s="1495"/>
      <c r="DK631" s="1495"/>
      <c r="DL631" s="1495"/>
      <c r="DM631" s="1495">
        <f t="shared" si="15"/>
        <v>0</v>
      </c>
      <c r="DN631" s="1495"/>
      <c r="DO631" s="1495"/>
      <c r="DP631" s="1495"/>
      <c r="DQ631" s="1495"/>
      <c r="DR631" s="1495">
        <f t="shared" si="16"/>
        <v>0</v>
      </c>
      <c r="DS631" s="1495"/>
      <c r="DT631" s="1495"/>
      <c r="DU631" s="1495"/>
      <c r="DV631" s="1495"/>
      <c r="DX631" s="1481" t="str">
        <f t="shared" si="17"/>
        <v/>
      </c>
      <c r="DY631" s="1482"/>
      <c r="DZ631" s="1482"/>
      <c r="EA631" s="1482"/>
      <c r="EB631" s="1483"/>
      <c r="EC631" s="1481" t="str">
        <f t="shared" si="18"/>
        <v/>
      </c>
      <c r="ED631" s="1482"/>
      <c r="EE631" s="1482"/>
      <c r="EF631" s="1482"/>
      <c r="EG631" s="1483"/>
      <c r="EH631" s="1481" t="str">
        <f t="shared" si="19"/>
        <v/>
      </c>
      <c r="EI631" s="1482"/>
      <c r="EJ631" s="1482"/>
      <c r="EK631" s="1482"/>
      <c r="EL631" s="1483"/>
      <c r="EM631" s="1481" t="str">
        <f t="shared" si="20"/>
        <v/>
      </c>
      <c r="EN631" s="1482"/>
      <c r="EO631" s="1482"/>
      <c r="EP631" s="1482"/>
      <c r="EQ631" s="1483"/>
      <c r="ER631" s="1481" t="str">
        <f t="shared" si="21"/>
        <v/>
      </c>
      <c r="ES631" s="1482"/>
      <c r="ET631" s="1482"/>
      <c r="EU631" s="1482"/>
      <c r="EV631" s="1483"/>
      <c r="EW631" s="1481" t="str">
        <f t="shared" si="22"/>
        <v/>
      </c>
      <c r="EX631" s="1482"/>
      <c r="EY631" s="1482"/>
      <c r="EZ631" s="1482"/>
      <c r="FA631" s="1483"/>
    </row>
    <row r="632" spans="2:157" ht="12.95" customHeight="1">
      <c r="B632" s="52" t="s">
        <v>593</v>
      </c>
      <c r="C632" s="1462"/>
      <c r="D632" s="1448"/>
      <c r="E632" s="1448"/>
      <c r="F632" s="1448"/>
      <c r="G632" s="1448"/>
      <c r="H632" s="1448"/>
      <c r="I632" s="1448"/>
      <c r="J632" s="1448"/>
      <c r="K632" s="1448"/>
      <c r="L632" s="1448"/>
      <c r="M632" s="1447" t="s">
        <v>1291</v>
      </c>
      <c r="N632" s="1447"/>
      <c r="O632" s="1447"/>
      <c r="P632" s="1447"/>
      <c r="Q632" s="1456"/>
      <c r="R632" s="1457"/>
      <c r="S632" s="1458"/>
      <c r="T632" s="1456"/>
      <c r="U632" s="1457"/>
      <c r="V632" s="1458"/>
      <c r="W632" s="1453"/>
      <c r="X632" s="1454"/>
      <c r="Y632" s="1455"/>
      <c r="Z632" s="1496" t="s">
        <v>1291</v>
      </c>
      <c r="AA632" s="1497"/>
      <c r="AB632" s="1498"/>
      <c r="AC632" s="1450"/>
      <c r="AD632" s="1451"/>
      <c r="AE632" s="1452"/>
      <c r="AF632" s="1379"/>
      <c r="AG632" s="1380"/>
      <c r="AH632" s="1380"/>
      <c r="AI632" s="1380"/>
      <c r="AJ632" s="1381"/>
      <c r="AK632" s="1459"/>
      <c r="AL632" s="1460"/>
      <c r="AM632" s="1460"/>
      <c r="AN632" s="1461"/>
      <c r="AO632" s="1394"/>
      <c r="AP632" s="1395"/>
      <c r="AQ632" s="1395"/>
      <c r="AR632" s="1395"/>
      <c r="AS632" s="1396"/>
      <c r="AT632" s="1192" t="str">
        <f t="shared" si="23"/>
        <v/>
      </c>
      <c r="AU632" s="3"/>
      <c r="AZ632" s="3"/>
      <c r="BA632" s="3"/>
      <c r="BB632" s="3"/>
      <c r="BC632" s="3"/>
      <c r="BD632" s="3"/>
      <c r="BE632" s="3"/>
      <c r="BF632" s="3"/>
      <c r="BG632" s="1481">
        <f>SUM(BG597:BH631)</f>
        <v>3</v>
      </c>
      <c r="BH632" s="1483"/>
      <c r="BI632" s="3"/>
      <c r="BJ632" s="3"/>
      <c r="BK632" s="1481">
        <f>SUM(BK597:BL631)</f>
        <v>29</v>
      </c>
      <c r="BL632" s="1483"/>
      <c r="BM632" s="3"/>
      <c r="BN632" s="1481">
        <f>SUM(BN597:BR631)</f>
        <v>29</v>
      </c>
      <c r="BO632" s="1482"/>
      <c r="BP632" s="1482"/>
      <c r="BQ632" s="1482"/>
      <c r="BR632" s="1483"/>
      <c r="BS632" s="1491">
        <f>SUM(BS597:BW631)</f>
        <v>5</v>
      </c>
      <c r="BT632" s="1491"/>
      <c r="BU632" s="1491"/>
      <c r="BV632" s="1491"/>
      <c r="BW632" s="1491"/>
      <c r="BX632" s="1491">
        <f>SUM(BX597:CB631)</f>
        <v>0</v>
      </c>
      <c r="BY632" s="1491"/>
      <c r="BZ632" s="1491"/>
      <c r="CA632" s="1491"/>
      <c r="CB632" s="1491"/>
      <c r="CC632" s="1491">
        <f>SUM(CC597:CG631)</f>
        <v>0</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27</v>
      </c>
      <c r="CT632" s="1491"/>
      <c r="CU632" s="1491"/>
      <c r="CV632" s="1491"/>
      <c r="CW632" s="1491"/>
      <c r="CX632" s="1491">
        <f>SUM(CX597:DB631)</f>
        <v>2</v>
      </c>
      <c r="CY632" s="1491"/>
      <c r="CZ632" s="1491"/>
      <c r="DA632" s="1491"/>
      <c r="DB632" s="1491"/>
      <c r="DC632" s="1491">
        <f>SUM(DC597:DG631)</f>
        <v>0</v>
      </c>
      <c r="DD632" s="1491"/>
      <c r="DE632" s="1491"/>
      <c r="DF632" s="1491"/>
      <c r="DG632" s="1491"/>
      <c r="DH632" s="1491">
        <f>SUM(DH597:DL631)</f>
        <v>0</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2720</v>
      </c>
      <c r="DY632" s="1491"/>
      <c r="DZ632" s="1491"/>
      <c r="EA632" s="1491"/>
      <c r="EB632" s="1491"/>
      <c r="EC632" s="1491">
        <f>SUM(EC597:EG631)</f>
        <v>1803</v>
      </c>
      <c r="ED632" s="1491"/>
      <c r="EE632" s="1491"/>
      <c r="EF632" s="1491"/>
      <c r="EG632" s="1491"/>
      <c r="EH632" s="1491">
        <f>SUM(EH597:EL631)</f>
        <v>0</v>
      </c>
      <c r="EI632" s="1491"/>
      <c r="EJ632" s="1491"/>
      <c r="EK632" s="1491"/>
      <c r="EL632" s="1491"/>
      <c r="EM632" s="1491">
        <f>SUM(EM597:EQ631)</f>
        <v>0</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2.95" customHeight="1">
      <c r="B633" s="52" t="s">
        <v>464</v>
      </c>
      <c r="C633" s="1462"/>
      <c r="D633" s="1448"/>
      <c r="E633" s="1448"/>
      <c r="F633" s="1448"/>
      <c r="G633" s="1448"/>
      <c r="H633" s="1448"/>
      <c r="I633" s="1448"/>
      <c r="J633" s="1448"/>
      <c r="K633" s="1448"/>
      <c r="L633" s="1448"/>
      <c r="M633" s="1447" t="s">
        <v>1291</v>
      </c>
      <c r="N633" s="1447"/>
      <c r="O633" s="1447"/>
      <c r="P633" s="1447"/>
      <c r="Q633" s="1456"/>
      <c r="R633" s="1457"/>
      <c r="S633" s="1458"/>
      <c r="T633" s="1456"/>
      <c r="U633" s="1457"/>
      <c r="V633" s="1458"/>
      <c r="W633" s="1453"/>
      <c r="X633" s="1454"/>
      <c r="Y633" s="1455"/>
      <c r="Z633" s="1496" t="s">
        <v>1291</v>
      </c>
      <c r="AA633" s="1497"/>
      <c r="AB633" s="1498"/>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81">
        <f>BN632+BS632+BX632+CC632+CH632+CM632</f>
        <v>34</v>
      </c>
      <c r="CN633" s="1482"/>
      <c r="CO633" s="1482"/>
      <c r="CP633" s="1482"/>
      <c r="CQ633" s="1483"/>
      <c r="CR633" s="385"/>
      <c r="CS633" s="3"/>
      <c r="CT633" s="3"/>
      <c r="CU633" s="3"/>
      <c r="CV633" s="3"/>
      <c r="CW633" s="3"/>
      <c r="CX633" s="3"/>
      <c r="CY633" s="3"/>
      <c r="CZ633" s="3"/>
      <c r="DA633" s="3"/>
      <c r="DB633" s="3"/>
      <c r="DC633" s="3"/>
      <c r="DD633" s="3"/>
      <c r="DE633" s="3"/>
      <c r="DF633" s="3"/>
    </row>
    <row r="634" spans="2:157" ht="12.95" customHeight="1">
      <c r="B634" s="52" t="s">
        <v>465</v>
      </c>
      <c r="C634" s="1448"/>
      <c r="D634" s="1448"/>
      <c r="E634" s="1448"/>
      <c r="F634" s="1448"/>
      <c r="G634" s="1448"/>
      <c r="H634" s="1448"/>
      <c r="I634" s="1448"/>
      <c r="J634" s="1448"/>
      <c r="K634" s="1448"/>
      <c r="L634" s="1448"/>
      <c r="M634" s="1447" t="s">
        <v>1291</v>
      </c>
      <c r="N634" s="1447"/>
      <c r="O634" s="1447"/>
      <c r="P634" s="1447"/>
      <c r="Q634" s="1456"/>
      <c r="R634" s="1457"/>
      <c r="S634" s="1458"/>
      <c r="T634" s="1456"/>
      <c r="U634" s="1457"/>
      <c r="V634" s="1458"/>
      <c r="W634" s="1453"/>
      <c r="X634" s="1454"/>
      <c r="Y634" s="1455"/>
      <c r="Z634" s="1496" t="s">
        <v>1291</v>
      </c>
      <c r="AA634" s="1497"/>
      <c r="AB634" s="1498"/>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29</v>
      </c>
      <c r="BS634" s="3"/>
      <c r="BT634" s="3"/>
      <c r="BU634" s="3"/>
      <c r="BV634" s="3"/>
      <c r="BW634" s="895">
        <f>BS632*1</f>
        <v>5</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34</v>
      </c>
      <c r="CT634" s="57" t="s">
        <v>2055</v>
      </c>
      <c r="CU634" s="3"/>
      <c r="CV634" s="3"/>
      <c r="CW634" s="3"/>
      <c r="CX634" s="3"/>
      <c r="CY634" s="3"/>
      <c r="CZ634" s="3"/>
      <c r="DA634" s="3"/>
      <c r="DB634" s="3"/>
      <c r="DC634" s="3"/>
      <c r="DD634" s="3"/>
      <c r="DE634" s="3"/>
      <c r="DF634" s="3"/>
    </row>
    <row r="635" spans="2:157" ht="12.95" customHeight="1">
      <c r="B635" s="52" t="s">
        <v>470</v>
      </c>
      <c r="C635" s="1448"/>
      <c r="D635" s="1448"/>
      <c r="E635" s="1448"/>
      <c r="F635" s="1448"/>
      <c r="G635" s="1448"/>
      <c r="H635" s="1448"/>
      <c r="I635" s="1448"/>
      <c r="J635" s="1448"/>
      <c r="K635" s="1448"/>
      <c r="L635" s="1448"/>
      <c r="M635" s="1447" t="s">
        <v>1291</v>
      </c>
      <c r="N635" s="1447"/>
      <c r="O635" s="1447"/>
      <c r="P635" s="1447"/>
      <c r="Q635" s="1456"/>
      <c r="R635" s="1457"/>
      <c r="S635" s="1458"/>
      <c r="T635" s="1456"/>
      <c r="U635" s="1457"/>
      <c r="V635" s="1458"/>
      <c r="W635" s="1453"/>
      <c r="X635" s="1454"/>
      <c r="Y635" s="1455"/>
      <c r="Z635" s="1496" t="s">
        <v>1291</v>
      </c>
      <c r="AA635" s="1497"/>
      <c r="AB635" s="1498"/>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f>DX597*(BN597/$BN$632)</f>
        <v>201.20689655172416</v>
      </c>
      <c r="DY635" s="1475"/>
      <c r="DZ635" s="1475"/>
      <c r="EA635" s="1475"/>
      <c r="EB635" s="1475"/>
      <c r="EC635" s="1475" t="e">
        <f t="shared" ref="EC635:EC657" si="24">EC597*(BS597/$BS$632)</f>
        <v>#VALUE!</v>
      </c>
      <c r="ED635" s="1475"/>
      <c r="EE635" s="1475"/>
      <c r="EF635" s="1475"/>
      <c r="EG635" s="1475"/>
      <c r="EH635" s="1475" t="e">
        <f t="shared" ref="EH635:EH657" si="25">EH597*(BX597/$BX$632)</f>
        <v>#VALUE!</v>
      </c>
      <c r="EI635" s="1475"/>
      <c r="EJ635" s="1475"/>
      <c r="EK635" s="1475"/>
      <c r="EL635" s="1475"/>
      <c r="EM635" s="1475" t="e">
        <f t="shared" ref="EM635:EM657" si="26">EM597*(CC597/$CC$632)</f>
        <v>#VALUE!</v>
      </c>
      <c r="EN635" s="1475"/>
      <c r="EO635" s="1475"/>
      <c r="EP635" s="1475"/>
      <c r="EQ635" s="1475"/>
      <c r="ER635" s="1475" t="e">
        <f t="shared" ref="ER635:ER657" si="27">ER597*(CH597/$CH$632)</f>
        <v>#VALUE!</v>
      </c>
      <c r="ES635" s="1475"/>
      <c r="ET635" s="1475"/>
      <c r="EU635" s="1475"/>
      <c r="EV635" s="1475"/>
      <c r="EW635" s="1475" t="e">
        <f t="shared" ref="EW635:EW657" si="28">EW597*(CM597/$CM$632)</f>
        <v>#VALUE!</v>
      </c>
      <c r="EX635" s="1475"/>
      <c r="EY635" s="1475"/>
      <c r="EZ635" s="1475"/>
      <c r="FA635" s="1475"/>
    </row>
    <row r="636" spans="2:157" ht="12.95" customHeight="1">
      <c r="B636" s="52" t="s">
        <v>655</v>
      </c>
      <c r="C636" s="1448"/>
      <c r="D636" s="1448"/>
      <c r="E636" s="1448"/>
      <c r="F636" s="1448"/>
      <c r="G636" s="1448"/>
      <c r="H636" s="1448"/>
      <c r="I636" s="1448"/>
      <c r="J636" s="1448"/>
      <c r="K636" s="1448"/>
      <c r="L636" s="1448"/>
      <c r="M636" s="1447" t="s">
        <v>1291</v>
      </c>
      <c r="N636" s="1447"/>
      <c r="O636" s="1447"/>
      <c r="P636" s="1447"/>
      <c r="Q636" s="1456"/>
      <c r="R636" s="1457"/>
      <c r="S636" s="1458"/>
      <c r="T636" s="1456"/>
      <c r="U636" s="1457"/>
      <c r="V636" s="1458"/>
      <c r="W636" s="1453"/>
      <c r="X636" s="1454"/>
      <c r="Y636" s="1455"/>
      <c r="Z636" s="1496" t="s">
        <v>1291</v>
      </c>
      <c r="AA636" s="1497"/>
      <c r="AB636" s="1498"/>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f t="shared" ref="DX636:DX657" si="29">DX598*(BN598/$BN$632)</f>
        <v>321.51724137931035</v>
      </c>
      <c r="DY636" s="1475"/>
      <c r="DZ636" s="1475"/>
      <c r="EA636" s="1475"/>
      <c r="EB636" s="1475"/>
      <c r="EC636" s="1475" t="e">
        <f t="shared" si="24"/>
        <v>#VALUE!</v>
      </c>
      <c r="ED636" s="1475"/>
      <c r="EE636" s="1475"/>
      <c r="EF636" s="1475"/>
      <c r="EG636" s="1475"/>
      <c r="EH636" s="1475" t="e">
        <f t="shared" si="25"/>
        <v>#VALUE!</v>
      </c>
      <c r="EI636" s="1475"/>
      <c r="EJ636" s="1475"/>
      <c r="EK636" s="1475"/>
      <c r="EL636" s="1475"/>
      <c r="EM636" s="1475" t="e">
        <f t="shared" si="26"/>
        <v>#VALUE!</v>
      </c>
      <c r="EN636" s="1475"/>
      <c r="EO636" s="1475"/>
      <c r="EP636" s="1475"/>
      <c r="EQ636" s="1475"/>
      <c r="ER636" s="1475" t="e">
        <f t="shared" si="27"/>
        <v>#VALUE!</v>
      </c>
      <c r="ES636" s="1475"/>
      <c r="ET636" s="1475"/>
      <c r="EU636" s="1475"/>
      <c r="EV636" s="1475"/>
      <c r="EW636" s="1475" t="e">
        <f t="shared" si="28"/>
        <v>#VALUE!</v>
      </c>
      <c r="EX636" s="1475"/>
      <c r="EY636" s="1475"/>
      <c r="EZ636" s="1475"/>
      <c r="FA636" s="1475"/>
    </row>
    <row r="637" spans="2:157" ht="12.95" customHeight="1">
      <c r="B637" s="52" t="s">
        <v>363</v>
      </c>
      <c r="C637" s="1448"/>
      <c r="D637" s="1448"/>
      <c r="E637" s="1448"/>
      <c r="F637" s="1448"/>
      <c r="G637" s="1448"/>
      <c r="H637" s="1448"/>
      <c r="I637" s="1448"/>
      <c r="J637" s="1448"/>
      <c r="K637" s="1448"/>
      <c r="L637" s="1448"/>
      <c r="M637" s="1447" t="s">
        <v>1291</v>
      </c>
      <c r="N637" s="1447"/>
      <c r="O637" s="1447"/>
      <c r="P637" s="1447"/>
      <c r="Q637" s="1456"/>
      <c r="R637" s="1457"/>
      <c r="S637" s="1458"/>
      <c r="T637" s="1456"/>
      <c r="U637" s="1457"/>
      <c r="V637" s="1458"/>
      <c r="W637" s="1453"/>
      <c r="X637" s="1454"/>
      <c r="Y637" s="1455"/>
      <c r="Z637" s="1496" t="s">
        <v>1291</v>
      </c>
      <c r="AA637" s="1497"/>
      <c r="AB637" s="1498"/>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0</v>
      </c>
      <c r="BT637" s="1484"/>
      <c r="BU637" s="1484"/>
      <c r="BV637" s="1484"/>
      <c r="BW637" s="1484"/>
      <c r="BX637" s="1484">
        <f>IF(J773="2 Bedrooms",O773,0)</f>
        <v>1</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75">
        <f t="shared" si="29"/>
        <v>107.17241379310344</v>
      </c>
      <c r="DY637" s="1475"/>
      <c r="DZ637" s="1475"/>
      <c r="EA637" s="1475"/>
      <c r="EB637" s="1475"/>
      <c r="EC637" s="1475" t="e">
        <f t="shared" si="24"/>
        <v>#VALUE!</v>
      </c>
      <c r="ED637" s="1475"/>
      <c r="EE637" s="1475"/>
      <c r="EF637" s="1475"/>
      <c r="EG637" s="1475"/>
      <c r="EH637" s="1475" t="e">
        <f t="shared" si="25"/>
        <v>#VALUE!</v>
      </c>
      <c r="EI637" s="1475"/>
      <c r="EJ637" s="1475"/>
      <c r="EK637" s="1475"/>
      <c r="EL637" s="1475"/>
      <c r="EM637" s="1475" t="e">
        <f t="shared" si="26"/>
        <v>#VALUE!</v>
      </c>
      <c r="EN637" s="1475"/>
      <c r="EO637" s="1475"/>
      <c r="EP637" s="1475"/>
      <c r="EQ637" s="1475"/>
      <c r="ER637" s="1475" t="e">
        <f t="shared" si="27"/>
        <v>#VALUE!</v>
      </c>
      <c r="ES637" s="1475"/>
      <c r="ET637" s="1475"/>
      <c r="EU637" s="1475"/>
      <c r="EV637" s="1475"/>
      <c r="EW637" s="1475" t="e">
        <f t="shared" si="28"/>
        <v>#VALUE!</v>
      </c>
      <c r="EX637" s="1475"/>
      <c r="EY637" s="1475"/>
      <c r="EZ637" s="1475"/>
      <c r="FA637" s="1475"/>
    </row>
    <row r="638" spans="2:157" ht="12.95" customHeight="1">
      <c r="B638" s="52" t="s">
        <v>364</v>
      </c>
      <c r="C638" s="1448"/>
      <c r="D638" s="1448"/>
      <c r="E638" s="1448"/>
      <c r="F638" s="1448"/>
      <c r="G638" s="1448"/>
      <c r="H638" s="1448"/>
      <c r="I638" s="1448"/>
      <c r="J638" s="1448"/>
      <c r="K638" s="1448"/>
      <c r="L638" s="1448"/>
      <c r="M638" s="1447" t="s">
        <v>1291</v>
      </c>
      <c r="N638" s="1447"/>
      <c r="O638" s="1447"/>
      <c r="P638" s="1447"/>
      <c r="Q638" s="1456"/>
      <c r="R638" s="1457"/>
      <c r="S638" s="1458"/>
      <c r="T638" s="1456"/>
      <c r="U638" s="1457"/>
      <c r="V638" s="1458"/>
      <c r="W638" s="1453"/>
      <c r="X638" s="1454"/>
      <c r="Y638" s="1455"/>
      <c r="Z638" s="1496" t="s">
        <v>1291</v>
      </c>
      <c r="AA638" s="1497"/>
      <c r="AB638" s="1498"/>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75" t="e">
        <f t="shared" si="29"/>
        <v>#VALUE!</v>
      </c>
      <c r="DY638" s="1475"/>
      <c r="DZ638" s="1475"/>
      <c r="EA638" s="1475"/>
      <c r="EB638" s="1475"/>
      <c r="EC638" s="1475">
        <f t="shared" si="24"/>
        <v>166.4</v>
      </c>
      <c r="ED638" s="1475"/>
      <c r="EE638" s="1475"/>
      <c r="EF638" s="1475"/>
      <c r="EG638" s="1475"/>
      <c r="EH638" s="1475" t="e">
        <f t="shared" si="25"/>
        <v>#VALUE!</v>
      </c>
      <c r="EI638" s="1475"/>
      <c r="EJ638" s="1475"/>
      <c r="EK638" s="1475"/>
      <c r="EL638" s="1475"/>
      <c r="EM638" s="1475" t="e">
        <f t="shared" si="26"/>
        <v>#VALUE!</v>
      </c>
      <c r="EN638" s="1475"/>
      <c r="EO638" s="1475"/>
      <c r="EP638" s="1475"/>
      <c r="EQ638" s="1475"/>
      <c r="ER638" s="1475" t="e">
        <f t="shared" si="27"/>
        <v>#VALUE!</v>
      </c>
      <c r="ES638" s="1475"/>
      <c r="ET638" s="1475"/>
      <c r="EU638" s="1475"/>
      <c r="EV638" s="1475"/>
      <c r="EW638" s="1475" t="e">
        <f t="shared" si="28"/>
        <v>#VALUE!</v>
      </c>
      <c r="EX638" s="1475"/>
      <c r="EY638" s="1475"/>
      <c r="EZ638" s="1475"/>
      <c r="FA638" s="1475"/>
    </row>
    <row r="639" spans="2:157" ht="12.95" customHeight="1">
      <c r="B639" s="1651" t="s">
        <v>128</v>
      </c>
      <c r="C639" s="1652"/>
      <c r="D639" s="1652"/>
      <c r="E639" s="1652"/>
      <c r="F639" s="1652"/>
      <c r="G639" s="1652"/>
      <c r="H639" s="1652"/>
      <c r="I639" s="1652"/>
      <c r="J639" s="1652"/>
      <c r="K639" s="1652"/>
      <c r="L639" s="1652"/>
      <c r="M639" s="1652"/>
      <c r="N639" s="1652"/>
      <c r="O639" s="1652"/>
      <c r="P639" s="1652"/>
      <c r="Q639" s="1652"/>
      <c r="R639" s="1652"/>
      <c r="S639" s="1652"/>
      <c r="T639" s="1652"/>
      <c r="U639" s="1652"/>
      <c r="V639" s="1652"/>
      <c r="W639" s="1652"/>
      <c r="X639" s="1652"/>
      <c r="Y639" s="1652"/>
      <c r="Z639" s="1652"/>
      <c r="AA639" s="1652"/>
      <c r="AB639" s="1652"/>
      <c r="AC639" s="1652"/>
      <c r="AD639" s="1652"/>
      <c r="AE639" s="1652"/>
      <c r="AF639" s="1652"/>
      <c r="AG639" s="1652"/>
      <c r="AH639" s="1652"/>
      <c r="AI639" s="1652"/>
      <c r="AJ639" s="1652"/>
      <c r="AK639" s="1652"/>
      <c r="AL639" s="1652"/>
      <c r="AM639" s="1652"/>
      <c r="AN639" s="1653"/>
      <c r="AO639" s="1364">
        <f>SUM(AO627:AR638)</f>
        <v>17049186</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75" t="e">
        <f t="shared" si="29"/>
        <v>#VALUE!</v>
      </c>
      <c r="DY639" s="1475"/>
      <c r="DZ639" s="1475"/>
      <c r="EA639" s="1475"/>
      <c r="EB639" s="1475"/>
      <c r="EC639" s="1475">
        <f t="shared" si="24"/>
        <v>832.19999999999993</v>
      </c>
      <c r="ED639" s="1475"/>
      <c r="EE639" s="1475"/>
      <c r="EF639" s="1475"/>
      <c r="EG639" s="1475"/>
      <c r="EH639" s="1475" t="e">
        <f t="shared" si="25"/>
        <v>#VALUE!</v>
      </c>
      <c r="EI639" s="1475"/>
      <c r="EJ639" s="1475"/>
      <c r="EK639" s="1475"/>
      <c r="EL639" s="1475"/>
      <c r="EM639" s="1475" t="e">
        <f t="shared" si="26"/>
        <v>#VALUE!</v>
      </c>
      <c r="EN639" s="1475"/>
      <c r="EO639" s="1475"/>
      <c r="EP639" s="1475"/>
      <c r="EQ639" s="1475"/>
      <c r="ER639" s="1475" t="e">
        <f t="shared" si="27"/>
        <v>#VALUE!</v>
      </c>
      <c r="ES639" s="1475"/>
      <c r="ET639" s="1475"/>
      <c r="EU639" s="1475"/>
      <c r="EV639" s="1475"/>
      <c r="EW639" s="1475" t="e">
        <f t="shared" si="28"/>
        <v>#VALUE!</v>
      </c>
      <c r="EX639" s="1475"/>
      <c r="EY639" s="1475"/>
      <c r="EZ639" s="1475"/>
      <c r="FA639" s="1475"/>
    </row>
    <row r="640" spans="2:157" ht="12.95" customHeight="1">
      <c r="B640" s="1651" t="s">
        <v>268</v>
      </c>
      <c r="C640" s="1652"/>
      <c r="D640" s="1652"/>
      <c r="E640" s="1652"/>
      <c r="F640" s="1652"/>
      <c r="G640" s="1652"/>
      <c r="H640" s="1652"/>
      <c r="I640" s="1652"/>
      <c r="J640" s="1652"/>
      <c r="K640" s="1652"/>
      <c r="L640" s="1652"/>
      <c r="M640" s="1652"/>
      <c r="N640" s="1652"/>
      <c r="O640" s="1652"/>
      <c r="P640" s="1652"/>
      <c r="Q640" s="1652"/>
      <c r="R640" s="1652"/>
      <c r="S640" s="1652"/>
      <c r="T640" s="1652"/>
      <c r="U640" s="1652"/>
      <c r="V640" s="1652"/>
      <c r="W640" s="1652"/>
      <c r="X640" s="1652"/>
      <c r="Y640" s="1652"/>
      <c r="Z640" s="1652"/>
      <c r="AA640" s="1652"/>
      <c r="AB640" s="1652"/>
      <c r="AC640" s="1652"/>
      <c r="AD640" s="1652"/>
      <c r="AE640" s="1652"/>
      <c r="AF640" s="1652"/>
      <c r="AG640" s="1652"/>
      <c r="AH640" s="1652"/>
      <c r="AI640" s="1652"/>
      <c r="AJ640" s="1652"/>
      <c r="AK640" s="1652"/>
      <c r="AL640" s="1652"/>
      <c r="AM640" s="1652"/>
      <c r="AN640" s="1653"/>
      <c r="AO640" s="1394">
        <v>13670134</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75" t="e">
        <f t="shared" si="29"/>
        <v>#VALUE!</v>
      </c>
      <c r="DY640" s="1475"/>
      <c r="DZ640" s="1475"/>
      <c r="EA640" s="1475"/>
      <c r="EB640" s="1475"/>
      <c r="EC640" s="1475" t="e">
        <f t="shared" si="24"/>
        <v>#VALUE!</v>
      </c>
      <c r="ED640" s="1475"/>
      <c r="EE640" s="1475"/>
      <c r="EF640" s="1475"/>
      <c r="EG640" s="1475"/>
      <c r="EH640" s="1475" t="e">
        <f t="shared" si="25"/>
        <v>#VALUE!</v>
      </c>
      <c r="EI640" s="1475"/>
      <c r="EJ640" s="1475"/>
      <c r="EK640" s="1475"/>
      <c r="EL640" s="1475"/>
      <c r="EM640" s="1475" t="e">
        <f t="shared" si="26"/>
        <v>#VALUE!</v>
      </c>
      <c r="EN640" s="1475"/>
      <c r="EO640" s="1475"/>
      <c r="EP640" s="1475"/>
      <c r="EQ640" s="1475"/>
      <c r="ER640" s="1475" t="e">
        <f t="shared" si="27"/>
        <v>#VALUE!</v>
      </c>
      <c r="ES640" s="1475"/>
      <c r="ET640" s="1475"/>
      <c r="EU640" s="1475"/>
      <c r="EV640" s="1475"/>
      <c r="EW640" s="1475" t="e">
        <f t="shared" si="28"/>
        <v>#VALUE!</v>
      </c>
      <c r="EX640" s="1475"/>
      <c r="EY640" s="1475"/>
      <c r="EZ640" s="1475"/>
      <c r="FA640" s="1475"/>
    </row>
    <row r="641" spans="1:157" ht="12.95" customHeight="1">
      <c r="B641" s="1760" t="s">
        <v>269</v>
      </c>
      <c r="C641" s="1707"/>
      <c r="D641" s="1707"/>
      <c r="E641" s="1707"/>
      <c r="F641" s="1707"/>
      <c r="G641" s="1707"/>
      <c r="H641" s="1707"/>
      <c r="I641" s="1707"/>
      <c r="J641" s="1707"/>
      <c r="K641" s="1707"/>
      <c r="L641" s="1707"/>
      <c r="M641" s="1707"/>
      <c r="N641" s="1707"/>
      <c r="O641" s="1707"/>
      <c r="P641" s="1707"/>
      <c r="Q641" s="1707"/>
      <c r="R641" s="1707"/>
      <c r="S641" s="1707"/>
      <c r="T641" s="1707"/>
      <c r="U641" s="1707"/>
      <c r="V641" s="1707"/>
      <c r="W641" s="1707"/>
      <c r="X641" s="1707"/>
      <c r="Y641" s="1707"/>
      <c r="Z641" s="1707"/>
      <c r="AA641" s="1707"/>
      <c r="AB641" s="1707"/>
      <c r="AC641" s="1707"/>
      <c r="AD641" s="1707"/>
      <c r="AE641" s="1707"/>
      <c r="AF641" s="1707"/>
      <c r="AG641" s="1707"/>
      <c r="AH641" s="1707"/>
      <c r="AI641" s="1707"/>
      <c r="AJ641" s="1707"/>
      <c r="AK641" s="1707"/>
      <c r="AL641" s="1707"/>
      <c r="AM641" s="1707"/>
      <c r="AN641" s="1761"/>
      <c r="AO641" s="1364">
        <f>AO639+AO640</f>
        <v>30719320</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2">
        <f>SUM(BN637:BR640)</f>
        <v>0</v>
      </c>
      <c r="BO641" s="1493"/>
      <c r="BP641" s="1493"/>
      <c r="BQ641" s="1493"/>
      <c r="BR641" s="1494"/>
      <c r="BS641" s="1478">
        <f>SUM(BS637:BW640)</f>
        <v>0</v>
      </c>
      <c r="BT641" s="1479"/>
      <c r="BU641" s="1479"/>
      <c r="BV641" s="1479"/>
      <c r="BW641" s="1480"/>
      <c r="BX641" s="1478">
        <f>SUM(BX637:CB640)</f>
        <v>1</v>
      </c>
      <c r="BY641" s="1479"/>
      <c r="BZ641" s="1479"/>
      <c r="CA641" s="1479"/>
      <c r="CB641" s="1480"/>
      <c r="CC641" s="1478">
        <f>SUM(CC637:CG640)</f>
        <v>0</v>
      </c>
      <c r="CD641" s="1479"/>
      <c r="CE641" s="1479"/>
      <c r="CF641" s="1479"/>
      <c r="CG641" s="1480"/>
      <c r="CH641" s="1478">
        <f>SUM(CH637:CL640)</f>
        <v>0</v>
      </c>
      <c r="CI641" s="1479"/>
      <c r="CJ641" s="1479"/>
      <c r="CK641" s="1479"/>
      <c r="CL641" s="1480"/>
      <c r="CM641" s="1478">
        <f>SUM(CM637:CQ640)</f>
        <v>0</v>
      </c>
      <c r="CN641" s="1479"/>
      <c r="CO641" s="1479"/>
      <c r="CP641" s="1479"/>
      <c r="CQ641" s="1480"/>
      <c r="CS641" s="895">
        <f>BN641+BS641+BX641+CC641+CH641+CM641</f>
        <v>1</v>
      </c>
      <c r="CT641" s="57" t="s">
        <v>2052</v>
      </c>
      <c r="CU641" s="3"/>
      <c r="CV641" s="3"/>
      <c r="CW641" s="3"/>
      <c r="CX641" s="3"/>
      <c r="CY641" s="3"/>
      <c r="CZ641" s="3"/>
      <c r="DA641" s="3"/>
      <c r="DB641" s="3"/>
      <c r="DC641" s="3"/>
      <c r="DD641" s="3"/>
      <c r="DE641" s="3"/>
      <c r="DF641" s="3"/>
      <c r="DX641" s="1475" t="e">
        <f t="shared" si="29"/>
        <v>#VALUE!</v>
      </c>
      <c r="DY641" s="1475"/>
      <c r="DZ641" s="1475"/>
      <c r="EA641" s="1475"/>
      <c r="EB641" s="1475"/>
      <c r="EC641" s="1475" t="e">
        <f t="shared" si="24"/>
        <v>#VALUE!</v>
      </c>
      <c r="ED641" s="1475"/>
      <c r="EE641" s="1475"/>
      <c r="EF641" s="1475"/>
      <c r="EG641" s="1475"/>
      <c r="EH641" s="1475" t="e">
        <f t="shared" si="25"/>
        <v>#VALUE!</v>
      </c>
      <c r="EI641" s="1475"/>
      <c r="EJ641" s="1475"/>
      <c r="EK641" s="1475"/>
      <c r="EL641" s="1475"/>
      <c r="EM641" s="1475" t="e">
        <f t="shared" si="26"/>
        <v>#VALUE!</v>
      </c>
      <c r="EN641" s="1475"/>
      <c r="EO641" s="1475"/>
      <c r="EP641" s="1475"/>
      <c r="EQ641" s="1475"/>
      <c r="ER641" s="1475" t="e">
        <f t="shared" si="27"/>
        <v>#VALUE!</v>
      </c>
      <c r="ES641" s="1475"/>
      <c r="ET641" s="1475"/>
      <c r="EU641" s="1475"/>
      <c r="EV641" s="1475"/>
      <c r="EW641" s="1475" t="e">
        <f t="shared" si="28"/>
        <v>#VALUE!</v>
      </c>
      <c r="EX641" s="1475"/>
      <c r="EY641" s="1475"/>
      <c r="EZ641" s="1475"/>
      <c r="FA641" s="147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475" t="e">
        <f t="shared" si="29"/>
        <v>#VALUE!</v>
      </c>
      <c r="DY642" s="1475"/>
      <c r="DZ642" s="1475"/>
      <c r="EA642" s="1475"/>
      <c r="EB642" s="1475"/>
      <c r="EC642" s="1475" t="e">
        <f t="shared" si="24"/>
        <v>#VALUE!</v>
      </c>
      <c r="ED642" s="1475"/>
      <c r="EE642" s="1475"/>
      <c r="EF642" s="1475"/>
      <c r="EG642" s="1475"/>
      <c r="EH642" s="1475" t="e">
        <f t="shared" si="25"/>
        <v>#VALUE!</v>
      </c>
      <c r="EI642" s="1475"/>
      <c r="EJ642" s="1475"/>
      <c r="EK642" s="1475"/>
      <c r="EL642" s="1475"/>
      <c r="EM642" s="1475" t="e">
        <f t="shared" si="26"/>
        <v>#VALUE!</v>
      </c>
      <c r="EN642" s="1475"/>
      <c r="EO642" s="1475"/>
      <c r="EP642" s="1475"/>
      <c r="EQ642" s="1475"/>
      <c r="ER642" s="1475" t="e">
        <f t="shared" si="27"/>
        <v>#VALUE!</v>
      </c>
      <c r="ES642" s="1475"/>
      <c r="ET642" s="1475"/>
      <c r="EU642" s="1475"/>
      <c r="EV642" s="1475"/>
      <c r="EW642" s="1475" t="e">
        <f t="shared" si="28"/>
        <v>#VALUE!</v>
      </c>
      <c r="EX642" s="1475"/>
      <c r="EY642" s="1475"/>
      <c r="EZ642" s="1475"/>
      <c r="FA642" s="1475"/>
    </row>
    <row r="643" spans="1:157" ht="12.95" customHeight="1">
      <c r="A643" s="55" t="s">
        <v>112</v>
      </c>
      <c r="B643" t="s">
        <v>472</v>
      </c>
      <c r="G643" s="1449" t="str">
        <f>C627</f>
        <v>Banc of California</v>
      </c>
      <c r="H643" s="1449"/>
      <c r="I643" s="1449"/>
      <c r="J643" s="1449"/>
      <c r="K643" s="1449"/>
      <c r="L643" s="1449"/>
      <c r="M643" s="1449"/>
      <c r="N643" s="1449"/>
      <c r="O643" s="1449"/>
      <c r="P643" s="1449"/>
      <c r="Q643" s="1449"/>
      <c r="R643" s="1449"/>
      <c r="S643" s="8"/>
      <c r="T643" s="55" t="s">
        <v>113</v>
      </c>
      <c r="U643" t="s">
        <v>472</v>
      </c>
      <c r="Z643" s="1449" t="str">
        <f>C628</f>
        <v>NPLH</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29"/>
        <v>#VALUE!</v>
      </c>
      <c r="DY643" s="1475"/>
      <c r="DZ643" s="1475"/>
      <c r="EA643" s="1475"/>
      <c r="EB643" s="1475"/>
      <c r="EC643" s="1475" t="e">
        <f t="shared" si="24"/>
        <v>#VALUE!</v>
      </c>
      <c r="ED643" s="1475"/>
      <c r="EE643" s="1475"/>
      <c r="EF643" s="1475"/>
      <c r="EG643" s="1475"/>
      <c r="EH643" s="1475" t="e">
        <f t="shared" si="25"/>
        <v>#VALUE!</v>
      </c>
      <c r="EI643" s="1475"/>
      <c r="EJ643" s="1475"/>
      <c r="EK643" s="1475"/>
      <c r="EL643" s="1475"/>
      <c r="EM643" s="1475" t="e">
        <f t="shared" si="26"/>
        <v>#VALUE!</v>
      </c>
      <c r="EN643" s="1475"/>
      <c r="EO643" s="1475"/>
      <c r="EP643" s="1475"/>
      <c r="EQ643" s="1475"/>
      <c r="ER643" s="1475" t="e">
        <f t="shared" si="27"/>
        <v>#VALUE!</v>
      </c>
      <c r="ES643" s="1475"/>
      <c r="ET643" s="1475"/>
      <c r="EU643" s="1475"/>
      <c r="EV643" s="1475"/>
      <c r="EW643" s="1475" t="e">
        <f t="shared" si="28"/>
        <v>#VALUE!</v>
      </c>
      <c r="EX643" s="1475"/>
      <c r="EY643" s="1475"/>
      <c r="EZ643" s="1475"/>
      <c r="FA643" s="1475"/>
    </row>
    <row r="644" spans="1:157" ht="12.95" customHeight="1">
      <c r="A644" s="22"/>
      <c r="B644" t="s">
        <v>85</v>
      </c>
      <c r="G644" s="1404" t="s">
        <v>2682</v>
      </c>
      <c r="H644" s="1404"/>
      <c r="I644" s="1404"/>
      <c r="J644" s="1404"/>
      <c r="K644" s="1404"/>
      <c r="L644" s="1404"/>
      <c r="M644" s="1404"/>
      <c r="N644" s="1404"/>
      <c r="O644" s="1404"/>
      <c r="P644" s="1404"/>
      <c r="Q644" s="1404"/>
      <c r="R644" s="1404"/>
      <c r="S644" s="8"/>
      <c r="T644" s="22"/>
      <c r="U644" t="s">
        <v>85</v>
      </c>
      <c r="Z644" s="1404" t="s">
        <v>2724</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75" t="e">
        <f t="shared" si="29"/>
        <v>#VALUE!</v>
      </c>
      <c r="DY644" s="1475"/>
      <c r="DZ644" s="1475"/>
      <c r="EA644" s="1475"/>
      <c r="EB644" s="1475"/>
      <c r="EC644" s="1475" t="e">
        <f t="shared" si="24"/>
        <v>#VALUE!</v>
      </c>
      <c r="ED644" s="1475"/>
      <c r="EE644" s="1475"/>
      <c r="EF644" s="1475"/>
      <c r="EG644" s="1475"/>
      <c r="EH644" s="1475" t="e">
        <f t="shared" si="25"/>
        <v>#VALUE!</v>
      </c>
      <c r="EI644" s="1475"/>
      <c r="EJ644" s="1475"/>
      <c r="EK644" s="1475"/>
      <c r="EL644" s="1475"/>
      <c r="EM644" s="1475" t="e">
        <f t="shared" si="26"/>
        <v>#VALUE!</v>
      </c>
      <c r="EN644" s="1475"/>
      <c r="EO644" s="1475"/>
      <c r="EP644" s="1475"/>
      <c r="EQ644" s="1475"/>
      <c r="ER644" s="1475" t="e">
        <f t="shared" si="27"/>
        <v>#VALUE!</v>
      </c>
      <c r="ES644" s="1475"/>
      <c r="ET644" s="1475"/>
      <c r="EU644" s="1475"/>
      <c r="EV644" s="1475"/>
      <c r="EW644" s="1475" t="e">
        <f t="shared" si="28"/>
        <v>#VALUE!</v>
      </c>
      <c r="EX644" s="1475"/>
      <c r="EY644" s="1475"/>
      <c r="EZ644" s="1475"/>
      <c r="FA644" s="1475"/>
    </row>
    <row r="645" spans="1:157" ht="12.95" customHeight="1">
      <c r="A645" s="22"/>
      <c r="B645" t="s">
        <v>589</v>
      </c>
      <c r="G645" s="1404" t="s">
        <v>2668</v>
      </c>
      <c r="H645" s="1404"/>
      <c r="I645" s="1404"/>
      <c r="J645" s="1404"/>
      <c r="K645" s="1404"/>
      <c r="L645" s="1404"/>
      <c r="M645" s="1404"/>
      <c r="N645" s="1404"/>
      <c r="O645" s="1404"/>
      <c r="P645" s="1404"/>
      <c r="Q645" s="1404"/>
      <c r="R645" s="1404"/>
      <c r="T645" s="22"/>
      <c r="U645" t="s">
        <v>589</v>
      </c>
      <c r="Z645" s="1405" t="s">
        <v>2725</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5">
        <f t="shared" ref="BN645:BN654" si="30">IF(J787="SRO/Studio",O787,0)</f>
        <v>0</v>
      </c>
      <c r="BO645" s="1486"/>
      <c r="BP645" s="1486"/>
      <c r="BQ645" s="1486"/>
      <c r="BR645" s="1487"/>
      <c r="BS645" s="1484">
        <f t="shared" ref="BS645:BS654" si="31">IF(J787="1 Bedroom",O787,0)</f>
        <v>0</v>
      </c>
      <c r="BT645" s="1484"/>
      <c r="BU645" s="1484"/>
      <c r="BV645" s="1484"/>
      <c r="BW645" s="1484"/>
      <c r="BX645" s="1484">
        <f t="shared" ref="BX645:BX654" si="32">IF(J787="2 Bedrooms",O787,0)</f>
        <v>0</v>
      </c>
      <c r="BY645" s="1484"/>
      <c r="BZ645" s="1484"/>
      <c r="CA645" s="1484"/>
      <c r="CB645" s="1484"/>
      <c r="CC645" s="1484">
        <f t="shared" ref="CC645:CC654" si="33">IF(J787="3 Bedrooms",O787,0)</f>
        <v>0</v>
      </c>
      <c r="CD645" s="1484"/>
      <c r="CE645" s="1484"/>
      <c r="CF645" s="1484"/>
      <c r="CG645" s="1484"/>
      <c r="CH645" s="1484">
        <f t="shared" ref="CH645:CH654" si="34">IF(J787="4 Bedrooms",O787,0)</f>
        <v>0</v>
      </c>
      <c r="CI645" s="1484"/>
      <c r="CJ645" s="1484"/>
      <c r="CK645" s="1484"/>
      <c r="CL645" s="1484"/>
      <c r="CM645" s="1484">
        <f t="shared" ref="CM645:CM654" si="35">IF(J787="5 Bedrooms",O787,0)</f>
        <v>0</v>
      </c>
      <c r="CN645" s="1484"/>
      <c r="CO645" s="1484"/>
      <c r="CP645" s="1484"/>
      <c r="CQ645" s="1484"/>
      <c r="CR645" s="6"/>
      <c r="CS645" s="1485">
        <f t="shared" ref="CS645:CS654" si="36">IF(AND(BN645&gt;=1,AH787&gt;=0.1,AH787&lt;=1),O787,0)</f>
        <v>0</v>
      </c>
      <c r="CT645" s="1486"/>
      <c r="CU645" s="1486"/>
      <c r="CV645" s="1486"/>
      <c r="CW645" s="1487"/>
      <c r="CX645" s="1485">
        <f t="shared" ref="CX645:CX654" si="37">IF(AND(BS645&gt;=1,AH787&gt;=0.1,AH787&lt;=1),O787,0)</f>
        <v>0</v>
      </c>
      <c r="CY645" s="1486"/>
      <c r="CZ645" s="1486"/>
      <c r="DA645" s="1486"/>
      <c r="DB645" s="1487"/>
      <c r="DC645" s="1485">
        <f t="shared" ref="DC645:DC654" si="38">IF(AND(BX645&gt;=1,AH787&gt;=0.1,AH787&lt;=1),O787,0)</f>
        <v>0</v>
      </c>
      <c r="DD645" s="1486"/>
      <c r="DE645" s="1486"/>
      <c r="DF645" s="1486"/>
      <c r="DG645" s="1487"/>
      <c r="DH645" s="1485">
        <f t="shared" ref="DH645:DH654" si="39">IF(AND(CC645&gt;=1,AH787&gt;=0.1,AH787&lt;=1),O787,0)</f>
        <v>0</v>
      </c>
      <c r="DI645" s="1486"/>
      <c r="DJ645" s="1486"/>
      <c r="DK645" s="1486"/>
      <c r="DL645" s="1487"/>
      <c r="DM645" s="1485">
        <f t="shared" ref="DM645:DM654" si="40">IF(AND(CH645&gt;=1,AH787&gt;=0.1,AH787&lt;=1),O787,0)</f>
        <v>0</v>
      </c>
      <c r="DN645" s="1486"/>
      <c r="DO645" s="1486"/>
      <c r="DP645" s="1486"/>
      <c r="DQ645" s="1487"/>
      <c r="DR645" s="1485">
        <f t="shared" ref="DR645:DR654" si="41">IF(AND(CM645&gt;=1,AH787&gt;=0.1,AH787&lt;=1),O787,0)</f>
        <v>0</v>
      </c>
      <c r="DS645" s="1486"/>
      <c r="DT645" s="1486"/>
      <c r="DU645" s="1486"/>
      <c r="DV645" s="1487"/>
      <c r="DX645" s="1475" t="e">
        <f t="shared" si="29"/>
        <v>#VALUE!</v>
      </c>
      <c r="DY645" s="1475"/>
      <c r="DZ645" s="1475"/>
      <c r="EA645" s="1475"/>
      <c r="EB645" s="1475"/>
      <c r="EC645" s="1475" t="e">
        <f t="shared" si="24"/>
        <v>#VALUE!</v>
      </c>
      <c r="ED645" s="1475"/>
      <c r="EE645" s="1475"/>
      <c r="EF645" s="1475"/>
      <c r="EG645" s="1475"/>
      <c r="EH645" s="1475" t="e">
        <f t="shared" si="25"/>
        <v>#VALUE!</v>
      </c>
      <c r="EI645" s="1475"/>
      <c r="EJ645" s="1475"/>
      <c r="EK645" s="1475"/>
      <c r="EL645" s="1475"/>
      <c r="EM645" s="1475" t="e">
        <f t="shared" si="26"/>
        <v>#VALUE!</v>
      </c>
      <c r="EN645" s="1475"/>
      <c r="EO645" s="1475"/>
      <c r="EP645" s="1475"/>
      <c r="EQ645" s="1475"/>
      <c r="ER645" s="1475" t="e">
        <f t="shared" si="27"/>
        <v>#VALUE!</v>
      </c>
      <c r="ES645" s="1475"/>
      <c r="ET645" s="1475"/>
      <c r="EU645" s="1475"/>
      <c r="EV645" s="1475"/>
      <c r="EW645" s="1475" t="e">
        <f t="shared" si="28"/>
        <v>#VALUE!</v>
      </c>
      <c r="EX645" s="1475"/>
      <c r="EY645" s="1475"/>
      <c r="EZ645" s="1475"/>
      <c r="FA645" s="1475"/>
    </row>
    <row r="646" spans="1:157" ht="12.95" customHeight="1">
      <c r="A646" s="22"/>
      <c r="B646" t="s">
        <v>17</v>
      </c>
      <c r="G646" s="1404" t="s">
        <v>2683</v>
      </c>
      <c r="H646" s="1404"/>
      <c r="I646" s="1404"/>
      <c r="J646" s="1404"/>
      <c r="K646" s="1404"/>
      <c r="L646" s="1404"/>
      <c r="M646" s="1404"/>
      <c r="N646" s="1404"/>
      <c r="O646" s="1404"/>
      <c r="P646" s="1404"/>
      <c r="Q646" s="1404"/>
      <c r="R646" s="1404"/>
      <c r="S646" s="8"/>
      <c r="T646" s="22"/>
      <c r="U646" t="s">
        <v>17</v>
      </c>
      <c r="Z646" s="1405" t="s">
        <v>2753</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5">
        <f t="shared" si="30"/>
        <v>0</v>
      </c>
      <c r="BO646" s="1486"/>
      <c r="BP646" s="1486"/>
      <c r="BQ646" s="1486"/>
      <c r="BR646" s="1487"/>
      <c r="BS646" s="1484">
        <f t="shared" si="31"/>
        <v>0</v>
      </c>
      <c r="BT646" s="1484"/>
      <c r="BU646" s="1484"/>
      <c r="BV646" s="1484"/>
      <c r="BW646" s="1484"/>
      <c r="BX646" s="1484">
        <f t="shared" si="32"/>
        <v>0</v>
      </c>
      <c r="BY646" s="1484"/>
      <c r="BZ646" s="1484"/>
      <c r="CA646" s="1484"/>
      <c r="CB646" s="1484"/>
      <c r="CC646" s="1484">
        <f t="shared" si="33"/>
        <v>0</v>
      </c>
      <c r="CD646" s="1484"/>
      <c r="CE646" s="1484"/>
      <c r="CF646" s="1484"/>
      <c r="CG646" s="1484"/>
      <c r="CH646" s="1484">
        <f t="shared" si="34"/>
        <v>0</v>
      </c>
      <c r="CI646" s="1484"/>
      <c r="CJ646" s="1484"/>
      <c r="CK646" s="1484"/>
      <c r="CL646" s="1484"/>
      <c r="CM646" s="1484">
        <f t="shared" si="35"/>
        <v>0</v>
      </c>
      <c r="CN646" s="1484"/>
      <c r="CO646" s="1484"/>
      <c r="CP646" s="1484"/>
      <c r="CQ646" s="1484"/>
      <c r="CR646" s="6"/>
      <c r="CS646" s="1485">
        <f t="shared" si="36"/>
        <v>0</v>
      </c>
      <c r="CT646" s="1486"/>
      <c r="CU646" s="1486"/>
      <c r="CV646" s="1486"/>
      <c r="CW646" s="1487"/>
      <c r="CX646" s="1485">
        <f t="shared" si="37"/>
        <v>0</v>
      </c>
      <c r="CY646" s="1486"/>
      <c r="CZ646" s="1486"/>
      <c r="DA646" s="1486"/>
      <c r="DB646" s="1487"/>
      <c r="DC646" s="1485">
        <f t="shared" si="38"/>
        <v>0</v>
      </c>
      <c r="DD646" s="1486"/>
      <c r="DE646" s="1486"/>
      <c r="DF646" s="1486"/>
      <c r="DG646" s="1487"/>
      <c r="DH646" s="1485">
        <f t="shared" si="39"/>
        <v>0</v>
      </c>
      <c r="DI646" s="1486"/>
      <c r="DJ646" s="1486"/>
      <c r="DK646" s="1486"/>
      <c r="DL646" s="1487"/>
      <c r="DM646" s="1485">
        <f t="shared" si="40"/>
        <v>0</v>
      </c>
      <c r="DN646" s="1486"/>
      <c r="DO646" s="1486"/>
      <c r="DP646" s="1486"/>
      <c r="DQ646" s="1487"/>
      <c r="DR646" s="1485">
        <f t="shared" si="41"/>
        <v>0</v>
      </c>
      <c r="DS646" s="1486"/>
      <c r="DT646" s="1486"/>
      <c r="DU646" s="1486"/>
      <c r="DV646" s="1487"/>
      <c r="DX646" s="1475" t="e">
        <f t="shared" si="29"/>
        <v>#VALUE!</v>
      </c>
      <c r="DY646" s="1475"/>
      <c r="DZ646" s="1475"/>
      <c r="EA646" s="1475"/>
      <c r="EB646" s="1475"/>
      <c r="EC646" s="1475" t="e">
        <f t="shared" si="24"/>
        <v>#VALUE!</v>
      </c>
      <c r="ED646" s="1475"/>
      <c r="EE646" s="1475"/>
      <c r="EF646" s="1475"/>
      <c r="EG646" s="1475"/>
      <c r="EH646" s="1475" t="e">
        <f t="shared" si="25"/>
        <v>#VALUE!</v>
      </c>
      <c r="EI646" s="1475"/>
      <c r="EJ646" s="1475"/>
      <c r="EK646" s="1475"/>
      <c r="EL646" s="1475"/>
      <c r="EM646" s="1475" t="e">
        <f t="shared" si="26"/>
        <v>#VALUE!</v>
      </c>
      <c r="EN646" s="1475"/>
      <c r="EO646" s="1475"/>
      <c r="EP646" s="1475"/>
      <c r="EQ646" s="1475"/>
      <c r="ER646" s="1475" t="e">
        <f t="shared" si="27"/>
        <v>#VALUE!</v>
      </c>
      <c r="ES646" s="1475"/>
      <c r="ET646" s="1475"/>
      <c r="EU646" s="1475"/>
      <c r="EV646" s="1475"/>
      <c r="EW646" s="1475" t="e">
        <f t="shared" si="28"/>
        <v>#VALUE!</v>
      </c>
      <c r="EX646" s="1475"/>
      <c r="EY646" s="1475"/>
      <c r="EZ646" s="1475"/>
      <c r="FA646" s="1475"/>
    </row>
    <row r="647" spans="1:157" ht="12.95" customHeight="1">
      <c r="A647" s="22"/>
      <c r="B647" t="s">
        <v>317</v>
      </c>
      <c r="G647" s="1686" t="s">
        <v>2684</v>
      </c>
      <c r="H647" s="1464"/>
      <c r="I647" s="1464"/>
      <c r="J647" s="1464"/>
      <c r="K647" s="1464"/>
      <c r="L647" s="1464"/>
      <c r="O647" s="33" t="s">
        <v>207</v>
      </c>
      <c r="P647" s="1488"/>
      <c r="Q647" s="1488"/>
      <c r="R647" s="1488"/>
      <c r="S647" s="10"/>
      <c r="T647" s="22"/>
      <c r="U647" t="s">
        <v>317</v>
      </c>
      <c r="Z647" s="1464"/>
      <c r="AA647" s="1464"/>
      <c r="AB647" s="1464"/>
      <c r="AC647" s="1464"/>
      <c r="AD647" s="1464"/>
      <c r="AE647" s="1464"/>
      <c r="AH647" s="33" t="s">
        <v>207</v>
      </c>
      <c r="AI647" s="1488"/>
      <c r="AJ647" s="1488"/>
      <c r="AK647" s="1488"/>
      <c r="AZ647" s="34"/>
      <c r="BA647" s="34"/>
      <c r="BB647" s="34"/>
      <c r="BC647" s="34"/>
      <c r="BD647" s="34"/>
      <c r="BE647" s="34"/>
      <c r="BF647" s="34"/>
      <c r="BG647" s="34"/>
      <c r="BH647" s="34"/>
      <c r="BI647" s="34"/>
      <c r="BJ647" s="34"/>
      <c r="BK647" s="34"/>
      <c r="BL647" s="34"/>
      <c r="BM647" s="34"/>
      <c r="BN647" s="1485">
        <f t="shared" si="30"/>
        <v>0</v>
      </c>
      <c r="BO647" s="1486"/>
      <c r="BP647" s="1486"/>
      <c r="BQ647" s="1486"/>
      <c r="BR647" s="1487"/>
      <c r="BS647" s="1484">
        <f t="shared" si="31"/>
        <v>0</v>
      </c>
      <c r="BT647" s="1484"/>
      <c r="BU647" s="1484"/>
      <c r="BV647" s="1484"/>
      <c r="BW647" s="1484"/>
      <c r="BX647" s="1484">
        <f t="shared" si="32"/>
        <v>0</v>
      </c>
      <c r="BY647" s="1484"/>
      <c r="BZ647" s="1484"/>
      <c r="CA647" s="1484"/>
      <c r="CB647" s="1484"/>
      <c r="CC647" s="1484">
        <f t="shared" si="33"/>
        <v>0</v>
      </c>
      <c r="CD647" s="1484"/>
      <c r="CE647" s="1484"/>
      <c r="CF647" s="1484"/>
      <c r="CG647" s="1484"/>
      <c r="CH647" s="1484">
        <f t="shared" si="34"/>
        <v>0</v>
      </c>
      <c r="CI647" s="1484"/>
      <c r="CJ647" s="1484"/>
      <c r="CK647" s="1484"/>
      <c r="CL647" s="1484"/>
      <c r="CM647" s="1484">
        <f t="shared" si="35"/>
        <v>0</v>
      </c>
      <c r="CN647" s="1484"/>
      <c r="CO647" s="1484"/>
      <c r="CP647" s="1484"/>
      <c r="CQ647" s="1484"/>
      <c r="CR647" s="6"/>
      <c r="CS647" s="1485">
        <f t="shared" si="36"/>
        <v>0</v>
      </c>
      <c r="CT647" s="1486"/>
      <c r="CU647" s="1486"/>
      <c r="CV647" s="1486"/>
      <c r="CW647" s="1487"/>
      <c r="CX647" s="1485">
        <f t="shared" si="37"/>
        <v>0</v>
      </c>
      <c r="CY647" s="1486"/>
      <c r="CZ647" s="1486"/>
      <c r="DA647" s="1486"/>
      <c r="DB647" s="1487"/>
      <c r="DC647" s="1485">
        <f t="shared" si="38"/>
        <v>0</v>
      </c>
      <c r="DD647" s="1486"/>
      <c r="DE647" s="1486"/>
      <c r="DF647" s="1486"/>
      <c r="DG647" s="1487"/>
      <c r="DH647" s="1485">
        <f t="shared" si="39"/>
        <v>0</v>
      </c>
      <c r="DI647" s="1486"/>
      <c r="DJ647" s="1486"/>
      <c r="DK647" s="1486"/>
      <c r="DL647" s="1487"/>
      <c r="DM647" s="1485">
        <f t="shared" si="40"/>
        <v>0</v>
      </c>
      <c r="DN647" s="1486"/>
      <c r="DO647" s="1486"/>
      <c r="DP647" s="1486"/>
      <c r="DQ647" s="1487"/>
      <c r="DR647" s="1485">
        <f t="shared" si="41"/>
        <v>0</v>
      </c>
      <c r="DS647" s="1486"/>
      <c r="DT647" s="1486"/>
      <c r="DU647" s="1486"/>
      <c r="DV647" s="1487"/>
      <c r="DX647" s="1475" t="e">
        <f t="shared" si="29"/>
        <v>#VALUE!</v>
      </c>
      <c r="DY647" s="1475"/>
      <c r="DZ647" s="1475"/>
      <c r="EA647" s="1475"/>
      <c r="EB647" s="1475"/>
      <c r="EC647" s="1475" t="e">
        <f t="shared" si="24"/>
        <v>#VALUE!</v>
      </c>
      <c r="ED647" s="1475"/>
      <c r="EE647" s="1475"/>
      <c r="EF647" s="1475"/>
      <c r="EG647" s="1475"/>
      <c r="EH647" s="1475" t="e">
        <f t="shared" si="25"/>
        <v>#VALUE!</v>
      </c>
      <c r="EI647" s="1475"/>
      <c r="EJ647" s="1475"/>
      <c r="EK647" s="1475"/>
      <c r="EL647" s="1475"/>
      <c r="EM647" s="1475" t="e">
        <f t="shared" si="26"/>
        <v>#VALUE!</v>
      </c>
      <c r="EN647" s="1475"/>
      <c r="EO647" s="1475"/>
      <c r="EP647" s="1475"/>
      <c r="EQ647" s="1475"/>
      <c r="ER647" s="1475" t="e">
        <f t="shared" si="27"/>
        <v>#VALUE!</v>
      </c>
      <c r="ES647" s="1475"/>
      <c r="ET647" s="1475"/>
      <c r="EU647" s="1475"/>
      <c r="EV647" s="1475"/>
      <c r="EW647" s="1475" t="e">
        <f t="shared" si="28"/>
        <v>#VALUE!</v>
      </c>
      <c r="EX647" s="1475"/>
      <c r="EY647" s="1475"/>
      <c r="EZ647" s="1475"/>
      <c r="FA647" s="1475"/>
    </row>
    <row r="648" spans="1:157" ht="12.95" customHeight="1">
      <c r="A648" s="22"/>
      <c r="B648" t="s">
        <v>18</v>
      </c>
      <c r="H648" s="1404" t="s">
        <v>2723</v>
      </c>
      <c r="I648" s="1404"/>
      <c r="J648" s="1404"/>
      <c r="K648" s="1404"/>
      <c r="L648" s="1404"/>
      <c r="M648" s="1404"/>
      <c r="N648" s="1404"/>
      <c r="O648" s="1404"/>
      <c r="P648" s="1404"/>
      <c r="Q648" s="1404"/>
      <c r="R648" s="1404"/>
      <c r="S648" s="8"/>
      <c r="T648" s="22"/>
      <c r="U648" t="s">
        <v>18</v>
      </c>
      <c r="AA648" s="1404" t="s">
        <v>2730</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5">
        <f t="shared" si="30"/>
        <v>0</v>
      </c>
      <c r="BO648" s="1486"/>
      <c r="BP648" s="1486"/>
      <c r="BQ648" s="1486"/>
      <c r="BR648" s="1487"/>
      <c r="BS648" s="1484">
        <f t="shared" si="31"/>
        <v>0</v>
      </c>
      <c r="BT648" s="1484"/>
      <c r="BU648" s="1484"/>
      <c r="BV648" s="1484"/>
      <c r="BW648" s="1484"/>
      <c r="BX648" s="1484">
        <f t="shared" si="32"/>
        <v>0</v>
      </c>
      <c r="BY648" s="1484"/>
      <c r="BZ648" s="1484"/>
      <c r="CA648" s="1484"/>
      <c r="CB648" s="1484"/>
      <c r="CC648" s="1484">
        <f t="shared" si="33"/>
        <v>0</v>
      </c>
      <c r="CD648" s="1484"/>
      <c r="CE648" s="1484"/>
      <c r="CF648" s="1484"/>
      <c r="CG648" s="1484"/>
      <c r="CH648" s="1484">
        <f t="shared" si="34"/>
        <v>0</v>
      </c>
      <c r="CI648" s="1484"/>
      <c r="CJ648" s="1484"/>
      <c r="CK648" s="1484"/>
      <c r="CL648" s="1484"/>
      <c r="CM648" s="1484">
        <f t="shared" si="35"/>
        <v>0</v>
      </c>
      <c r="CN648" s="1484"/>
      <c r="CO648" s="1484"/>
      <c r="CP648" s="1484"/>
      <c r="CQ648" s="1484"/>
      <c r="CR648" s="6"/>
      <c r="CS648" s="1485">
        <f t="shared" si="36"/>
        <v>0</v>
      </c>
      <c r="CT648" s="1486"/>
      <c r="CU648" s="1486"/>
      <c r="CV648" s="1486"/>
      <c r="CW648" s="1487"/>
      <c r="CX648" s="1485">
        <f t="shared" si="37"/>
        <v>0</v>
      </c>
      <c r="CY648" s="1486"/>
      <c r="CZ648" s="1486"/>
      <c r="DA648" s="1486"/>
      <c r="DB648" s="1487"/>
      <c r="DC648" s="1485">
        <f t="shared" si="38"/>
        <v>0</v>
      </c>
      <c r="DD648" s="1486"/>
      <c r="DE648" s="1486"/>
      <c r="DF648" s="1486"/>
      <c r="DG648" s="1487"/>
      <c r="DH648" s="1485">
        <f t="shared" si="39"/>
        <v>0</v>
      </c>
      <c r="DI648" s="1486"/>
      <c r="DJ648" s="1486"/>
      <c r="DK648" s="1486"/>
      <c r="DL648" s="1487"/>
      <c r="DM648" s="1485">
        <f t="shared" si="40"/>
        <v>0</v>
      </c>
      <c r="DN648" s="1486"/>
      <c r="DO648" s="1486"/>
      <c r="DP648" s="1486"/>
      <c r="DQ648" s="1487"/>
      <c r="DR648" s="1485">
        <f t="shared" si="41"/>
        <v>0</v>
      </c>
      <c r="DS648" s="1486"/>
      <c r="DT648" s="1486"/>
      <c r="DU648" s="1486"/>
      <c r="DV648" s="1487"/>
      <c r="DX648" s="1475" t="e">
        <f t="shared" si="29"/>
        <v>#VALUE!</v>
      </c>
      <c r="DY648" s="1475"/>
      <c r="DZ648" s="1475"/>
      <c r="EA648" s="1475"/>
      <c r="EB648" s="1475"/>
      <c r="EC648" s="1475" t="e">
        <f t="shared" si="24"/>
        <v>#VALUE!</v>
      </c>
      <c r="ED648" s="1475"/>
      <c r="EE648" s="1475"/>
      <c r="EF648" s="1475"/>
      <c r="EG648" s="1475"/>
      <c r="EH648" s="1475" t="e">
        <f t="shared" si="25"/>
        <v>#VALUE!</v>
      </c>
      <c r="EI648" s="1475"/>
      <c r="EJ648" s="1475"/>
      <c r="EK648" s="1475"/>
      <c r="EL648" s="1475"/>
      <c r="EM648" s="1475" t="e">
        <f t="shared" si="26"/>
        <v>#VALUE!</v>
      </c>
      <c r="EN648" s="1475"/>
      <c r="EO648" s="1475"/>
      <c r="EP648" s="1475"/>
      <c r="EQ648" s="1475"/>
      <c r="ER648" s="1475" t="e">
        <f t="shared" si="27"/>
        <v>#VALUE!</v>
      </c>
      <c r="ES648" s="1475"/>
      <c r="ET648" s="1475"/>
      <c r="EU648" s="1475"/>
      <c r="EV648" s="1475"/>
      <c r="EW648" s="1475" t="e">
        <f t="shared" si="28"/>
        <v>#VALUE!</v>
      </c>
      <c r="EX648" s="1475"/>
      <c r="EY648" s="1475"/>
      <c r="EZ648" s="1475"/>
      <c r="FA648" s="1475"/>
    </row>
    <row r="649" spans="1:157" ht="12.95" customHeight="1">
      <c r="A649" s="22"/>
      <c r="B649" t="s">
        <v>20</v>
      </c>
      <c r="N649" s="1403" t="s">
        <v>554</v>
      </c>
      <c r="O649" s="1403"/>
      <c r="T649" s="22"/>
      <c r="U649" t="s">
        <v>20</v>
      </c>
      <c r="AG649" s="1403" t="s">
        <v>554</v>
      </c>
      <c r="AH649" s="1403"/>
      <c r="AZ649" s="34"/>
      <c r="BA649" s="34"/>
      <c r="BB649" s="34"/>
      <c r="BC649" s="34"/>
      <c r="BD649" s="34"/>
      <c r="BE649" s="34"/>
      <c r="BF649" s="34"/>
      <c r="BG649" s="34"/>
      <c r="BH649" s="34"/>
      <c r="BI649" s="34"/>
      <c r="BJ649" s="34"/>
      <c r="BK649" s="34"/>
      <c r="BL649" s="34"/>
      <c r="BM649" s="34"/>
      <c r="BN649" s="1485">
        <f t="shared" si="30"/>
        <v>0</v>
      </c>
      <c r="BO649" s="1486"/>
      <c r="BP649" s="1486"/>
      <c r="BQ649" s="1486"/>
      <c r="BR649" s="1487"/>
      <c r="BS649" s="1484">
        <f t="shared" si="31"/>
        <v>0</v>
      </c>
      <c r="BT649" s="1484"/>
      <c r="BU649" s="1484"/>
      <c r="BV649" s="1484"/>
      <c r="BW649" s="1484"/>
      <c r="BX649" s="1484">
        <f t="shared" si="32"/>
        <v>0</v>
      </c>
      <c r="BY649" s="1484"/>
      <c r="BZ649" s="1484"/>
      <c r="CA649" s="1484"/>
      <c r="CB649" s="1484"/>
      <c r="CC649" s="1484">
        <f t="shared" si="33"/>
        <v>0</v>
      </c>
      <c r="CD649" s="1484"/>
      <c r="CE649" s="1484"/>
      <c r="CF649" s="1484"/>
      <c r="CG649" s="1484"/>
      <c r="CH649" s="1484">
        <f t="shared" si="34"/>
        <v>0</v>
      </c>
      <c r="CI649" s="1484"/>
      <c r="CJ649" s="1484"/>
      <c r="CK649" s="1484"/>
      <c r="CL649" s="1484"/>
      <c r="CM649" s="1484">
        <f t="shared" si="35"/>
        <v>0</v>
      </c>
      <c r="CN649" s="1484"/>
      <c r="CO649" s="1484"/>
      <c r="CP649" s="1484"/>
      <c r="CQ649" s="1484"/>
      <c r="CR649" s="6"/>
      <c r="CS649" s="1485">
        <f t="shared" si="36"/>
        <v>0</v>
      </c>
      <c r="CT649" s="1486"/>
      <c r="CU649" s="1486"/>
      <c r="CV649" s="1486"/>
      <c r="CW649" s="1487"/>
      <c r="CX649" s="1485">
        <f t="shared" si="37"/>
        <v>0</v>
      </c>
      <c r="CY649" s="1486"/>
      <c r="CZ649" s="1486"/>
      <c r="DA649" s="1486"/>
      <c r="DB649" s="1487"/>
      <c r="DC649" s="1485">
        <f t="shared" si="38"/>
        <v>0</v>
      </c>
      <c r="DD649" s="1486"/>
      <c r="DE649" s="1486"/>
      <c r="DF649" s="1486"/>
      <c r="DG649" s="1487"/>
      <c r="DH649" s="1485">
        <f t="shared" si="39"/>
        <v>0</v>
      </c>
      <c r="DI649" s="1486"/>
      <c r="DJ649" s="1486"/>
      <c r="DK649" s="1486"/>
      <c r="DL649" s="1487"/>
      <c r="DM649" s="1485">
        <f t="shared" si="40"/>
        <v>0</v>
      </c>
      <c r="DN649" s="1486"/>
      <c r="DO649" s="1486"/>
      <c r="DP649" s="1486"/>
      <c r="DQ649" s="1487"/>
      <c r="DR649" s="1485">
        <f t="shared" si="41"/>
        <v>0</v>
      </c>
      <c r="DS649" s="1486"/>
      <c r="DT649" s="1486"/>
      <c r="DU649" s="1486"/>
      <c r="DV649" s="1487"/>
      <c r="DX649" s="1475" t="e">
        <f t="shared" si="29"/>
        <v>#VALUE!</v>
      </c>
      <c r="DY649" s="1475"/>
      <c r="DZ649" s="1475"/>
      <c r="EA649" s="1475"/>
      <c r="EB649" s="1475"/>
      <c r="EC649" s="1475" t="e">
        <f t="shared" si="24"/>
        <v>#VALUE!</v>
      </c>
      <c r="ED649" s="1475"/>
      <c r="EE649" s="1475"/>
      <c r="EF649" s="1475"/>
      <c r="EG649" s="1475"/>
      <c r="EH649" s="1475" t="e">
        <f t="shared" si="25"/>
        <v>#VALUE!</v>
      </c>
      <c r="EI649" s="1475"/>
      <c r="EJ649" s="1475"/>
      <c r="EK649" s="1475"/>
      <c r="EL649" s="1475"/>
      <c r="EM649" s="1475" t="e">
        <f t="shared" si="26"/>
        <v>#VALUE!</v>
      </c>
      <c r="EN649" s="1475"/>
      <c r="EO649" s="1475"/>
      <c r="EP649" s="1475"/>
      <c r="EQ649" s="1475"/>
      <c r="ER649" s="1475" t="e">
        <f t="shared" si="27"/>
        <v>#VALUE!</v>
      </c>
      <c r="ES649" s="1475"/>
      <c r="ET649" s="1475"/>
      <c r="EU649" s="1475"/>
      <c r="EV649" s="1475"/>
      <c r="EW649" s="1475" t="e">
        <f t="shared" si="28"/>
        <v>#VALUE!</v>
      </c>
      <c r="EX649" s="1475"/>
      <c r="EY649" s="1475"/>
      <c r="EZ649" s="1475"/>
      <c r="FA649" s="1475"/>
    </row>
    <row r="650" spans="1:157" ht="12.95" customHeight="1">
      <c r="A650" s="22"/>
      <c r="T650" s="22"/>
      <c r="AZ650" s="34"/>
      <c r="BA650" s="34"/>
      <c r="BB650" s="34"/>
      <c r="BC650" s="34"/>
      <c r="BD650" s="34"/>
      <c r="BE650" s="34"/>
      <c r="BF650" s="34"/>
      <c r="BG650" s="34"/>
      <c r="BH650" s="34"/>
      <c r="BI650" s="34"/>
      <c r="BJ650" s="34"/>
      <c r="BK650" s="34"/>
      <c r="BL650" s="34"/>
      <c r="BM650" s="34"/>
      <c r="BN650" s="1485">
        <f t="shared" si="30"/>
        <v>0</v>
      </c>
      <c r="BO650" s="1486"/>
      <c r="BP650" s="1486"/>
      <c r="BQ650" s="1486"/>
      <c r="BR650" s="1487"/>
      <c r="BS650" s="1484">
        <f t="shared" si="31"/>
        <v>0</v>
      </c>
      <c r="BT650" s="1484"/>
      <c r="BU650" s="1484"/>
      <c r="BV650" s="1484"/>
      <c r="BW650" s="1484"/>
      <c r="BX650" s="1484">
        <f t="shared" si="32"/>
        <v>0</v>
      </c>
      <c r="BY650" s="1484"/>
      <c r="BZ650" s="1484"/>
      <c r="CA650" s="1484"/>
      <c r="CB650" s="1484"/>
      <c r="CC650" s="1484">
        <f t="shared" si="33"/>
        <v>0</v>
      </c>
      <c r="CD650" s="1484"/>
      <c r="CE650" s="1484"/>
      <c r="CF650" s="1484"/>
      <c r="CG650" s="1484"/>
      <c r="CH650" s="1484">
        <f t="shared" si="34"/>
        <v>0</v>
      </c>
      <c r="CI650" s="1484"/>
      <c r="CJ650" s="1484"/>
      <c r="CK650" s="1484"/>
      <c r="CL650" s="1484"/>
      <c r="CM650" s="1484">
        <f t="shared" si="35"/>
        <v>0</v>
      </c>
      <c r="CN650" s="1484"/>
      <c r="CO650" s="1484"/>
      <c r="CP650" s="1484"/>
      <c r="CQ650" s="1484"/>
      <c r="CR650" s="6"/>
      <c r="CS650" s="1485">
        <f t="shared" si="36"/>
        <v>0</v>
      </c>
      <c r="CT650" s="1486"/>
      <c r="CU650" s="1486"/>
      <c r="CV650" s="1486"/>
      <c r="CW650" s="1487"/>
      <c r="CX650" s="1485">
        <f t="shared" si="37"/>
        <v>0</v>
      </c>
      <c r="CY650" s="1486"/>
      <c r="CZ650" s="1486"/>
      <c r="DA650" s="1486"/>
      <c r="DB650" s="1487"/>
      <c r="DC650" s="1485">
        <f t="shared" si="38"/>
        <v>0</v>
      </c>
      <c r="DD650" s="1486"/>
      <c r="DE650" s="1486"/>
      <c r="DF650" s="1486"/>
      <c r="DG650" s="1487"/>
      <c r="DH650" s="1485">
        <f t="shared" si="39"/>
        <v>0</v>
      </c>
      <c r="DI650" s="1486"/>
      <c r="DJ650" s="1486"/>
      <c r="DK650" s="1486"/>
      <c r="DL650" s="1487"/>
      <c r="DM650" s="1485">
        <f t="shared" si="40"/>
        <v>0</v>
      </c>
      <c r="DN650" s="1486"/>
      <c r="DO650" s="1486"/>
      <c r="DP650" s="1486"/>
      <c r="DQ650" s="1487"/>
      <c r="DR650" s="1485">
        <f t="shared" si="41"/>
        <v>0</v>
      </c>
      <c r="DS650" s="1486"/>
      <c r="DT650" s="1486"/>
      <c r="DU650" s="1486"/>
      <c r="DV650" s="1487"/>
      <c r="DX650" s="1475" t="e">
        <f t="shared" si="29"/>
        <v>#VALUE!</v>
      </c>
      <c r="DY650" s="1475"/>
      <c r="DZ650" s="1475"/>
      <c r="EA650" s="1475"/>
      <c r="EB650" s="1475"/>
      <c r="EC650" s="1475" t="e">
        <f t="shared" si="24"/>
        <v>#VALUE!</v>
      </c>
      <c r="ED650" s="1475"/>
      <c r="EE650" s="1475"/>
      <c r="EF650" s="1475"/>
      <c r="EG650" s="1475"/>
      <c r="EH650" s="1475" t="e">
        <f t="shared" si="25"/>
        <v>#VALUE!</v>
      </c>
      <c r="EI650" s="1475"/>
      <c r="EJ650" s="1475"/>
      <c r="EK650" s="1475"/>
      <c r="EL650" s="1475"/>
      <c r="EM650" s="1475" t="e">
        <f t="shared" si="26"/>
        <v>#VALUE!</v>
      </c>
      <c r="EN650" s="1475"/>
      <c r="EO650" s="1475"/>
      <c r="EP650" s="1475"/>
      <c r="EQ650" s="1475"/>
      <c r="ER650" s="1475" t="e">
        <f t="shared" si="27"/>
        <v>#VALUE!</v>
      </c>
      <c r="ES650" s="1475"/>
      <c r="ET650" s="1475"/>
      <c r="EU650" s="1475"/>
      <c r="EV650" s="1475"/>
      <c r="EW650" s="1475" t="e">
        <f t="shared" si="28"/>
        <v>#VALUE!</v>
      </c>
      <c r="EX650" s="1475"/>
      <c r="EY650" s="1475"/>
      <c r="EZ650" s="1475"/>
      <c r="FA650" s="1475"/>
    </row>
    <row r="651" spans="1:157" ht="12.95" customHeight="1">
      <c r="A651" s="55" t="s">
        <v>119</v>
      </c>
      <c r="B651" t="s">
        <v>472</v>
      </c>
      <c r="G651" s="1449" t="str">
        <f>C629</f>
        <v>County of SB</v>
      </c>
      <c r="H651" s="1449"/>
      <c r="I651" s="1449"/>
      <c r="J651" s="1449"/>
      <c r="K651" s="1449"/>
      <c r="L651" s="1449"/>
      <c r="M651" s="1449"/>
      <c r="N651" s="1449"/>
      <c r="O651" s="1449"/>
      <c r="P651" s="1449"/>
      <c r="Q651" s="1449"/>
      <c r="R651" s="1449"/>
      <c r="T651" s="55" t="s">
        <v>590</v>
      </c>
      <c r="U651" t="s">
        <v>472</v>
      </c>
      <c r="Z651" s="1449" t="str">
        <f>C630</f>
        <v>HASBARCO Loan</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5">
        <f t="shared" si="30"/>
        <v>0</v>
      </c>
      <c r="BO651" s="1486"/>
      <c r="BP651" s="1486"/>
      <c r="BQ651" s="1486"/>
      <c r="BR651" s="1487"/>
      <c r="BS651" s="1484">
        <f t="shared" si="31"/>
        <v>0</v>
      </c>
      <c r="BT651" s="1484"/>
      <c r="BU651" s="1484"/>
      <c r="BV651" s="1484"/>
      <c r="BW651" s="1484"/>
      <c r="BX651" s="1484">
        <f t="shared" si="32"/>
        <v>0</v>
      </c>
      <c r="BY651" s="1484"/>
      <c r="BZ651" s="1484"/>
      <c r="CA651" s="1484"/>
      <c r="CB651" s="1484"/>
      <c r="CC651" s="1484">
        <f t="shared" si="33"/>
        <v>0</v>
      </c>
      <c r="CD651" s="1484"/>
      <c r="CE651" s="1484"/>
      <c r="CF651" s="1484"/>
      <c r="CG651" s="1484"/>
      <c r="CH651" s="1484">
        <f t="shared" si="34"/>
        <v>0</v>
      </c>
      <c r="CI651" s="1484"/>
      <c r="CJ651" s="1484"/>
      <c r="CK651" s="1484"/>
      <c r="CL651" s="1484"/>
      <c r="CM651" s="1484">
        <f t="shared" si="35"/>
        <v>0</v>
      </c>
      <c r="CN651" s="1484"/>
      <c r="CO651" s="1484"/>
      <c r="CP651" s="1484"/>
      <c r="CQ651" s="1484"/>
      <c r="CR651" s="6"/>
      <c r="CS651" s="1485">
        <f t="shared" si="36"/>
        <v>0</v>
      </c>
      <c r="CT651" s="1486"/>
      <c r="CU651" s="1486"/>
      <c r="CV651" s="1486"/>
      <c r="CW651" s="1487"/>
      <c r="CX651" s="1485">
        <f t="shared" si="37"/>
        <v>0</v>
      </c>
      <c r="CY651" s="1486"/>
      <c r="CZ651" s="1486"/>
      <c r="DA651" s="1486"/>
      <c r="DB651" s="1487"/>
      <c r="DC651" s="1485">
        <f t="shared" si="38"/>
        <v>0</v>
      </c>
      <c r="DD651" s="1486"/>
      <c r="DE651" s="1486"/>
      <c r="DF651" s="1486"/>
      <c r="DG651" s="1487"/>
      <c r="DH651" s="1485">
        <f t="shared" si="39"/>
        <v>0</v>
      </c>
      <c r="DI651" s="1486"/>
      <c r="DJ651" s="1486"/>
      <c r="DK651" s="1486"/>
      <c r="DL651" s="1487"/>
      <c r="DM651" s="1485">
        <f t="shared" si="40"/>
        <v>0</v>
      </c>
      <c r="DN651" s="1486"/>
      <c r="DO651" s="1486"/>
      <c r="DP651" s="1486"/>
      <c r="DQ651" s="1487"/>
      <c r="DR651" s="1485">
        <f t="shared" si="41"/>
        <v>0</v>
      </c>
      <c r="DS651" s="1486"/>
      <c r="DT651" s="1486"/>
      <c r="DU651" s="1486"/>
      <c r="DV651" s="1487"/>
      <c r="DX651" s="1475" t="e">
        <f t="shared" si="29"/>
        <v>#VALUE!</v>
      </c>
      <c r="DY651" s="1475"/>
      <c r="DZ651" s="1475"/>
      <c r="EA651" s="1475"/>
      <c r="EB651" s="1475"/>
      <c r="EC651" s="1475" t="e">
        <f t="shared" si="24"/>
        <v>#VALUE!</v>
      </c>
      <c r="ED651" s="1475"/>
      <c r="EE651" s="1475"/>
      <c r="EF651" s="1475"/>
      <c r="EG651" s="1475"/>
      <c r="EH651" s="1475" t="e">
        <f t="shared" si="25"/>
        <v>#VALUE!</v>
      </c>
      <c r="EI651" s="1475"/>
      <c r="EJ651" s="1475"/>
      <c r="EK651" s="1475"/>
      <c r="EL651" s="1475"/>
      <c r="EM651" s="1475" t="e">
        <f t="shared" si="26"/>
        <v>#VALUE!</v>
      </c>
      <c r="EN651" s="1475"/>
      <c r="EO651" s="1475"/>
      <c r="EP651" s="1475"/>
      <c r="EQ651" s="1475"/>
      <c r="ER651" s="1475" t="e">
        <f t="shared" si="27"/>
        <v>#VALUE!</v>
      </c>
      <c r="ES651" s="1475"/>
      <c r="ET651" s="1475"/>
      <c r="EU651" s="1475"/>
      <c r="EV651" s="1475"/>
      <c r="EW651" s="1475" t="e">
        <f t="shared" si="28"/>
        <v>#VALUE!</v>
      </c>
      <c r="EX651" s="1475"/>
      <c r="EY651" s="1475"/>
      <c r="EZ651" s="1475"/>
      <c r="FA651" s="1475"/>
    </row>
    <row r="652" spans="1:157" ht="12.95" customHeight="1">
      <c r="A652" s="22"/>
      <c r="B652" t="s">
        <v>85</v>
      </c>
      <c r="G652" s="1405" t="s">
        <v>2727</v>
      </c>
      <c r="H652" s="1405"/>
      <c r="I652" s="1405"/>
      <c r="J652" s="1405"/>
      <c r="K652" s="1405"/>
      <c r="L652" s="1405"/>
      <c r="M652" s="1405"/>
      <c r="N652" s="1405"/>
      <c r="O652" s="1405"/>
      <c r="P652" s="1405"/>
      <c r="Q652" s="1405"/>
      <c r="R652" s="1405"/>
      <c r="T652" s="22"/>
      <c r="U652" t="s">
        <v>85</v>
      </c>
      <c r="Z652" s="1404" t="s">
        <v>2642</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5">
        <f t="shared" si="30"/>
        <v>0</v>
      </c>
      <c r="BO652" s="1486"/>
      <c r="BP652" s="1486"/>
      <c r="BQ652" s="1486"/>
      <c r="BR652" s="1487"/>
      <c r="BS652" s="1484">
        <f t="shared" si="31"/>
        <v>0</v>
      </c>
      <c r="BT652" s="1484"/>
      <c r="BU652" s="1484"/>
      <c r="BV652" s="1484"/>
      <c r="BW652" s="1484"/>
      <c r="BX652" s="1484">
        <f t="shared" si="32"/>
        <v>0</v>
      </c>
      <c r="BY652" s="1484"/>
      <c r="BZ652" s="1484"/>
      <c r="CA652" s="1484"/>
      <c r="CB652" s="1484"/>
      <c r="CC652" s="1484">
        <f t="shared" si="33"/>
        <v>0</v>
      </c>
      <c r="CD652" s="1484"/>
      <c r="CE652" s="1484"/>
      <c r="CF652" s="1484"/>
      <c r="CG652" s="1484"/>
      <c r="CH652" s="1484">
        <f t="shared" si="34"/>
        <v>0</v>
      </c>
      <c r="CI652" s="1484"/>
      <c r="CJ652" s="1484"/>
      <c r="CK652" s="1484"/>
      <c r="CL652" s="1484"/>
      <c r="CM652" s="1484">
        <f t="shared" si="35"/>
        <v>0</v>
      </c>
      <c r="CN652" s="1484"/>
      <c r="CO652" s="1484"/>
      <c r="CP652" s="1484"/>
      <c r="CQ652" s="1484"/>
      <c r="CR652" s="6"/>
      <c r="CS652" s="1485">
        <f t="shared" si="36"/>
        <v>0</v>
      </c>
      <c r="CT652" s="1486"/>
      <c r="CU652" s="1486"/>
      <c r="CV652" s="1486"/>
      <c r="CW652" s="1487"/>
      <c r="CX652" s="1485">
        <f t="shared" si="37"/>
        <v>0</v>
      </c>
      <c r="CY652" s="1486"/>
      <c r="CZ652" s="1486"/>
      <c r="DA652" s="1486"/>
      <c r="DB652" s="1487"/>
      <c r="DC652" s="1485">
        <f t="shared" si="38"/>
        <v>0</v>
      </c>
      <c r="DD652" s="1486"/>
      <c r="DE652" s="1486"/>
      <c r="DF652" s="1486"/>
      <c r="DG652" s="1487"/>
      <c r="DH652" s="1485">
        <f t="shared" si="39"/>
        <v>0</v>
      </c>
      <c r="DI652" s="1486"/>
      <c r="DJ652" s="1486"/>
      <c r="DK652" s="1486"/>
      <c r="DL652" s="1487"/>
      <c r="DM652" s="1485">
        <f t="shared" si="40"/>
        <v>0</v>
      </c>
      <c r="DN652" s="1486"/>
      <c r="DO652" s="1486"/>
      <c r="DP652" s="1486"/>
      <c r="DQ652" s="1487"/>
      <c r="DR652" s="1485">
        <f t="shared" si="41"/>
        <v>0</v>
      </c>
      <c r="DS652" s="1486"/>
      <c r="DT652" s="1486"/>
      <c r="DU652" s="1486"/>
      <c r="DV652" s="1487"/>
      <c r="DX652" s="1475" t="e">
        <f t="shared" si="29"/>
        <v>#VALUE!</v>
      </c>
      <c r="DY652" s="1475"/>
      <c r="DZ652" s="1475"/>
      <c r="EA652" s="1475"/>
      <c r="EB652" s="1475"/>
      <c r="EC652" s="1475" t="e">
        <f t="shared" si="24"/>
        <v>#VALUE!</v>
      </c>
      <c r="ED652" s="1475"/>
      <c r="EE652" s="1475"/>
      <c r="EF652" s="1475"/>
      <c r="EG652" s="1475"/>
      <c r="EH652" s="1475" t="e">
        <f t="shared" si="25"/>
        <v>#VALUE!</v>
      </c>
      <c r="EI652" s="1475"/>
      <c r="EJ652" s="1475"/>
      <c r="EK652" s="1475"/>
      <c r="EL652" s="1475"/>
      <c r="EM652" s="1475" t="e">
        <f t="shared" si="26"/>
        <v>#VALUE!</v>
      </c>
      <c r="EN652" s="1475"/>
      <c r="EO652" s="1475"/>
      <c r="EP652" s="1475"/>
      <c r="EQ652" s="1475"/>
      <c r="ER652" s="1475" t="e">
        <f t="shared" si="27"/>
        <v>#VALUE!</v>
      </c>
      <c r="ES652" s="1475"/>
      <c r="ET652" s="1475"/>
      <c r="EU652" s="1475"/>
      <c r="EV652" s="1475"/>
      <c r="EW652" s="1475" t="e">
        <f t="shared" si="28"/>
        <v>#VALUE!</v>
      </c>
      <c r="EX652" s="1475"/>
      <c r="EY652" s="1475"/>
      <c r="EZ652" s="1475"/>
      <c r="FA652" s="1475"/>
    </row>
    <row r="653" spans="1:157" ht="12.95" customHeight="1">
      <c r="A653" s="22"/>
      <c r="B653" t="s">
        <v>589</v>
      </c>
      <c r="G653" s="1405" t="s">
        <v>2659</v>
      </c>
      <c r="H653" s="1405"/>
      <c r="I653" s="1405"/>
      <c r="J653" s="1405"/>
      <c r="K653" s="1405"/>
      <c r="L653" s="1405"/>
      <c r="M653" s="1405"/>
      <c r="N653" s="1405"/>
      <c r="O653" s="1405"/>
      <c r="P653" s="1405"/>
      <c r="Q653" s="1405"/>
      <c r="R653" s="1405"/>
      <c r="T653" s="22"/>
      <c r="U653" t="s">
        <v>589</v>
      </c>
      <c r="Z653" s="1405" t="s">
        <v>2656</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5">
        <f t="shared" si="30"/>
        <v>0</v>
      </c>
      <c r="BO653" s="1486"/>
      <c r="BP653" s="1486"/>
      <c r="BQ653" s="1486"/>
      <c r="BR653" s="1487"/>
      <c r="BS653" s="1484">
        <f t="shared" si="31"/>
        <v>0</v>
      </c>
      <c r="BT653" s="1484"/>
      <c r="BU653" s="1484"/>
      <c r="BV653" s="1484"/>
      <c r="BW653" s="1484"/>
      <c r="BX653" s="1484">
        <f t="shared" si="32"/>
        <v>0</v>
      </c>
      <c r="BY653" s="1484"/>
      <c r="BZ653" s="1484"/>
      <c r="CA653" s="1484"/>
      <c r="CB653" s="1484"/>
      <c r="CC653" s="1484">
        <f t="shared" si="33"/>
        <v>0</v>
      </c>
      <c r="CD653" s="1484"/>
      <c r="CE653" s="1484"/>
      <c r="CF653" s="1484"/>
      <c r="CG653" s="1484"/>
      <c r="CH653" s="1484">
        <f t="shared" si="34"/>
        <v>0</v>
      </c>
      <c r="CI653" s="1484"/>
      <c r="CJ653" s="1484"/>
      <c r="CK653" s="1484"/>
      <c r="CL653" s="1484"/>
      <c r="CM653" s="1484">
        <f t="shared" si="35"/>
        <v>0</v>
      </c>
      <c r="CN653" s="1484"/>
      <c r="CO653" s="1484"/>
      <c r="CP653" s="1484"/>
      <c r="CQ653" s="1484"/>
      <c r="CR653" s="6"/>
      <c r="CS653" s="1485">
        <f t="shared" si="36"/>
        <v>0</v>
      </c>
      <c r="CT653" s="1486"/>
      <c r="CU653" s="1486"/>
      <c r="CV653" s="1486"/>
      <c r="CW653" s="1487"/>
      <c r="CX653" s="1485">
        <f t="shared" si="37"/>
        <v>0</v>
      </c>
      <c r="CY653" s="1486"/>
      <c r="CZ653" s="1486"/>
      <c r="DA653" s="1486"/>
      <c r="DB653" s="1487"/>
      <c r="DC653" s="1485">
        <f t="shared" si="38"/>
        <v>0</v>
      </c>
      <c r="DD653" s="1486"/>
      <c r="DE653" s="1486"/>
      <c r="DF653" s="1486"/>
      <c r="DG653" s="1487"/>
      <c r="DH653" s="1485">
        <f t="shared" si="39"/>
        <v>0</v>
      </c>
      <c r="DI653" s="1486"/>
      <c r="DJ653" s="1486"/>
      <c r="DK653" s="1486"/>
      <c r="DL653" s="1487"/>
      <c r="DM653" s="1485">
        <f t="shared" si="40"/>
        <v>0</v>
      </c>
      <c r="DN653" s="1486"/>
      <c r="DO653" s="1486"/>
      <c r="DP653" s="1486"/>
      <c r="DQ653" s="1487"/>
      <c r="DR653" s="1485">
        <f t="shared" si="41"/>
        <v>0</v>
      </c>
      <c r="DS653" s="1486"/>
      <c r="DT653" s="1486"/>
      <c r="DU653" s="1486"/>
      <c r="DV653" s="1487"/>
      <c r="DX653" s="1475" t="e">
        <f t="shared" si="29"/>
        <v>#VALUE!</v>
      </c>
      <c r="DY653" s="1475"/>
      <c r="DZ653" s="1475"/>
      <c r="EA653" s="1475"/>
      <c r="EB653" s="1475"/>
      <c r="EC653" s="1475" t="e">
        <f t="shared" si="24"/>
        <v>#VALUE!</v>
      </c>
      <c r="ED653" s="1475"/>
      <c r="EE653" s="1475"/>
      <c r="EF653" s="1475"/>
      <c r="EG653" s="1475"/>
      <c r="EH653" s="1475" t="e">
        <f t="shared" si="25"/>
        <v>#VALUE!</v>
      </c>
      <c r="EI653" s="1475"/>
      <c r="EJ653" s="1475"/>
      <c r="EK653" s="1475"/>
      <c r="EL653" s="1475"/>
      <c r="EM653" s="1475" t="e">
        <f t="shared" si="26"/>
        <v>#VALUE!</v>
      </c>
      <c r="EN653" s="1475"/>
      <c r="EO653" s="1475"/>
      <c r="EP653" s="1475"/>
      <c r="EQ653" s="1475"/>
      <c r="ER653" s="1475" t="e">
        <f t="shared" si="27"/>
        <v>#VALUE!</v>
      </c>
      <c r="ES653" s="1475"/>
      <c r="ET653" s="1475"/>
      <c r="EU653" s="1475"/>
      <c r="EV653" s="1475"/>
      <c r="EW653" s="1475" t="e">
        <f t="shared" si="28"/>
        <v>#VALUE!</v>
      </c>
      <c r="EX653" s="1475"/>
      <c r="EY653" s="1475"/>
      <c r="EZ653" s="1475"/>
      <c r="FA653" s="1475"/>
    </row>
    <row r="654" spans="1:157" ht="12.95" customHeight="1">
      <c r="A654" s="22"/>
      <c r="B654" t="s">
        <v>17</v>
      </c>
      <c r="G654" s="1405" t="s">
        <v>2728</v>
      </c>
      <c r="H654" s="1405"/>
      <c r="I654" s="1405"/>
      <c r="J654" s="1405"/>
      <c r="K654" s="1405"/>
      <c r="L654" s="1405"/>
      <c r="M654" s="1405"/>
      <c r="N654" s="1405"/>
      <c r="O654" s="1405"/>
      <c r="P654" s="1405"/>
      <c r="Q654" s="1405"/>
      <c r="R654" s="1405"/>
      <c r="T654" s="22"/>
      <c r="U654" t="s">
        <v>17</v>
      </c>
      <c r="Z654" s="1405" t="s">
        <v>2649</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5">
        <f t="shared" si="30"/>
        <v>0</v>
      </c>
      <c r="BO654" s="1486"/>
      <c r="BP654" s="1486"/>
      <c r="BQ654" s="1486"/>
      <c r="BR654" s="1487"/>
      <c r="BS654" s="1484">
        <f t="shared" si="31"/>
        <v>0</v>
      </c>
      <c r="BT654" s="1484"/>
      <c r="BU654" s="1484"/>
      <c r="BV654" s="1484"/>
      <c r="BW654" s="1484"/>
      <c r="BX654" s="1484">
        <f t="shared" si="32"/>
        <v>0</v>
      </c>
      <c r="BY654" s="1484"/>
      <c r="BZ654" s="1484"/>
      <c r="CA654" s="1484"/>
      <c r="CB654" s="1484"/>
      <c r="CC654" s="1484">
        <f t="shared" si="33"/>
        <v>0</v>
      </c>
      <c r="CD654" s="1484"/>
      <c r="CE654" s="1484"/>
      <c r="CF654" s="1484"/>
      <c r="CG654" s="1484"/>
      <c r="CH654" s="1484">
        <f t="shared" si="34"/>
        <v>0</v>
      </c>
      <c r="CI654" s="1484"/>
      <c r="CJ654" s="1484"/>
      <c r="CK654" s="1484"/>
      <c r="CL654" s="1484"/>
      <c r="CM654" s="1484">
        <f t="shared" si="35"/>
        <v>0</v>
      </c>
      <c r="CN654" s="1484"/>
      <c r="CO654" s="1484"/>
      <c r="CP654" s="1484"/>
      <c r="CQ654" s="1484"/>
      <c r="CR654" s="6"/>
      <c r="CS654" s="1485">
        <f t="shared" si="36"/>
        <v>0</v>
      </c>
      <c r="CT654" s="1486"/>
      <c r="CU654" s="1486"/>
      <c r="CV654" s="1486"/>
      <c r="CW654" s="1487"/>
      <c r="CX654" s="1485">
        <f t="shared" si="37"/>
        <v>0</v>
      </c>
      <c r="CY654" s="1486"/>
      <c r="CZ654" s="1486"/>
      <c r="DA654" s="1486"/>
      <c r="DB654" s="1487"/>
      <c r="DC654" s="1485">
        <f t="shared" si="38"/>
        <v>0</v>
      </c>
      <c r="DD654" s="1486"/>
      <c r="DE654" s="1486"/>
      <c r="DF654" s="1486"/>
      <c r="DG654" s="1487"/>
      <c r="DH654" s="1485">
        <f t="shared" si="39"/>
        <v>0</v>
      </c>
      <c r="DI654" s="1486"/>
      <c r="DJ654" s="1486"/>
      <c r="DK654" s="1486"/>
      <c r="DL654" s="1487"/>
      <c r="DM654" s="1485">
        <f t="shared" si="40"/>
        <v>0</v>
      </c>
      <c r="DN654" s="1486"/>
      <c r="DO654" s="1486"/>
      <c r="DP654" s="1486"/>
      <c r="DQ654" s="1487"/>
      <c r="DR654" s="1485">
        <f t="shared" si="41"/>
        <v>0</v>
      </c>
      <c r="DS654" s="1486"/>
      <c r="DT654" s="1486"/>
      <c r="DU654" s="1486"/>
      <c r="DV654" s="1487"/>
      <c r="DX654" s="1475" t="e">
        <f t="shared" si="29"/>
        <v>#VALUE!</v>
      </c>
      <c r="DY654" s="1475"/>
      <c r="DZ654" s="1475"/>
      <c r="EA654" s="1475"/>
      <c r="EB654" s="1475"/>
      <c r="EC654" s="1475" t="e">
        <f t="shared" si="24"/>
        <v>#VALUE!</v>
      </c>
      <c r="ED654" s="1475"/>
      <c r="EE654" s="1475"/>
      <c r="EF654" s="1475"/>
      <c r="EG654" s="1475"/>
      <c r="EH654" s="1475" t="e">
        <f t="shared" si="25"/>
        <v>#VALUE!</v>
      </c>
      <c r="EI654" s="1475"/>
      <c r="EJ654" s="1475"/>
      <c r="EK654" s="1475"/>
      <c r="EL654" s="1475"/>
      <c r="EM654" s="1475" t="e">
        <f t="shared" si="26"/>
        <v>#VALUE!</v>
      </c>
      <c r="EN654" s="1475"/>
      <c r="EO654" s="1475"/>
      <c r="EP654" s="1475"/>
      <c r="EQ654" s="1475"/>
      <c r="ER654" s="1475" t="e">
        <f t="shared" si="27"/>
        <v>#VALUE!</v>
      </c>
      <c r="ES654" s="1475"/>
      <c r="ET654" s="1475"/>
      <c r="EU654" s="1475"/>
      <c r="EV654" s="1475"/>
      <c r="EW654" s="1475" t="e">
        <f t="shared" si="28"/>
        <v>#VALUE!</v>
      </c>
      <c r="EX654" s="1475"/>
      <c r="EY654" s="1475"/>
      <c r="EZ654" s="1475"/>
      <c r="FA654" s="1475"/>
    </row>
    <row r="655" spans="1:157" ht="12.95" customHeight="1">
      <c r="A655" s="22"/>
      <c r="B655" t="s">
        <v>317</v>
      </c>
      <c r="G655" s="1686" t="s">
        <v>2729</v>
      </c>
      <c r="H655" s="1464"/>
      <c r="I655" s="1464"/>
      <c r="J655" s="1464"/>
      <c r="K655" s="1464"/>
      <c r="L655" s="1464"/>
      <c r="O655" s="33" t="s">
        <v>207</v>
      </c>
      <c r="P655" s="1488"/>
      <c r="Q655" s="1488"/>
      <c r="R655" s="1488"/>
      <c r="T655" s="22"/>
      <c r="U655" t="s">
        <v>317</v>
      </c>
      <c r="Z655" s="1686" t="s">
        <v>2650</v>
      </c>
      <c r="AA655" s="1464"/>
      <c r="AB655" s="1464"/>
      <c r="AC655" s="1464"/>
      <c r="AD655" s="1464"/>
      <c r="AE655" s="1464"/>
      <c r="AH655" s="33" t="s">
        <v>207</v>
      </c>
      <c r="AI655" s="1488"/>
      <c r="AJ655" s="1488"/>
      <c r="AK655" s="1488"/>
      <c r="AZ655" s="34"/>
      <c r="BA655" s="34"/>
      <c r="BB655" s="34"/>
      <c r="BC655" s="34"/>
      <c r="BD655" s="34"/>
      <c r="BE655" s="34"/>
      <c r="BF655" s="34"/>
      <c r="BG655" s="34"/>
      <c r="BH655" s="34"/>
      <c r="BI655" s="34"/>
      <c r="BJ655" s="34"/>
      <c r="BK655" s="34"/>
      <c r="BL655" s="34"/>
      <c r="BM655" s="34"/>
      <c r="BN655" s="1492">
        <f>SUM(BN645:BR654)</f>
        <v>0</v>
      </c>
      <c r="BO655" s="1493"/>
      <c r="BP655" s="1493"/>
      <c r="BQ655" s="1493"/>
      <c r="BR655" s="1494"/>
      <c r="BS655" s="1478">
        <f>SUM(BS645:BW654)</f>
        <v>0</v>
      </c>
      <c r="BT655" s="1479"/>
      <c r="BU655" s="1479"/>
      <c r="BV655" s="1479"/>
      <c r="BW655" s="1480"/>
      <c r="BX655" s="1478">
        <f>SUM(BX645:CB654)</f>
        <v>0</v>
      </c>
      <c r="BY655" s="1479"/>
      <c r="BZ655" s="1479"/>
      <c r="CA655" s="1479"/>
      <c r="CB655" s="1480"/>
      <c r="CC655" s="1478">
        <f>SUM(CC645:CG654)</f>
        <v>0</v>
      </c>
      <c r="CD655" s="1479"/>
      <c r="CE655" s="1479"/>
      <c r="CF655" s="1479"/>
      <c r="CG655" s="1480"/>
      <c r="CH655" s="1478">
        <f>SUM(CH645:CL654)</f>
        <v>0</v>
      </c>
      <c r="CI655" s="1479"/>
      <c r="CJ655" s="1479"/>
      <c r="CK655" s="1479"/>
      <c r="CL655" s="1480"/>
      <c r="CM655" s="1478">
        <f>SUM(CM645:CQ654)</f>
        <v>0</v>
      </c>
      <c r="CN655" s="1479"/>
      <c r="CO655" s="1479"/>
      <c r="CP655" s="1479"/>
      <c r="CQ655" s="1480"/>
      <c r="CR655" s="1047"/>
      <c r="CS655" s="1490">
        <f>SUM(CS645:CW654)</f>
        <v>0</v>
      </c>
      <c r="CT655" s="1490"/>
      <c r="CU655" s="1490"/>
      <c r="CV655" s="1490"/>
      <c r="CW655" s="1490"/>
      <c r="CX655" s="1490">
        <f>SUM(CX645:DB654)</f>
        <v>0</v>
      </c>
      <c r="CY655" s="1490"/>
      <c r="CZ655" s="1490"/>
      <c r="DA655" s="1490"/>
      <c r="DB655" s="1490"/>
      <c r="DC655" s="1490">
        <f>SUM(DC645:DG654)</f>
        <v>0</v>
      </c>
      <c r="DD655" s="1490"/>
      <c r="DE655" s="1490"/>
      <c r="DF655" s="1490"/>
      <c r="DG655" s="1490"/>
      <c r="DH655" s="1490">
        <f>SUM(DH645:DL654)</f>
        <v>0</v>
      </c>
      <c r="DI655" s="1490"/>
      <c r="DJ655" s="1490"/>
      <c r="DK655" s="1490"/>
      <c r="DL655" s="1490"/>
      <c r="DM655" s="1490">
        <f>SUM(DM645:DQ654)</f>
        <v>0</v>
      </c>
      <c r="DN655" s="1490"/>
      <c r="DO655" s="1490"/>
      <c r="DP655" s="1490"/>
      <c r="DQ655" s="1490"/>
      <c r="DR655" s="1490">
        <f>SUM(DR645:DV654)</f>
        <v>0</v>
      </c>
      <c r="DS655" s="1490"/>
      <c r="DT655" s="1490"/>
      <c r="DU655" s="1490"/>
      <c r="DV655" s="1490"/>
      <c r="DX655" s="1475" t="e">
        <f t="shared" si="29"/>
        <v>#VALUE!</v>
      </c>
      <c r="DY655" s="1475"/>
      <c r="DZ655" s="1475"/>
      <c r="EA655" s="1475"/>
      <c r="EB655" s="1475"/>
      <c r="EC655" s="1475" t="e">
        <f t="shared" si="24"/>
        <v>#VALUE!</v>
      </c>
      <c r="ED655" s="1475"/>
      <c r="EE655" s="1475"/>
      <c r="EF655" s="1475"/>
      <c r="EG655" s="1475"/>
      <c r="EH655" s="1475" t="e">
        <f t="shared" si="25"/>
        <v>#VALUE!</v>
      </c>
      <c r="EI655" s="1475"/>
      <c r="EJ655" s="1475"/>
      <c r="EK655" s="1475"/>
      <c r="EL655" s="1475"/>
      <c r="EM655" s="1475" t="e">
        <f t="shared" si="26"/>
        <v>#VALUE!</v>
      </c>
      <c r="EN655" s="1475"/>
      <c r="EO655" s="1475"/>
      <c r="EP655" s="1475"/>
      <c r="EQ655" s="1475"/>
      <c r="ER655" s="1475" t="e">
        <f t="shared" si="27"/>
        <v>#VALUE!</v>
      </c>
      <c r="ES655" s="1475"/>
      <c r="ET655" s="1475"/>
      <c r="EU655" s="1475"/>
      <c r="EV655" s="1475"/>
      <c r="EW655" s="1475" t="e">
        <f t="shared" si="28"/>
        <v>#VALUE!</v>
      </c>
      <c r="EX655" s="1475"/>
      <c r="EY655" s="1475"/>
      <c r="EZ655" s="1475"/>
      <c r="FA655" s="1475"/>
    </row>
    <row r="656" spans="1:157" ht="12.95" customHeight="1">
      <c r="A656" s="22"/>
      <c r="B656" t="s">
        <v>18</v>
      </c>
      <c r="H656" s="1404" t="s">
        <v>2730</v>
      </c>
      <c r="I656" s="1404"/>
      <c r="J656" s="1404"/>
      <c r="K656" s="1404"/>
      <c r="L656" s="1404"/>
      <c r="M656" s="1404"/>
      <c r="N656" s="1404"/>
      <c r="O656" s="1404"/>
      <c r="P656" s="1404"/>
      <c r="Q656" s="1404"/>
      <c r="R656" s="1404"/>
      <c r="T656" s="22"/>
      <c r="U656" t="s">
        <v>18</v>
      </c>
      <c r="AA656" s="1404"/>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29"/>
        <v>#VALUE!</v>
      </c>
      <c r="DY656" s="1475"/>
      <c r="DZ656" s="1475"/>
      <c r="EA656" s="1475"/>
      <c r="EB656" s="1475"/>
      <c r="EC656" s="1475" t="e">
        <f t="shared" si="24"/>
        <v>#VALUE!</v>
      </c>
      <c r="ED656" s="1475"/>
      <c r="EE656" s="1475"/>
      <c r="EF656" s="1475"/>
      <c r="EG656" s="1475"/>
      <c r="EH656" s="1475" t="e">
        <f t="shared" si="25"/>
        <v>#VALUE!</v>
      </c>
      <c r="EI656" s="1475"/>
      <c r="EJ656" s="1475"/>
      <c r="EK656" s="1475"/>
      <c r="EL656" s="1475"/>
      <c r="EM656" s="1475" t="e">
        <f t="shared" si="26"/>
        <v>#VALUE!</v>
      </c>
      <c r="EN656" s="1475"/>
      <c r="EO656" s="1475"/>
      <c r="EP656" s="1475"/>
      <c r="EQ656" s="1475"/>
      <c r="ER656" s="1475" t="e">
        <f t="shared" si="27"/>
        <v>#VALUE!</v>
      </c>
      <c r="ES656" s="1475"/>
      <c r="ET656" s="1475"/>
      <c r="EU656" s="1475"/>
      <c r="EV656" s="1475"/>
      <c r="EW656" s="1475" t="e">
        <f t="shared" si="28"/>
        <v>#VALUE!</v>
      </c>
      <c r="EX656" s="1475"/>
      <c r="EY656" s="1475"/>
      <c r="EZ656" s="1475"/>
      <c r="FA656" s="1475"/>
    </row>
    <row r="657" spans="1:157" ht="12.95" customHeight="1">
      <c r="A657" s="22"/>
      <c r="B657" t="s">
        <v>20</v>
      </c>
      <c r="N657" s="1403" t="s">
        <v>554</v>
      </c>
      <c r="O657" s="1403"/>
      <c r="T657" s="22"/>
      <c r="U657" t="s">
        <v>20</v>
      </c>
      <c r="AG657" s="1403" t="s">
        <v>554</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75">
        <f>SUM(CS655:DV655)</f>
        <v>0</v>
      </c>
      <c r="DS657" s="1475"/>
      <c r="DT657" s="1475"/>
      <c r="DU657" s="1475"/>
      <c r="DV657" s="1475"/>
      <c r="DX657" s="1475" t="e">
        <f t="shared" si="29"/>
        <v>#VALUE!</v>
      </c>
      <c r="DY657" s="1475"/>
      <c r="DZ657" s="1475"/>
      <c r="EA657" s="1475"/>
      <c r="EB657" s="1475"/>
      <c r="EC657" s="1475" t="e">
        <f t="shared" si="24"/>
        <v>#VALUE!</v>
      </c>
      <c r="ED657" s="1475"/>
      <c r="EE657" s="1475"/>
      <c r="EF657" s="1475"/>
      <c r="EG657" s="1475"/>
      <c r="EH657" s="1475" t="e">
        <f t="shared" si="25"/>
        <v>#VALUE!</v>
      </c>
      <c r="EI657" s="1475"/>
      <c r="EJ657" s="1475"/>
      <c r="EK657" s="1475"/>
      <c r="EL657" s="1475"/>
      <c r="EM657" s="1475" t="e">
        <f t="shared" si="26"/>
        <v>#VALUE!</v>
      </c>
      <c r="EN657" s="1475"/>
      <c r="EO657" s="1475"/>
      <c r="EP657" s="1475"/>
      <c r="EQ657" s="1475"/>
      <c r="ER657" s="1475" t="e">
        <f t="shared" si="27"/>
        <v>#VALUE!</v>
      </c>
      <c r="ES657" s="1475"/>
      <c r="ET657" s="1475"/>
      <c r="EU657" s="1475"/>
      <c r="EV657" s="1475"/>
      <c r="EW657" s="1475" t="e">
        <f t="shared" si="28"/>
        <v>#VALUE!</v>
      </c>
      <c r="EX657" s="1475"/>
      <c r="EY657" s="1475"/>
      <c r="EZ657" s="1475"/>
      <c r="FA657" s="147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75" t="e">
        <f t="shared" ref="DX658:DX667" si="42">DX620*(BN620/$BN$632)</f>
        <v>#VALUE!</v>
      </c>
      <c r="DY658" s="1475"/>
      <c r="DZ658" s="1475"/>
      <c r="EA658" s="1475"/>
      <c r="EB658" s="1475"/>
      <c r="EC658" s="1475" t="e">
        <f t="shared" ref="EC658:EC667" si="43">EC620*(BS620/$BS$632)</f>
        <v>#VALUE!</v>
      </c>
      <c r="ED658" s="1475"/>
      <c r="EE658" s="1475"/>
      <c r="EF658" s="1475"/>
      <c r="EG658" s="1475"/>
      <c r="EH658" s="1475" t="e">
        <f t="shared" ref="EH658:EH667" si="44">EH620*(BX620/$BX$632)</f>
        <v>#VALUE!</v>
      </c>
      <c r="EI658" s="1475"/>
      <c r="EJ658" s="1475"/>
      <c r="EK658" s="1475"/>
      <c r="EL658" s="1475"/>
      <c r="EM658" s="1475" t="e">
        <f t="shared" ref="EM658:EM667" si="45">EM620*(CC620/$CC$632)</f>
        <v>#VALUE!</v>
      </c>
      <c r="EN658" s="1475"/>
      <c r="EO658" s="1475"/>
      <c r="EP658" s="1475"/>
      <c r="EQ658" s="1475"/>
      <c r="ER658" s="1475" t="e">
        <f t="shared" ref="ER658:ER667" si="46">ER620*(CH620/$CH$632)</f>
        <v>#VALUE!</v>
      </c>
      <c r="ES658" s="1475"/>
      <c r="ET658" s="1475"/>
      <c r="EU658" s="1475"/>
      <c r="EV658" s="1475"/>
      <c r="EW658" s="1475" t="e">
        <f t="shared" ref="EW658:EW667" si="47">EW620*(CM620/$CM$632)</f>
        <v>#VALUE!</v>
      </c>
      <c r="EX658" s="1475"/>
      <c r="EY658" s="1475"/>
      <c r="EZ658" s="1475"/>
      <c r="FA658" s="1475"/>
    </row>
    <row r="659" spans="1:157" ht="12.95" customHeight="1">
      <c r="A659" s="55" t="s">
        <v>773</v>
      </c>
      <c r="B659" t="s">
        <v>472</v>
      </c>
      <c r="G659" s="1449" t="str">
        <f>C631</f>
        <v>Deferred Developer Fee</v>
      </c>
      <c r="H659" s="1449"/>
      <c r="I659" s="1449"/>
      <c r="J659" s="1449"/>
      <c r="K659" s="1449"/>
      <c r="L659" s="1449"/>
      <c r="M659" s="1449"/>
      <c r="N659" s="1449"/>
      <c r="O659" s="1449"/>
      <c r="P659" s="1449"/>
      <c r="Q659" s="1449"/>
      <c r="R659" s="1449"/>
      <c r="T659" s="55" t="s">
        <v>593</v>
      </c>
      <c r="U659" t="s">
        <v>472</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2"/>
        <v>#VALUE!</v>
      </c>
      <c r="DY659" s="1475"/>
      <c r="DZ659" s="1475"/>
      <c r="EA659" s="1475"/>
      <c r="EB659" s="1475"/>
      <c r="EC659" s="1475" t="e">
        <f t="shared" si="43"/>
        <v>#VALUE!</v>
      </c>
      <c r="ED659" s="1475"/>
      <c r="EE659" s="1475"/>
      <c r="EF659" s="1475"/>
      <c r="EG659" s="1475"/>
      <c r="EH659" s="1475" t="e">
        <f t="shared" si="44"/>
        <v>#VALUE!</v>
      </c>
      <c r="EI659" s="1475"/>
      <c r="EJ659" s="1475"/>
      <c r="EK659" s="1475"/>
      <c r="EL659" s="1475"/>
      <c r="EM659" s="1475" t="e">
        <f t="shared" si="45"/>
        <v>#VALUE!</v>
      </c>
      <c r="EN659" s="1475"/>
      <c r="EO659" s="1475"/>
      <c r="EP659" s="1475"/>
      <c r="EQ659" s="1475"/>
      <c r="ER659" s="1475" t="e">
        <f t="shared" si="46"/>
        <v>#VALUE!</v>
      </c>
      <c r="ES659" s="1475"/>
      <c r="ET659" s="1475"/>
      <c r="EU659" s="1475"/>
      <c r="EV659" s="1475"/>
      <c r="EW659" s="1475" t="e">
        <f t="shared" si="47"/>
        <v>#VALUE!</v>
      </c>
      <c r="EX659" s="1475"/>
      <c r="EY659" s="1475"/>
      <c r="EZ659" s="1475"/>
      <c r="FA659" s="1475"/>
    </row>
    <row r="660" spans="1:157" ht="12.95" customHeight="1">
      <c r="A660" s="22"/>
      <c r="B660" t="s">
        <v>85</v>
      </c>
      <c r="G660" s="1404" t="s">
        <v>2642</v>
      </c>
      <c r="H660" s="1404"/>
      <c r="I660" s="1404"/>
      <c r="J660" s="1404"/>
      <c r="K660" s="1404"/>
      <c r="L660" s="1404"/>
      <c r="M660" s="1404"/>
      <c r="N660" s="1404"/>
      <c r="O660" s="1404"/>
      <c r="P660" s="1404"/>
      <c r="Q660" s="1404"/>
      <c r="R660" s="1404"/>
      <c r="T660" s="22"/>
      <c r="U660" t="s">
        <v>85</v>
      </c>
      <c r="Z660" s="1445"/>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8">
        <f>BN632+BN641+BN655</f>
        <v>29</v>
      </c>
      <c r="BO660" s="1479"/>
      <c r="BP660" s="1479"/>
      <c r="BQ660" s="1479"/>
      <c r="BR660" s="1480"/>
      <c r="BS660" s="1478">
        <f>BS632+BS641+BS655</f>
        <v>5</v>
      </c>
      <c r="BT660" s="1479"/>
      <c r="BU660" s="1479"/>
      <c r="BV660" s="1479"/>
      <c r="BW660" s="1480"/>
      <c r="BX660" s="1478">
        <f>BX632+BX641+BX655</f>
        <v>1</v>
      </c>
      <c r="BY660" s="1479"/>
      <c r="BZ660" s="1479"/>
      <c r="CA660" s="1479"/>
      <c r="CB660" s="1480"/>
      <c r="CC660" s="1478">
        <f>CC632+CC641+CC655</f>
        <v>0</v>
      </c>
      <c r="CD660" s="1479"/>
      <c r="CE660" s="1479"/>
      <c r="CF660" s="1479"/>
      <c r="CG660" s="1480"/>
      <c r="CH660" s="1478">
        <f>CH632+CH641+CH655</f>
        <v>0</v>
      </c>
      <c r="CI660" s="1479"/>
      <c r="CJ660" s="1479"/>
      <c r="CK660" s="1479"/>
      <c r="CL660" s="1480"/>
      <c r="CM660" s="1481">
        <f>CM655+CM641+CM632</f>
        <v>0</v>
      </c>
      <c r="CN660" s="1482"/>
      <c r="CO660" s="1482"/>
      <c r="CP660" s="1482"/>
      <c r="CQ660" s="1483"/>
      <c r="CR660" s="3"/>
      <c r="CS660" s="895">
        <f>CS634+CS658</f>
        <v>34</v>
      </c>
      <c r="CT660" s="57" t="s">
        <v>2056</v>
      </c>
      <c r="CU660" s="3"/>
      <c r="CV660" s="3"/>
      <c r="CW660" s="3"/>
      <c r="CX660" s="3"/>
      <c r="CY660" s="3"/>
      <c r="CZ660" s="3"/>
      <c r="DA660" s="3"/>
      <c r="DB660" s="3"/>
      <c r="DC660" s="3"/>
      <c r="DD660" s="3"/>
      <c r="DE660" s="3"/>
      <c r="DF660" s="3"/>
      <c r="DX660" s="1475" t="e">
        <f t="shared" si="42"/>
        <v>#VALUE!</v>
      </c>
      <c r="DY660" s="1475"/>
      <c r="DZ660" s="1475"/>
      <c r="EA660" s="1475"/>
      <c r="EB660" s="1475"/>
      <c r="EC660" s="1475" t="e">
        <f t="shared" si="43"/>
        <v>#VALUE!</v>
      </c>
      <c r="ED660" s="1475"/>
      <c r="EE660" s="1475"/>
      <c r="EF660" s="1475"/>
      <c r="EG660" s="1475"/>
      <c r="EH660" s="1475" t="e">
        <f t="shared" si="44"/>
        <v>#VALUE!</v>
      </c>
      <c r="EI660" s="1475"/>
      <c r="EJ660" s="1475"/>
      <c r="EK660" s="1475"/>
      <c r="EL660" s="1475"/>
      <c r="EM660" s="1475" t="e">
        <f t="shared" si="45"/>
        <v>#VALUE!</v>
      </c>
      <c r="EN660" s="1475"/>
      <c r="EO660" s="1475"/>
      <c r="EP660" s="1475"/>
      <c r="EQ660" s="1475"/>
      <c r="ER660" s="1475" t="e">
        <f t="shared" si="46"/>
        <v>#VALUE!</v>
      </c>
      <c r="ES660" s="1475"/>
      <c r="ET660" s="1475"/>
      <c r="EU660" s="1475"/>
      <c r="EV660" s="1475"/>
      <c r="EW660" s="1475" t="e">
        <f t="shared" si="47"/>
        <v>#VALUE!</v>
      </c>
      <c r="EX660" s="1475"/>
      <c r="EY660" s="1475"/>
      <c r="EZ660" s="1475"/>
      <c r="FA660" s="1475"/>
    </row>
    <row r="661" spans="1:157" ht="12.95" customHeight="1">
      <c r="A661" s="22"/>
      <c r="B661" t="s">
        <v>589</v>
      </c>
      <c r="G661" s="1404" t="s">
        <v>2656</v>
      </c>
      <c r="H661" s="1404"/>
      <c r="I661" s="1404"/>
      <c r="J661" s="1404"/>
      <c r="K661" s="1404"/>
      <c r="L661" s="1404"/>
      <c r="M661" s="1404"/>
      <c r="N661" s="1404"/>
      <c r="O661" s="1404"/>
      <c r="P661" s="1404"/>
      <c r="Q661" s="1404"/>
      <c r="R661" s="1404"/>
      <c r="T661" s="22"/>
      <c r="U661" t="s">
        <v>589</v>
      </c>
      <c r="Z661" s="1489"/>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2"/>
        <v>#VALUE!</v>
      </c>
      <c r="DY661" s="1475"/>
      <c r="DZ661" s="1475"/>
      <c r="EA661" s="1475"/>
      <c r="EB661" s="1475"/>
      <c r="EC661" s="1475" t="e">
        <f t="shared" si="43"/>
        <v>#VALUE!</v>
      </c>
      <c r="ED661" s="1475"/>
      <c r="EE661" s="1475"/>
      <c r="EF661" s="1475"/>
      <c r="EG661" s="1475"/>
      <c r="EH661" s="1475" t="e">
        <f t="shared" si="44"/>
        <v>#VALUE!</v>
      </c>
      <c r="EI661" s="1475"/>
      <c r="EJ661" s="1475"/>
      <c r="EK661" s="1475"/>
      <c r="EL661" s="1475"/>
      <c r="EM661" s="1475" t="e">
        <f t="shared" si="45"/>
        <v>#VALUE!</v>
      </c>
      <c r="EN661" s="1475"/>
      <c r="EO661" s="1475"/>
      <c r="EP661" s="1475"/>
      <c r="EQ661" s="1475"/>
      <c r="ER661" s="1475" t="e">
        <f t="shared" si="46"/>
        <v>#VALUE!</v>
      </c>
      <c r="ES661" s="1475"/>
      <c r="ET661" s="1475"/>
      <c r="EU661" s="1475"/>
      <c r="EV661" s="1475"/>
      <c r="EW661" s="1475" t="e">
        <f t="shared" si="47"/>
        <v>#VALUE!</v>
      </c>
      <c r="EX661" s="1475"/>
      <c r="EY661" s="1475"/>
      <c r="EZ661" s="1475"/>
      <c r="FA661" s="1475"/>
    </row>
    <row r="662" spans="1:157" ht="12.95" customHeight="1">
      <c r="A662" s="22"/>
      <c r="B662" t="s">
        <v>17</v>
      </c>
      <c r="G662" s="1404" t="s">
        <v>2726</v>
      </c>
      <c r="H662" s="1404"/>
      <c r="I662" s="1404"/>
      <c r="J662" s="1404"/>
      <c r="K662" s="1404"/>
      <c r="L662" s="1404"/>
      <c r="M662" s="1404"/>
      <c r="N662" s="1404"/>
      <c r="O662" s="1404"/>
      <c r="P662" s="1404"/>
      <c r="Q662" s="1404"/>
      <c r="R662" s="1404"/>
      <c r="T662" s="22"/>
      <c r="U662" t="s">
        <v>17</v>
      </c>
      <c r="Z662" s="1489"/>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2"/>
        <v>#VALUE!</v>
      </c>
      <c r="DY662" s="1475"/>
      <c r="DZ662" s="1475"/>
      <c r="EA662" s="1475"/>
      <c r="EB662" s="1475"/>
      <c r="EC662" s="1475" t="e">
        <f t="shared" si="43"/>
        <v>#VALUE!</v>
      </c>
      <c r="ED662" s="1475"/>
      <c r="EE662" s="1475"/>
      <c r="EF662" s="1475"/>
      <c r="EG662" s="1475"/>
      <c r="EH662" s="1475" t="e">
        <f t="shared" si="44"/>
        <v>#VALUE!</v>
      </c>
      <c r="EI662" s="1475"/>
      <c r="EJ662" s="1475"/>
      <c r="EK662" s="1475"/>
      <c r="EL662" s="1475"/>
      <c r="EM662" s="1475" t="e">
        <f t="shared" si="45"/>
        <v>#VALUE!</v>
      </c>
      <c r="EN662" s="1475"/>
      <c r="EO662" s="1475"/>
      <c r="EP662" s="1475"/>
      <c r="EQ662" s="1475"/>
      <c r="ER662" s="1475" t="e">
        <f t="shared" si="46"/>
        <v>#VALUE!</v>
      </c>
      <c r="ES662" s="1475"/>
      <c r="ET662" s="1475"/>
      <c r="EU662" s="1475"/>
      <c r="EV662" s="1475"/>
      <c r="EW662" s="1475" t="e">
        <f t="shared" si="47"/>
        <v>#VALUE!</v>
      </c>
      <c r="EX662" s="1475"/>
      <c r="EY662" s="1475"/>
      <c r="EZ662" s="1475"/>
      <c r="FA662" s="1475"/>
    </row>
    <row r="663" spans="1:157" ht="12.95" customHeight="1">
      <c r="A663" s="22"/>
      <c r="B663" t="s">
        <v>317</v>
      </c>
      <c r="G663" s="1686" t="s">
        <v>2650</v>
      </c>
      <c r="H663" s="1464"/>
      <c r="I663" s="1464"/>
      <c r="J663" s="1464"/>
      <c r="K663" s="1464"/>
      <c r="L663" s="1464"/>
      <c r="O663" s="33" t="s">
        <v>207</v>
      </c>
      <c r="P663" s="1488"/>
      <c r="Q663" s="1488"/>
      <c r="R663" s="1488"/>
      <c r="T663" s="22"/>
      <c r="U663" t="s">
        <v>317</v>
      </c>
      <c r="Z663" s="1464"/>
      <c r="AA663" s="1464"/>
      <c r="AB663" s="1464"/>
      <c r="AC663" s="1464"/>
      <c r="AD663" s="1464"/>
      <c r="AE663" s="1464"/>
      <c r="AH663" s="33" t="s">
        <v>207</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2"/>
        <v>#VALUE!</v>
      </c>
      <c r="DY663" s="1475"/>
      <c r="DZ663" s="1475"/>
      <c r="EA663" s="1475"/>
      <c r="EB663" s="1475"/>
      <c r="EC663" s="1475" t="e">
        <f t="shared" si="43"/>
        <v>#VALUE!</v>
      </c>
      <c r="ED663" s="1475"/>
      <c r="EE663" s="1475"/>
      <c r="EF663" s="1475"/>
      <c r="EG663" s="1475"/>
      <c r="EH663" s="1475" t="e">
        <f t="shared" si="44"/>
        <v>#VALUE!</v>
      </c>
      <c r="EI663" s="1475"/>
      <c r="EJ663" s="1475"/>
      <c r="EK663" s="1475"/>
      <c r="EL663" s="1475"/>
      <c r="EM663" s="1475" t="e">
        <f t="shared" si="45"/>
        <v>#VALUE!</v>
      </c>
      <c r="EN663" s="1475"/>
      <c r="EO663" s="1475"/>
      <c r="EP663" s="1475"/>
      <c r="EQ663" s="1475"/>
      <c r="ER663" s="1475" t="e">
        <f t="shared" si="46"/>
        <v>#VALUE!</v>
      </c>
      <c r="ES663" s="1475"/>
      <c r="ET663" s="1475"/>
      <c r="EU663" s="1475"/>
      <c r="EV663" s="1475"/>
      <c r="EW663" s="1475" t="e">
        <f t="shared" si="47"/>
        <v>#VALUE!</v>
      </c>
      <c r="EX663" s="1475"/>
      <c r="EY663" s="1475"/>
      <c r="EZ663" s="1475"/>
      <c r="FA663" s="1475"/>
    </row>
    <row r="664" spans="1:157" ht="12.95" customHeight="1">
      <c r="A664" s="22"/>
      <c r="B664" t="s">
        <v>18</v>
      </c>
      <c r="H664" s="1404" t="s">
        <v>1852</v>
      </c>
      <c r="I664" s="1404"/>
      <c r="J664" s="1404"/>
      <c r="K664" s="1404"/>
      <c r="L664" s="1404"/>
      <c r="M664" s="1404"/>
      <c r="N664" s="1404"/>
      <c r="O664" s="1404"/>
      <c r="P664" s="1404"/>
      <c r="Q664" s="1404"/>
      <c r="R664" s="1404"/>
      <c r="T664" s="22"/>
      <c r="U664" t="s">
        <v>18</v>
      </c>
      <c r="AA664" s="1404"/>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2"/>
        <v>#VALUE!</v>
      </c>
      <c r="DY664" s="1475"/>
      <c r="DZ664" s="1475"/>
      <c r="EA664" s="1475"/>
      <c r="EB664" s="1475"/>
      <c r="EC664" s="1475" t="e">
        <f t="shared" si="43"/>
        <v>#VALUE!</v>
      </c>
      <c r="ED664" s="1475"/>
      <c r="EE664" s="1475"/>
      <c r="EF664" s="1475"/>
      <c r="EG664" s="1475"/>
      <c r="EH664" s="1475" t="e">
        <f t="shared" si="44"/>
        <v>#VALUE!</v>
      </c>
      <c r="EI664" s="1475"/>
      <c r="EJ664" s="1475"/>
      <c r="EK664" s="1475"/>
      <c r="EL664" s="1475"/>
      <c r="EM664" s="1475" t="e">
        <f t="shared" si="45"/>
        <v>#VALUE!</v>
      </c>
      <c r="EN664" s="1475"/>
      <c r="EO664" s="1475"/>
      <c r="EP664" s="1475"/>
      <c r="EQ664" s="1475"/>
      <c r="ER664" s="1475" t="e">
        <f t="shared" si="46"/>
        <v>#VALUE!</v>
      </c>
      <c r="ES664" s="1475"/>
      <c r="ET664" s="1475"/>
      <c r="EU664" s="1475"/>
      <c r="EV664" s="1475"/>
      <c r="EW664" s="1475" t="e">
        <f t="shared" si="47"/>
        <v>#VALUE!</v>
      </c>
      <c r="EX664" s="1475"/>
      <c r="EY664" s="1475"/>
      <c r="EZ664" s="1475"/>
      <c r="FA664" s="1475"/>
    </row>
    <row r="665" spans="1:157" ht="12.95" customHeight="1">
      <c r="A665" s="22"/>
      <c r="B665" t="s">
        <v>20</v>
      </c>
      <c r="N665" s="1403" t="s">
        <v>554</v>
      </c>
      <c r="O665" s="1403"/>
      <c r="T665" s="22"/>
      <c r="U665" t="s">
        <v>20</v>
      </c>
      <c r="AG665" s="1403" t="s">
        <v>678</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2"/>
        <v>#VALUE!</v>
      </c>
      <c r="DY665" s="1475"/>
      <c r="DZ665" s="1475"/>
      <c r="EA665" s="1475"/>
      <c r="EB665" s="1475"/>
      <c r="EC665" s="1475" t="e">
        <f t="shared" si="43"/>
        <v>#VALUE!</v>
      </c>
      <c r="ED665" s="1475"/>
      <c r="EE665" s="1475"/>
      <c r="EF665" s="1475"/>
      <c r="EG665" s="1475"/>
      <c r="EH665" s="1475" t="e">
        <f t="shared" si="44"/>
        <v>#VALUE!</v>
      </c>
      <c r="EI665" s="1475"/>
      <c r="EJ665" s="1475"/>
      <c r="EK665" s="1475"/>
      <c r="EL665" s="1475"/>
      <c r="EM665" s="1475" t="e">
        <f t="shared" si="45"/>
        <v>#VALUE!</v>
      </c>
      <c r="EN665" s="1475"/>
      <c r="EO665" s="1475"/>
      <c r="EP665" s="1475"/>
      <c r="EQ665" s="1475"/>
      <c r="ER665" s="1475" t="e">
        <f t="shared" si="46"/>
        <v>#VALUE!</v>
      </c>
      <c r="ES665" s="1475"/>
      <c r="ET665" s="1475"/>
      <c r="EU665" s="1475"/>
      <c r="EV665" s="1475"/>
      <c r="EW665" s="1475" t="e">
        <f t="shared" si="47"/>
        <v>#VALUE!</v>
      </c>
      <c r="EX665" s="1475"/>
      <c r="EY665" s="1475"/>
      <c r="EZ665" s="1475"/>
      <c r="FA665" s="1475"/>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2"/>
        <v>#VALUE!</v>
      </c>
      <c r="DY666" s="1475"/>
      <c r="DZ666" s="1475"/>
      <c r="EA666" s="1475"/>
      <c r="EB666" s="1475"/>
      <c r="EC666" s="1475" t="e">
        <f t="shared" si="43"/>
        <v>#VALUE!</v>
      </c>
      <c r="ED666" s="1475"/>
      <c r="EE666" s="1475"/>
      <c r="EF666" s="1475"/>
      <c r="EG666" s="1475"/>
      <c r="EH666" s="1475" t="e">
        <f t="shared" si="44"/>
        <v>#VALUE!</v>
      </c>
      <c r="EI666" s="1475"/>
      <c r="EJ666" s="1475"/>
      <c r="EK666" s="1475"/>
      <c r="EL666" s="1475"/>
      <c r="EM666" s="1475" t="e">
        <f t="shared" si="45"/>
        <v>#VALUE!</v>
      </c>
      <c r="EN666" s="1475"/>
      <c r="EO666" s="1475"/>
      <c r="EP666" s="1475"/>
      <c r="EQ666" s="1475"/>
      <c r="ER666" s="1475" t="e">
        <f t="shared" si="46"/>
        <v>#VALUE!</v>
      </c>
      <c r="ES666" s="1475"/>
      <c r="ET666" s="1475"/>
      <c r="EU666" s="1475"/>
      <c r="EV666" s="1475"/>
      <c r="EW666" s="1475" t="e">
        <f t="shared" si="47"/>
        <v>#VALUE!</v>
      </c>
      <c r="EX666" s="1475"/>
      <c r="EY666" s="1475"/>
      <c r="EZ666" s="1475"/>
      <c r="FA666" s="1475"/>
    </row>
    <row r="667" spans="1:157" ht="12.95" customHeight="1">
      <c r="A667" s="55" t="s">
        <v>464</v>
      </c>
      <c r="B667" t="s">
        <v>472</v>
      </c>
      <c r="G667" s="1449">
        <f>C633</f>
        <v>0</v>
      </c>
      <c r="H667" s="1449"/>
      <c r="I667" s="1449"/>
      <c r="J667" s="1449"/>
      <c r="K667" s="1449"/>
      <c r="L667" s="1449"/>
      <c r="M667" s="1449"/>
      <c r="N667" s="1449"/>
      <c r="O667" s="1449"/>
      <c r="P667" s="1449"/>
      <c r="Q667" s="1449"/>
      <c r="R667" s="1449"/>
      <c r="T667" s="55" t="s">
        <v>465</v>
      </c>
      <c r="U667" t="s">
        <v>472</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2590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2"/>
        <v>#VALUE!</v>
      </c>
      <c r="DY667" s="1475"/>
      <c r="DZ667" s="1475"/>
      <c r="EA667" s="1475"/>
      <c r="EB667" s="1475"/>
      <c r="EC667" s="1475" t="e">
        <f t="shared" si="43"/>
        <v>#VALUE!</v>
      </c>
      <c r="ED667" s="1475"/>
      <c r="EE667" s="1475"/>
      <c r="EF667" s="1475"/>
      <c r="EG667" s="1475"/>
      <c r="EH667" s="1475" t="e">
        <f t="shared" si="44"/>
        <v>#VALUE!</v>
      </c>
      <c r="EI667" s="1475"/>
      <c r="EJ667" s="1475"/>
      <c r="EK667" s="1475"/>
      <c r="EL667" s="1475"/>
      <c r="EM667" s="1475" t="e">
        <f t="shared" si="45"/>
        <v>#VALUE!</v>
      </c>
      <c r="EN667" s="1475"/>
      <c r="EO667" s="1475"/>
      <c r="EP667" s="1475"/>
      <c r="EQ667" s="1475"/>
      <c r="ER667" s="1475" t="e">
        <f t="shared" si="46"/>
        <v>#VALUE!</v>
      </c>
      <c r="ES667" s="1475"/>
      <c r="ET667" s="1475"/>
      <c r="EU667" s="1475"/>
      <c r="EV667" s="1475"/>
      <c r="EW667" s="1475" t="e">
        <f t="shared" si="47"/>
        <v>#VALUE!</v>
      </c>
      <c r="EX667" s="1475"/>
      <c r="EY667" s="1475"/>
      <c r="EZ667" s="1475"/>
      <c r="FA667" s="1475"/>
    </row>
    <row r="668" spans="1:157" ht="12.9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2590</v>
      </c>
      <c r="BB668" s="3"/>
      <c r="BC668" s="3"/>
      <c r="BD668" s="3"/>
      <c r="BE668" s="3"/>
      <c r="BF668" s="218"/>
      <c r="BG668" s="315">
        <f t="shared" ref="BG668:BG700" si="49">G718</f>
        <v>15</v>
      </c>
      <c r="BH668" s="319">
        <f t="shared" ref="BH668:BH702" si="50">IF($BG$703=0,0,BG668/$BG$703)</f>
        <v>0.44117647058823528</v>
      </c>
      <c r="BI668" s="320">
        <f t="shared" ref="BI668:BI691" si="51">IF(BH668=0,"",BH668*AC718)</f>
        <v>6.6176470588235295E-2</v>
      </c>
      <c r="BJ668" s="3"/>
      <c r="BK668" s="3"/>
      <c r="BL668" s="3"/>
      <c r="BM668" s="3"/>
      <c r="BN668" s="3"/>
      <c r="BO668" s="3"/>
      <c r="BT668" s="315">
        <f t="shared" ref="BT668:BT700" si="52">G718</f>
        <v>15</v>
      </c>
      <c r="BU668" s="319">
        <f t="shared" ref="BU668:BU702" si="53">IF($BT$703=0,0,BT668/$BT$703)</f>
        <v>0.44117647058823528</v>
      </c>
      <c r="BV668" s="320">
        <f t="shared" ref="BV668:BV700" si="54">IF(BU668=0,"",BU668*AH718)</f>
        <v>6.6261639791051555E-2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2.95" customHeight="1">
      <c r="A669" s="22"/>
      <c r="B669" t="s">
        <v>589</v>
      </c>
      <c r="G669" s="1404"/>
      <c r="H669" s="1404"/>
      <c r="I669" s="1404"/>
      <c r="J669" s="1404"/>
      <c r="K669" s="1404"/>
      <c r="L669" s="1404"/>
      <c r="M669" s="1404"/>
      <c r="N669" s="1404"/>
      <c r="O669" s="1404"/>
      <c r="P669" s="1404"/>
      <c r="Q669" s="1404"/>
      <c r="R669" s="1404"/>
      <c r="T669" s="22"/>
      <c r="U669" t="s">
        <v>589</v>
      </c>
      <c r="Z669" s="1405"/>
      <c r="AA669" s="1405"/>
      <c r="AB669" s="1405"/>
      <c r="AC669" s="1405"/>
      <c r="AD669" s="1405"/>
      <c r="AE669" s="1405"/>
      <c r="AF669" s="1405"/>
      <c r="AG669" s="1405"/>
      <c r="AH669" s="1405"/>
      <c r="AI669" s="1405"/>
      <c r="AJ669" s="1405"/>
      <c r="AK669" s="1405"/>
      <c r="AZ669" s="3"/>
      <c r="BA669" s="118">
        <f t="shared" si="48"/>
        <v>2590</v>
      </c>
      <c r="BB669" s="3"/>
      <c r="BC669" s="3"/>
      <c r="BD669" s="3"/>
      <c r="BE669" s="3"/>
      <c r="BF669" s="218"/>
      <c r="BG669" s="316">
        <f t="shared" si="49"/>
        <v>12</v>
      </c>
      <c r="BH669" s="319">
        <f t="shared" si="50"/>
        <v>0.35294117647058826</v>
      </c>
      <c r="BI669" s="320">
        <f t="shared" si="51"/>
        <v>0.10588235294117647</v>
      </c>
      <c r="BJ669" s="3"/>
      <c r="BK669" s="3"/>
      <c r="BL669" s="3"/>
      <c r="BM669" s="3"/>
      <c r="BN669" s="3"/>
      <c r="BO669" s="3"/>
      <c r="BT669" s="316">
        <f t="shared" si="52"/>
        <v>12</v>
      </c>
      <c r="BU669" s="319">
        <f t="shared" si="53"/>
        <v>0.35294117647058826</v>
      </c>
      <c r="BV669" s="320">
        <f t="shared" si="54"/>
        <v>0.10588235294117647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2.95"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2774</v>
      </c>
      <c r="BB670" s="3"/>
      <c r="BC670" s="3"/>
      <c r="BD670" s="3"/>
      <c r="BE670" s="3"/>
      <c r="BF670" s="218"/>
      <c r="BG670" s="316">
        <f t="shared" si="49"/>
        <v>2</v>
      </c>
      <c r="BH670" s="319">
        <f t="shared" si="50"/>
        <v>5.8823529411764705E-2</v>
      </c>
      <c r="BI670" s="320">
        <f t="shared" si="51"/>
        <v>3.5294117647058823E-2</v>
      </c>
      <c r="BJ670" s="3"/>
      <c r="BK670" s="3"/>
      <c r="BL670" s="3"/>
      <c r="BM670" s="3"/>
      <c r="BN670" s="3"/>
      <c r="BO670" s="3"/>
      <c r="BT670" s="316">
        <f t="shared" si="52"/>
        <v>2</v>
      </c>
      <c r="BU670" s="319">
        <f t="shared" si="53"/>
        <v>5.8823529411764705E-2</v>
      </c>
      <c r="BV670" s="320">
        <f t="shared" si="54"/>
        <v>3.5294117647058823E-2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629.89655172413802</v>
      </c>
      <c r="DY670" s="1475"/>
      <c r="DZ670" s="1475"/>
      <c r="EA670" s="1475"/>
      <c r="EB670" s="1475"/>
      <c r="EC670" s="1475">
        <f>SUMIF(EC635:EG669,"&gt;0")</f>
        <v>998.59999999999991</v>
      </c>
      <c r="ED670" s="1475"/>
      <c r="EE670" s="1475"/>
      <c r="EF670" s="1475"/>
      <c r="EG670" s="1475"/>
      <c r="EH670" s="1475">
        <f>SUMIF(EH635:EL669,"&gt;0")</f>
        <v>0</v>
      </c>
      <c r="EI670" s="1475"/>
      <c r="EJ670" s="1475"/>
      <c r="EK670" s="1475"/>
      <c r="EL670" s="1475"/>
      <c r="EM670" s="1475">
        <f>SUMIF(EM635:EQ669,"&gt;0")</f>
        <v>0</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2.95" customHeight="1">
      <c r="A671" s="22"/>
      <c r="B671" t="s">
        <v>317</v>
      </c>
      <c r="G671" s="1464"/>
      <c r="H671" s="1464"/>
      <c r="I671" s="1464"/>
      <c r="J671" s="1464"/>
      <c r="K671" s="1464"/>
      <c r="L671" s="1464"/>
      <c r="O671" s="33" t="s">
        <v>207</v>
      </c>
      <c r="P671" s="1488"/>
      <c r="Q671" s="1488"/>
      <c r="R671" s="1488"/>
      <c r="T671" s="22"/>
      <c r="U671" t="s">
        <v>317</v>
      </c>
      <c r="Z671" s="1464"/>
      <c r="AA671" s="1464"/>
      <c r="AB671" s="1464"/>
      <c r="AC671" s="1464"/>
      <c r="AD671" s="1464"/>
      <c r="AE671" s="1464"/>
      <c r="AH671" s="33" t="s">
        <v>207</v>
      </c>
      <c r="AI671" s="1488"/>
      <c r="AJ671" s="1488"/>
      <c r="AK671" s="1488"/>
      <c r="AZ671" s="3"/>
      <c r="BA671" s="118">
        <f t="shared" si="48"/>
        <v>2774</v>
      </c>
      <c r="BB671" s="3"/>
      <c r="BC671" s="3"/>
      <c r="BD671" s="3"/>
      <c r="BE671" s="3"/>
      <c r="BF671" s="218"/>
      <c r="BG671" s="316">
        <f t="shared" si="49"/>
        <v>2</v>
      </c>
      <c r="BH671" s="319">
        <f t="shared" si="50"/>
        <v>5.8823529411764705E-2</v>
      </c>
      <c r="BI671" s="320">
        <f t="shared" si="51"/>
        <v>8.8235294117647058E-3</v>
      </c>
      <c r="BJ671" s="3"/>
      <c r="BK671" s="3"/>
      <c r="BL671" s="3"/>
      <c r="BM671" s="3"/>
      <c r="BN671" s="3"/>
      <c r="BO671" s="3"/>
      <c r="BT671" s="316">
        <f t="shared" si="52"/>
        <v>2</v>
      </c>
      <c r="BU671" s="319">
        <f t="shared" si="53"/>
        <v>5.8823529411764705E-2</v>
      </c>
      <c r="BV671" s="320">
        <f t="shared" si="54"/>
        <v>8.8214088807837474E-3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t="str">
        <f t="shared" si="48"/>
        <v>N/A</v>
      </c>
      <c r="BB672" s="3"/>
      <c r="BC672" s="3"/>
      <c r="BD672" s="3"/>
      <c r="BE672" s="3"/>
      <c r="BF672" s="218"/>
      <c r="BG672" s="316">
        <f t="shared" si="49"/>
        <v>3</v>
      </c>
      <c r="BH672" s="319">
        <f t="shared" si="50"/>
        <v>8.8235294117647065E-2</v>
      </c>
      <c r="BI672" s="320">
        <f t="shared" si="51"/>
        <v>4.4117647058823532E-2</v>
      </c>
      <c r="BJ672" s="3"/>
      <c r="BK672" s="3"/>
      <c r="BL672" s="3"/>
      <c r="BM672" s="3"/>
      <c r="BN672" s="3"/>
      <c r="BO672" s="3"/>
      <c r="BT672" s="316">
        <f t="shared" si="52"/>
        <v>3</v>
      </c>
      <c r="BU672" s="319">
        <f t="shared" si="53"/>
        <v>8.8235294117647065E-2</v>
      </c>
      <c r="BV672" s="320">
        <f t="shared" si="54"/>
        <v>4.4117647058823532E-2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678</v>
      </c>
      <c r="O673" s="1403"/>
      <c r="T673" s="22"/>
      <c r="U673" t="s">
        <v>20</v>
      </c>
      <c r="AG673" s="1403" t="s">
        <v>678</v>
      </c>
      <c r="AH673" s="1403"/>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49">
        <f>C635</f>
        <v>0</v>
      </c>
      <c r="H675" s="1449"/>
      <c r="I675" s="1449"/>
      <c r="J675" s="1449"/>
      <c r="K675" s="1449"/>
      <c r="L675" s="1449"/>
      <c r="M675" s="1449"/>
      <c r="N675" s="1449"/>
      <c r="O675" s="1449"/>
      <c r="P675" s="1449"/>
      <c r="Q675" s="1449"/>
      <c r="R675" s="1449"/>
      <c r="T675" s="55" t="s">
        <v>655</v>
      </c>
      <c r="U675" t="s">
        <v>472</v>
      </c>
      <c r="Z675" s="1449">
        <f>C636</f>
        <v>0</v>
      </c>
      <c r="AA675" s="1449"/>
      <c r="AB675" s="1449"/>
      <c r="AC675" s="1449"/>
      <c r="AD675" s="1449"/>
      <c r="AE675" s="1449"/>
      <c r="AF675" s="1449"/>
      <c r="AG675" s="1449"/>
      <c r="AH675" s="1449"/>
      <c r="AI675" s="1449"/>
      <c r="AJ675" s="1449"/>
      <c r="AK675" s="144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04"/>
      <c r="H677" s="1404"/>
      <c r="I677" s="1404"/>
      <c r="J677" s="1404"/>
      <c r="K677" s="1404"/>
      <c r="L677" s="1404"/>
      <c r="M677" s="1404"/>
      <c r="N677" s="1404"/>
      <c r="O677" s="1404"/>
      <c r="P677" s="1404"/>
      <c r="Q677" s="1404"/>
      <c r="R677" s="1404"/>
      <c r="T677" s="22"/>
      <c r="U677" t="s">
        <v>589</v>
      </c>
      <c r="Z677" s="1405"/>
      <c r="AA677" s="1405"/>
      <c r="AB677" s="1405"/>
      <c r="AC677" s="1405"/>
      <c r="AD677" s="1405"/>
      <c r="AE677" s="1405"/>
      <c r="AF677" s="1405"/>
      <c r="AG677" s="1405"/>
      <c r="AH677" s="1405"/>
      <c r="AI677" s="1405"/>
      <c r="AJ677" s="1405"/>
      <c r="AK677" s="140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c r="H679" s="1464"/>
      <c r="I679" s="1464"/>
      <c r="J679" s="1464"/>
      <c r="K679" s="1464"/>
      <c r="L679" s="1464"/>
      <c r="O679" s="33" t="s">
        <v>207</v>
      </c>
      <c r="P679" s="1488"/>
      <c r="Q679" s="1488"/>
      <c r="R679" s="1488"/>
      <c r="T679" s="22"/>
      <c r="U679" t="s">
        <v>317</v>
      </c>
      <c r="Z679" s="1464"/>
      <c r="AA679" s="1464"/>
      <c r="AB679" s="1464"/>
      <c r="AC679" s="1464"/>
      <c r="AD679" s="1464"/>
      <c r="AE679" s="1464"/>
      <c r="AH679" s="33" t="s">
        <v>207</v>
      </c>
      <c r="AI679" s="1488"/>
      <c r="AJ679" s="1488"/>
      <c r="AK679" s="148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678</v>
      </c>
      <c r="O681" s="1403"/>
      <c r="T681" s="22"/>
      <c r="U681" t="s">
        <v>20</v>
      </c>
      <c r="AG681" s="1403" t="s">
        <v>678</v>
      </c>
      <c r="AH681" s="140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49">
        <f>C637</f>
        <v>0</v>
      </c>
      <c r="H683" s="1449"/>
      <c r="I683" s="1449"/>
      <c r="J683" s="1449"/>
      <c r="K683" s="1449"/>
      <c r="L683" s="1449"/>
      <c r="M683" s="1449"/>
      <c r="N683" s="1449"/>
      <c r="O683" s="1449"/>
      <c r="P683" s="1449"/>
      <c r="Q683" s="1449"/>
      <c r="R683" s="1449"/>
      <c r="T683" s="55" t="s">
        <v>364</v>
      </c>
      <c r="U683" t="s">
        <v>472</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04"/>
      <c r="H685" s="1404"/>
      <c r="I685" s="1404"/>
      <c r="J685" s="1404"/>
      <c r="K685" s="1404"/>
      <c r="L685" s="1404"/>
      <c r="M685" s="1404"/>
      <c r="N685" s="1404"/>
      <c r="O685" s="1404"/>
      <c r="P685" s="1404"/>
      <c r="Q685" s="1404"/>
      <c r="R685" s="1404"/>
      <c r="U685" t="s">
        <v>589</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88"/>
      <c r="Q687" s="1488"/>
      <c r="R687" s="1488"/>
      <c r="U687" t="s">
        <v>317</v>
      </c>
      <c r="Z687" s="1464"/>
      <c r="AA687" s="1464"/>
      <c r="AB687" s="1464"/>
      <c r="AC687" s="1464"/>
      <c r="AD687" s="1464"/>
      <c r="AE687" s="1464"/>
      <c r="AH687" s="33" t="s">
        <v>207</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678</v>
      </c>
      <c r="O689" s="1403"/>
      <c r="U689" t="s">
        <v>20</v>
      </c>
      <c r="AG689" s="1403" t="s">
        <v>678</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3" t="s">
        <v>554</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3" t="s">
        <v>554</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7">
        <v>45405</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873">
        <v>45511</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7">
        <v>45689</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2">
        <v>0.52500000000000002</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9" t="str">
        <f>H335</f>
        <v>Housing Authority of the County of Santa Barbara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3" t="s">
        <v>678</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915</v>
      </c>
      <c r="BG703" s="321">
        <f>SUM(BG668:BG702)</f>
        <v>34</v>
      </c>
      <c r="BH703" s="322">
        <f>SUM(BH668:BH702)</f>
        <v>1</v>
      </c>
      <c r="BI703" s="322">
        <f>SUM(BI668:BI702)</f>
        <v>0.26029411764705879</v>
      </c>
      <c r="BN703" s="3"/>
      <c r="BO703" s="3"/>
      <c r="BT703" s="893">
        <f>SUM(BT668:BT702)</f>
        <v>34</v>
      </c>
      <c r="BU703" s="322">
        <f>SUM(BU668:BU702)</f>
        <v>1</v>
      </c>
      <c r="BV703" s="322">
        <f>SUM(BV668:BV702)</f>
        <v>0.26037716631889413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4"/>
      <c r="K705" s="1464"/>
      <c r="L705" s="1464"/>
      <c r="M705" s="1464"/>
      <c r="N705" s="1464"/>
      <c r="O705" s="1464"/>
      <c r="P705" s="4" t="s">
        <v>207</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0" t="s">
        <v>390</v>
      </c>
      <c r="C714" s="1371"/>
      <c r="D714" s="1371"/>
      <c r="E714" s="1371"/>
      <c r="F714" s="1372"/>
      <c r="G714" s="1370" t="s">
        <v>286</v>
      </c>
      <c r="H714" s="1371"/>
      <c r="I714" s="1371"/>
      <c r="J714" s="1372"/>
      <c r="K714" s="1763" t="s">
        <v>1869</v>
      </c>
      <c r="L714" s="1764"/>
      <c r="M714" s="1764"/>
      <c r="N714" s="1765"/>
      <c r="O714" s="1370" t="s">
        <v>456</v>
      </c>
      <c r="P714" s="1371"/>
      <c r="Q714" s="1371"/>
      <c r="R714" s="1371"/>
      <c r="S714" s="1372"/>
      <c r="T714" s="1476" t="s">
        <v>2253</v>
      </c>
      <c r="U714" s="1371"/>
      <c r="V714" s="1371"/>
      <c r="W714" s="1372"/>
      <c r="X714" s="1476" t="s">
        <v>2255</v>
      </c>
      <c r="Y714" s="1371"/>
      <c r="Z714" s="1371"/>
      <c r="AA714" s="1371"/>
      <c r="AB714" s="1372"/>
      <c r="AC714" s="1476" t="s">
        <v>2254</v>
      </c>
      <c r="AD714" s="1371"/>
      <c r="AE714" s="1371"/>
      <c r="AF714" s="1371"/>
      <c r="AG714" s="1372"/>
      <c r="AH714" s="1476" t="s">
        <v>2256</v>
      </c>
      <c r="AI714" s="1371"/>
      <c r="AJ714" s="1372"/>
      <c r="AK714" s="1476" t="s">
        <v>2290</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766"/>
      <c r="L715" s="1767"/>
      <c r="M715" s="1767"/>
      <c r="N715" s="1768"/>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766"/>
      <c r="L716" s="1767"/>
      <c r="M716" s="1767"/>
      <c r="N716" s="1768"/>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766"/>
      <c r="L717" s="1767"/>
      <c r="M717" s="1767"/>
      <c r="N717" s="1768"/>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1" t="s">
        <v>325</v>
      </c>
      <c r="C718" s="1392"/>
      <c r="D718" s="1392"/>
      <c r="E718" s="1392"/>
      <c r="F718" s="1393"/>
      <c r="G718" s="1355">
        <v>15</v>
      </c>
      <c r="H718" s="1356"/>
      <c r="I718" s="1356"/>
      <c r="J718" s="1357"/>
      <c r="K718" s="1358">
        <v>340</v>
      </c>
      <c r="L718" s="1359"/>
      <c r="M718" s="1359"/>
      <c r="N718" s="1360"/>
      <c r="O718" s="1367">
        <v>389</v>
      </c>
      <c r="P718" s="1368"/>
      <c r="Q718" s="1368"/>
      <c r="R718" s="1368"/>
      <c r="S718" s="1369"/>
      <c r="T718" s="1367">
        <v>0</v>
      </c>
      <c r="U718" s="1368"/>
      <c r="V718" s="1368"/>
      <c r="W718" s="1369"/>
      <c r="X718" s="1387">
        <f t="shared" ref="X718:X741" si="59">O718+T718</f>
        <v>389</v>
      </c>
      <c r="Y718" s="1388"/>
      <c r="Z718" s="1388"/>
      <c r="AA718" s="1388"/>
      <c r="AB718" s="1389"/>
      <c r="AC718" s="1406">
        <v>0.15</v>
      </c>
      <c r="AD718" s="1407"/>
      <c r="AE718" s="1407"/>
      <c r="AF718" s="1407"/>
      <c r="AG718" s="1408"/>
      <c r="AH718" s="1398">
        <f t="shared" ref="AH718:AH751" si="60">IF($AC718&gt;0,($X718/$BA667), "")</f>
        <v>0.15019305019305018</v>
      </c>
      <c r="AI718" s="1399"/>
      <c r="AJ718" s="1400"/>
      <c r="AK718" s="1391" t="s">
        <v>1068</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1" t="s">
        <v>325</v>
      </c>
      <c r="C719" s="1392"/>
      <c r="D719" s="1392"/>
      <c r="E719" s="1392"/>
      <c r="F719" s="1393"/>
      <c r="G719" s="1355">
        <v>12</v>
      </c>
      <c r="H719" s="1356"/>
      <c r="I719" s="1356"/>
      <c r="J719" s="1357"/>
      <c r="K719" s="1358">
        <v>340</v>
      </c>
      <c r="L719" s="1359"/>
      <c r="M719" s="1359"/>
      <c r="N719" s="1360"/>
      <c r="O719" s="1367">
        <v>777</v>
      </c>
      <c r="P719" s="1368"/>
      <c r="Q719" s="1368"/>
      <c r="R719" s="1368"/>
      <c r="S719" s="1369"/>
      <c r="T719" s="1367">
        <v>0</v>
      </c>
      <c r="U719" s="1368"/>
      <c r="V719" s="1368"/>
      <c r="W719" s="1369"/>
      <c r="X719" s="1387">
        <f t="shared" si="59"/>
        <v>777</v>
      </c>
      <c r="Y719" s="1388"/>
      <c r="Z719" s="1388"/>
      <c r="AA719" s="1388"/>
      <c r="AB719" s="1389"/>
      <c r="AC719" s="1406">
        <v>0.3</v>
      </c>
      <c r="AD719" s="1407"/>
      <c r="AE719" s="1407"/>
      <c r="AF719" s="1407"/>
      <c r="AG719" s="1408"/>
      <c r="AH719" s="1398">
        <f t="shared" si="60"/>
        <v>0.3</v>
      </c>
      <c r="AI719" s="1399"/>
      <c r="AJ719" s="1400"/>
      <c r="AK719" s="1391" t="s">
        <v>1068</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1" t="s">
        <v>325</v>
      </c>
      <c r="C720" s="1392"/>
      <c r="D720" s="1392"/>
      <c r="E720" s="1392"/>
      <c r="F720" s="1393"/>
      <c r="G720" s="1355">
        <v>2</v>
      </c>
      <c r="H720" s="1356"/>
      <c r="I720" s="1356"/>
      <c r="J720" s="1357"/>
      <c r="K720" s="1358">
        <v>340</v>
      </c>
      <c r="L720" s="1359"/>
      <c r="M720" s="1359"/>
      <c r="N720" s="1360"/>
      <c r="O720" s="1367">
        <v>1554</v>
      </c>
      <c r="P720" s="1368"/>
      <c r="Q720" s="1368"/>
      <c r="R720" s="1368"/>
      <c r="S720" s="1369"/>
      <c r="T720" s="1367">
        <v>0</v>
      </c>
      <c r="U720" s="1368"/>
      <c r="V720" s="1368"/>
      <c r="W720" s="1369"/>
      <c r="X720" s="1387">
        <f t="shared" si="59"/>
        <v>1554</v>
      </c>
      <c r="Y720" s="1388"/>
      <c r="Z720" s="1388"/>
      <c r="AA720" s="1388"/>
      <c r="AB720" s="1389"/>
      <c r="AC720" s="1406">
        <v>0.6</v>
      </c>
      <c r="AD720" s="1407"/>
      <c r="AE720" s="1407"/>
      <c r="AF720" s="1407"/>
      <c r="AG720" s="1408"/>
      <c r="AH720" s="1398">
        <f t="shared" si="60"/>
        <v>0.6</v>
      </c>
      <c r="AI720" s="1399"/>
      <c r="AJ720" s="1400"/>
      <c r="AK720" s="1391" t="s">
        <v>1068</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1" t="s">
        <v>326</v>
      </c>
      <c r="C721" s="1392"/>
      <c r="D721" s="1392"/>
      <c r="E721" s="1392"/>
      <c r="F721" s="1393"/>
      <c r="G721" s="1355">
        <v>2</v>
      </c>
      <c r="H721" s="1356"/>
      <c r="I721" s="1356"/>
      <c r="J721" s="1357"/>
      <c r="K721" s="1358">
        <v>556</v>
      </c>
      <c r="L721" s="1359"/>
      <c r="M721" s="1359"/>
      <c r="N721" s="1360"/>
      <c r="O721" s="1367">
        <v>416</v>
      </c>
      <c r="P721" s="1368"/>
      <c r="Q721" s="1368"/>
      <c r="R721" s="1368"/>
      <c r="S721" s="1369"/>
      <c r="T721" s="1367">
        <v>0</v>
      </c>
      <c r="U721" s="1368"/>
      <c r="V721" s="1368"/>
      <c r="W721" s="1369"/>
      <c r="X721" s="1387">
        <f t="shared" si="59"/>
        <v>416</v>
      </c>
      <c r="Y721" s="1388"/>
      <c r="Z721" s="1388"/>
      <c r="AA721" s="1388"/>
      <c r="AB721" s="1389"/>
      <c r="AC721" s="1406">
        <v>0.15</v>
      </c>
      <c r="AD721" s="1407"/>
      <c r="AE721" s="1407"/>
      <c r="AF721" s="1407"/>
      <c r="AG721" s="1408"/>
      <c r="AH721" s="1398">
        <f t="shared" si="60"/>
        <v>0.14996395097332371</v>
      </c>
      <c r="AI721" s="1399"/>
      <c r="AJ721" s="1400"/>
      <c r="AK721" s="1391" t="s">
        <v>1068</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1" t="s">
        <v>326</v>
      </c>
      <c r="C722" s="1392"/>
      <c r="D722" s="1392"/>
      <c r="E722" s="1392"/>
      <c r="F722" s="1393"/>
      <c r="G722" s="1355">
        <v>3</v>
      </c>
      <c r="H722" s="1356"/>
      <c r="I722" s="1356"/>
      <c r="J722" s="1357"/>
      <c r="K722" s="1358">
        <v>556</v>
      </c>
      <c r="L722" s="1359"/>
      <c r="M722" s="1359"/>
      <c r="N722" s="1360"/>
      <c r="O722" s="1367">
        <v>1387</v>
      </c>
      <c r="P722" s="1368"/>
      <c r="Q722" s="1368"/>
      <c r="R722" s="1368"/>
      <c r="S722" s="1369"/>
      <c r="T722" s="1367">
        <v>0</v>
      </c>
      <c r="U722" s="1368"/>
      <c r="V722" s="1368"/>
      <c r="W722" s="1369"/>
      <c r="X722" s="1387">
        <f t="shared" si="59"/>
        <v>1387</v>
      </c>
      <c r="Y722" s="1388"/>
      <c r="Z722" s="1388"/>
      <c r="AA722" s="1388"/>
      <c r="AB722" s="1389"/>
      <c r="AC722" s="1406">
        <v>0.5</v>
      </c>
      <c r="AD722" s="1407"/>
      <c r="AE722" s="1407"/>
      <c r="AF722" s="1407"/>
      <c r="AG722" s="1408"/>
      <c r="AH722" s="1398">
        <f t="shared" si="60"/>
        <v>0.5</v>
      </c>
      <c r="AI722" s="1399"/>
      <c r="AJ722" s="1400"/>
      <c r="AK722" s="1391" t="s">
        <v>1068</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1"/>
      <c r="C723" s="1392"/>
      <c r="D723" s="1392"/>
      <c r="E723" s="1392"/>
      <c r="F723" s="1393"/>
      <c r="G723" s="1355"/>
      <c r="H723" s="1356"/>
      <c r="I723" s="1356"/>
      <c r="J723" s="1357"/>
      <c r="K723" s="1358"/>
      <c r="L723" s="1359"/>
      <c r="M723" s="1359"/>
      <c r="N723" s="1360"/>
      <c r="O723" s="1367"/>
      <c r="P723" s="1368"/>
      <c r="Q723" s="1368"/>
      <c r="R723" s="1368"/>
      <c r="S723" s="1369"/>
      <c r="T723" s="1367"/>
      <c r="U723" s="1368"/>
      <c r="V723" s="1368"/>
      <c r="W723" s="1369"/>
      <c r="X723" s="1387">
        <f t="shared" si="59"/>
        <v>0</v>
      </c>
      <c r="Y723" s="1388"/>
      <c r="Z723" s="1388"/>
      <c r="AA723" s="1388"/>
      <c r="AB723" s="1389"/>
      <c r="AC723" s="1406"/>
      <c r="AD723" s="1407"/>
      <c r="AE723" s="1407"/>
      <c r="AF723" s="1407"/>
      <c r="AG723" s="1408"/>
      <c r="AH723" s="1398" t="str">
        <f t="shared" si="60"/>
        <v/>
      </c>
      <c r="AI723" s="1399"/>
      <c r="AJ723" s="1400"/>
      <c r="AK723" s="1391" t="s">
        <v>600</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1"/>
      <c r="C724" s="1392"/>
      <c r="D724" s="1392"/>
      <c r="E724" s="1392"/>
      <c r="F724" s="1393"/>
      <c r="G724" s="1355"/>
      <c r="H724" s="1356"/>
      <c r="I724" s="1356"/>
      <c r="J724" s="1357"/>
      <c r="K724" s="1358"/>
      <c r="L724" s="1359"/>
      <c r="M724" s="1359"/>
      <c r="N724" s="1360"/>
      <c r="O724" s="1367"/>
      <c r="P724" s="1368"/>
      <c r="Q724" s="1368"/>
      <c r="R724" s="1368"/>
      <c r="S724" s="1369"/>
      <c r="T724" s="1367"/>
      <c r="U724" s="1368"/>
      <c r="V724" s="1368"/>
      <c r="W724" s="1369"/>
      <c r="X724" s="1387">
        <f t="shared" si="59"/>
        <v>0</v>
      </c>
      <c r="Y724" s="1388"/>
      <c r="Z724" s="1388"/>
      <c r="AA724" s="1388"/>
      <c r="AB724" s="1389"/>
      <c r="AC724" s="1406"/>
      <c r="AD724" s="1407"/>
      <c r="AE724" s="1407"/>
      <c r="AF724" s="1407"/>
      <c r="AG724" s="1408"/>
      <c r="AH724" s="1398" t="str">
        <f t="shared" si="60"/>
        <v/>
      </c>
      <c r="AI724" s="1399"/>
      <c r="AJ724" s="1400"/>
      <c r="AK724" s="1391" t="s">
        <v>600</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1"/>
      <c r="C725" s="1392"/>
      <c r="D725" s="1392"/>
      <c r="E725" s="1392"/>
      <c r="F725" s="1393"/>
      <c r="G725" s="1355"/>
      <c r="H725" s="1356"/>
      <c r="I725" s="1356"/>
      <c r="J725" s="1357"/>
      <c r="K725" s="1358"/>
      <c r="L725" s="1359"/>
      <c r="M725" s="1359"/>
      <c r="N725" s="1360"/>
      <c r="O725" s="1367"/>
      <c r="P725" s="1368"/>
      <c r="Q725" s="1368"/>
      <c r="R725" s="1368"/>
      <c r="S725" s="1369"/>
      <c r="T725" s="1367"/>
      <c r="U725" s="1368"/>
      <c r="V725" s="1368"/>
      <c r="W725" s="1369"/>
      <c r="X725" s="1387">
        <f t="shared" si="59"/>
        <v>0</v>
      </c>
      <c r="Y725" s="1388"/>
      <c r="Z725" s="1388"/>
      <c r="AA725" s="1388"/>
      <c r="AB725" s="1389"/>
      <c r="AC725" s="1406"/>
      <c r="AD725" s="1407"/>
      <c r="AE725" s="1407"/>
      <c r="AF725" s="1407"/>
      <c r="AG725" s="1408"/>
      <c r="AH725" s="1398" t="str">
        <f t="shared" si="60"/>
        <v/>
      </c>
      <c r="AI725" s="1399"/>
      <c r="AJ725" s="1400"/>
      <c r="AK725" s="1391" t="s">
        <v>600</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1"/>
      <c r="C726" s="1392"/>
      <c r="D726" s="1392"/>
      <c r="E726" s="1392"/>
      <c r="F726" s="1393"/>
      <c r="G726" s="1355"/>
      <c r="H726" s="1356"/>
      <c r="I726" s="1356"/>
      <c r="J726" s="1357"/>
      <c r="K726" s="1358"/>
      <c r="L726" s="1359"/>
      <c r="M726" s="1359"/>
      <c r="N726" s="1360"/>
      <c r="O726" s="1367"/>
      <c r="P726" s="1368"/>
      <c r="Q726" s="1368"/>
      <c r="R726" s="1368"/>
      <c r="S726" s="1369"/>
      <c r="T726" s="1367"/>
      <c r="U726" s="1368"/>
      <c r="V726" s="1368"/>
      <c r="W726" s="1369"/>
      <c r="X726" s="1387">
        <f t="shared" si="59"/>
        <v>0</v>
      </c>
      <c r="Y726" s="1388"/>
      <c r="Z726" s="1388"/>
      <c r="AA726" s="1388"/>
      <c r="AB726" s="1389"/>
      <c r="AC726" s="1406"/>
      <c r="AD726" s="1407"/>
      <c r="AE726" s="1407"/>
      <c r="AF726" s="1407"/>
      <c r="AG726" s="1408"/>
      <c r="AH726" s="1398" t="str">
        <f t="shared" si="60"/>
        <v/>
      </c>
      <c r="AI726" s="1399"/>
      <c r="AJ726" s="1400"/>
      <c r="AK726" s="1391" t="s">
        <v>600</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1"/>
      <c r="C727" s="1392"/>
      <c r="D727" s="1392"/>
      <c r="E727" s="1392"/>
      <c r="F727" s="1393"/>
      <c r="G727" s="1355"/>
      <c r="H727" s="1356"/>
      <c r="I727" s="1356"/>
      <c r="J727" s="1357"/>
      <c r="K727" s="1358"/>
      <c r="L727" s="1359"/>
      <c r="M727" s="1359"/>
      <c r="N727" s="1360"/>
      <c r="O727" s="1367"/>
      <c r="P727" s="1368"/>
      <c r="Q727" s="1368"/>
      <c r="R727" s="1368"/>
      <c r="S727" s="1369"/>
      <c r="T727" s="1367"/>
      <c r="U727" s="1368"/>
      <c r="V727" s="1368"/>
      <c r="W727" s="1369"/>
      <c r="X727" s="1387">
        <f t="shared" si="59"/>
        <v>0</v>
      </c>
      <c r="Y727" s="1388"/>
      <c r="Z727" s="1388"/>
      <c r="AA727" s="1388"/>
      <c r="AB727" s="1389"/>
      <c r="AC727" s="1406"/>
      <c r="AD727" s="1407"/>
      <c r="AE727" s="1407"/>
      <c r="AF727" s="1407"/>
      <c r="AG727" s="1408"/>
      <c r="AH727" s="1398" t="str">
        <f t="shared" si="60"/>
        <v/>
      </c>
      <c r="AI727" s="1399"/>
      <c r="AJ727" s="1400"/>
      <c r="AK727" s="1391" t="s">
        <v>600</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1"/>
      <c r="C728" s="1392"/>
      <c r="D728" s="1392"/>
      <c r="E728" s="1392"/>
      <c r="F728" s="1393"/>
      <c r="G728" s="1355"/>
      <c r="H728" s="1356"/>
      <c r="I728" s="1356"/>
      <c r="J728" s="1357"/>
      <c r="K728" s="1358"/>
      <c r="L728" s="1359"/>
      <c r="M728" s="1359"/>
      <c r="N728" s="1360"/>
      <c r="O728" s="1367"/>
      <c r="P728" s="1368"/>
      <c r="Q728" s="1368"/>
      <c r="R728" s="1368"/>
      <c r="S728" s="1369"/>
      <c r="T728" s="1367"/>
      <c r="U728" s="1368"/>
      <c r="V728" s="1368"/>
      <c r="W728" s="1369"/>
      <c r="X728" s="1387">
        <f t="shared" si="59"/>
        <v>0</v>
      </c>
      <c r="Y728" s="1388"/>
      <c r="Z728" s="1388"/>
      <c r="AA728" s="1388"/>
      <c r="AB728" s="1389"/>
      <c r="AC728" s="1406"/>
      <c r="AD728" s="1407"/>
      <c r="AE728" s="1407"/>
      <c r="AF728" s="1407"/>
      <c r="AG728" s="1408"/>
      <c r="AH728" s="1398" t="str">
        <f t="shared" si="60"/>
        <v/>
      </c>
      <c r="AI728" s="1399"/>
      <c r="AJ728" s="1400"/>
      <c r="AK728" s="1391" t="s">
        <v>600</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1"/>
      <c r="C729" s="1392"/>
      <c r="D729" s="1392"/>
      <c r="E729" s="1392"/>
      <c r="F729" s="1393"/>
      <c r="G729" s="1355"/>
      <c r="H729" s="1356"/>
      <c r="I729" s="1356"/>
      <c r="J729" s="1357"/>
      <c r="K729" s="1358"/>
      <c r="L729" s="1359"/>
      <c r="M729" s="1359"/>
      <c r="N729" s="1360"/>
      <c r="O729" s="1367"/>
      <c r="P729" s="1368"/>
      <c r="Q729" s="1368"/>
      <c r="R729" s="1368"/>
      <c r="S729" s="1369"/>
      <c r="T729" s="1367"/>
      <c r="U729" s="1368"/>
      <c r="V729" s="1368"/>
      <c r="W729" s="1369"/>
      <c r="X729" s="1387">
        <f t="shared" si="59"/>
        <v>0</v>
      </c>
      <c r="Y729" s="1388"/>
      <c r="Z729" s="1388"/>
      <c r="AA729" s="1388"/>
      <c r="AB729" s="1389"/>
      <c r="AC729" s="1406"/>
      <c r="AD729" s="1407"/>
      <c r="AE729" s="1407"/>
      <c r="AF729" s="1407"/>
      <c r="AG729" s="1408"/>
      <c r="AH729" s="1398" t="str">
        <f t="shared" si="60"/>
        <v/>
      </c>
      <c r="AI729" s="1399"/>
      <c r="AJ729" s="1400"/>
      <c r="AK729" s="1391" t="s">
        <v>600</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59"/>
        <v>0</v>
      </c>
      <c r="Y730" s="1388"/>
      <c r="Z730" s="1388"/>
      <c r="AA730" s="1388"/>
      <c r="AB730" s="1389"/>
      <c r="AC730" s="1406"/>
      <c r="AD730" s="1407"/>
      <c r="AE730" s="1407"/>
      <c r="AF730" s="1407"/>
      <c r="AG730" s="1408"/>
      <c r="AH730" s="1398" t="str">
        <f t="shared" si="60"/>
        <v/>
      </c>
      <c r="AI730" s="1399"/>
      <c r="AJ730" s="1400"/>
      <c r="AK730" s="1391" t="s">
        <v>600</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59"/>
        <v>0</v>
      </c>
      <c r="Y731" s="1388"/>
      <c r="Z731" s="1388"/>
      <c r="AA731" s="1388"/>
      <c r="AB731" s="1389"/>
      <c r="AC731" s="1406"/>
      <c r="AD731" s="1407"/>
      <c r="AE731" s="1407"/>
      <c r="AF731" s="1407"/>
      <c r="AG731" s="1408"/>
      <c r="AH731" s="1398" t="str">
        <f t="shared" si="60"/>
        <v/>
      </c>
      <c r="AI731" s="1399"/>
      <c r="AJ731" s="1400"/>
      <c r="AK731" s="1391" t="s">
        <v>600</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59"/>
        <v>0</v>
      </c>
      <c r="Y732" s="1388"/>
      <c r="Z732" s="1388"/>
      <c r="AA732" s="1388"/>
      <c r="AB732" s="1389"/>
      <c r="AC732" s="1406"/>
      <c r="AD732" s="1407"/>
      <c r="AE732" s="1407"/>
      <c r="AF732" s="1407"/>
      <c r="AG732" s="1408"/>
      <c r="AH732" s="1398" t="str">
        <f t="shared" si="60"/>
        <v/>
      </c>
      <c r="AI732" s="1399"/>
      <c r="AJ732" s="1400"/>
      <c r="AK732" s="1391" t="s">
        <v>600</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59"/>
        <v>0</v>
      </c>
      <c r="Y733" s="1388"/>
      <c r="Z733" s="1388"/>
      <c r="AA733" s="1388"/>
      <c r="AB733" s="1389"/>
      <c r="AC733" s="1406"/>
      <c r="AD733" s="1407"/>
      <c r="AE733" s="1407"/>
      <c r="AF733" s="1407"/>
      <c r="AG733" s="1408"/>
      <c r="AH733" s="1398" t="str">
        <f t="shared" si="60"/>
        <v/>
      </c>
      <c r="AI733" s="1399"/>
      <c r="AJ733" s="1400"/>
      <c r="AK733" s="1391" t="s">
        <v>600</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59"/>
        <v>0</v>
      </c>
      <c r="Y734" s="1388"/>
      <c r="Z734" s="1388"/>
      <c r="AA734" s="1388"/>
      <c r="AB734" s="1389"/>
      <c r="AC734" s="1406"/>
      <c r="AD734" s="1407"/>
      <c r="AE734" s="1407"/>
      <c r="AF734" s="1407"/>
      <c r="AG734" s="1408"/>
      <c r="AH734" s="1398" t="str">
        <f t="shared" si="60"/>
        <v/>
      </c>
      <c r="AI734" s="1399"/>
      <c r="AJ734" s="1400"/>
      <c r="AK734" s="1391" t="s">
        <v>600</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59"/>
        <v>0</v>
      </c>
      <c r="Y735" s="1388"/>
      <c r="Z735" s="1388"/>
      <c r="AA735" s="1388"/>
      <c r="AB735" s="1389"/>
      <c r="AC735" s="1406"/>
      <c r="AD735" s="1407"/>
      <c r="AE735" s="1407"/>
      <c r="AF735" s="1407"/>
      <c r="AG735" s="1408"/>
      <c r="AH735" s="1398" t="str">
        <f t="shared" si="60"/>
        <v/>
      </c>
      <c r="AI735" s="1399"/>
      <c r="AJ735" s="1400"/>
      <c r="AK735" s="1391" t="s">
        <v>600</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t="s">
        <v>600</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600</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600</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600</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600</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600</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600</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600</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600</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600</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600</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600</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600</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600</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600</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600</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600</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51" t="s">
        <v>125</v>
      </c>
      <c r="C753" s="1652"/>
      <c r="D753" s="1652"/>
      <c r="E753" s="1652"/>
      <c r="F753" s="1653"/>
      <c r="G753" s="1648">
        <f>SUM(G718:G752)</f>
        <v>34</v>
      </c>
      <c r="H753" s="1649"/>
      <c r="I753" s="1649"/>
      <c r="J753" s="1650"/>
      <c r="K753" s="937" t="s">
        <v>124</v>
      </c>
      <c r="L753" s="5"/>
      <c r="M753" s="5"/>
      <c r="N753" s="46"/>
      <c r="O753" s="1387">
        <f>SUMPRODUCT(G718:G752,O718:O752)</f>
        <v>23260</v>
      </c>
      <c r="P753" s="1388"/>
      <c r="Q753" s="1388"/>
      <c r="R753" s="1388"/>
      <c r="S753" s="1389"/>
      <c r="T753"/>
      <c r="U753"/>
      <c r="V753"/>
      <c r="W753"/>
      <c r="X753" s="939" t="s">
        <v>916</v>
      </c>
      <c r="Y753" s="938"/>
      <c r="Z753" s="938"/>
      <c r="AA753" s="938"/>
      <c r="AB753" s="940"/>
      <c r="AC753" s="1654">
        <f>BI703</f>
        <v>0.26029411764705879</v>
      </c>
      <c r="AD753" s="1655"/>
      <c r="AE753" s="1655"/>
      <c r="AF753" s="1655"/>
      <c r="AG753" s="1656"/>
      <c r="AH753" s="1654">
        <f>IFERROR(BV703,"")</f>
        <v>0.26037716631889413</v>
      </c>
      <c r="AI753" s="1655"/>
      <c r="AJ753" s="165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0" t="s">
        <v>2184</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491">
        <f>CS634</f>
        <v>34</v>
      </c>
      <c r="P756" s="1491"/>
      <c r="Q756" s="1491"/>
      <c r="R756" s="1491"/>
      <c r="S756" s="1004"/>
      <c r="T756" s="1004"/>
      <c r="U756" s="118" t="s">
        <v>2183</v>
      </c>
      <c r="V756" s="1067"/>
      <c r="W756" s="1067"/>
      <c r="X756" s="1067"/>
      <c r="Y756" s="1068"/>
      <c r="Z756" s="1068"/>
      <c r="AA756" s="1068"/>
      <c r="AB756" s="1068"/>
      <c r="AC756" s="1067"/>
      <c r="AD756" s="1067"/>
      <c r="AE756" s="1067"/>
      <c r="AF756" s="1067"/>
      <c r="AG756" s="1622">
        <v>34</v>
      </c>
      <c r="AH756" s="1622"/>
      <c r="AI756" s="1622"/>
      <c r="AJ756" s="162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600</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0" t="s">
        <v>390</v>
      </c>
      <c r="K769" s="1371"/>
      <c r="L769" s="1371"/>
      <c r="M769" s="1371"/>
      <c r="N769" s="1372"/>
      <c r="O769" s="1382" t="s">
        <v>286</v>
      </c>
      <c r="P769" s="1382"/>
      <c r="Q769" s="1382"/>
      <c r="R769" s="1382"/>
      <c r="S769" s="1382"/>
      <c r="T769" s="1763" t="s">
        <v>1869</v>
      </c>
      <c r="U769" s="1764"/>
      <c r="V769" s="1764"/>
      <c r="W769" s="1765"/>
      <c r="X769" s="1370" t="s">
        <v>456</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382"/>
      <c r="P770" s="1382"/>
      <c r="Q770" s="1382"/>
      <c r="R770" s="1382"/>
      <c r="S770" s="1382"/>
      <c r="T770" s="1766"/>
      <c r="U770" s="1767"/>
      <c r="V770" s="1767"/>
      <c r="W770" s="1768"/>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382"/>
      <c r="P771" s="1382"/>
      <c r="Q771" s="1382"/>
      <c r="R771" s="1382"/>
      <c r="S771" s="1382"/>
      <c r="T771" s="1766"/>
      <c r="U771" s="1767"/>
      <c r="V771" s="1767"/>
      <c r="W771" s="1768"/>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382"/>
      <c r="P772" s="1382"/>
      <c r="Q772" s="1382"/>
      <c r="R772" s="1382"/>
      <c r="S772" s="1382"/>
      <c r="T772" s="1769"/>
      <c r="U772" s="1770"/>
      <c r="V772" s="1770"/>
      <c r="W772" s="1771"/>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1" t="s">
        <v>163</v>
      </c>
      <c r="K773" s="1392"/>
      <c r="L773" s="1392"/>
      <c r="M773" s="1392"/>
      <c r="N773" s="1393"/>
      <c r="O773" s="1363">
        <v>1</v>
      </c>
      <c r="P773" s="1363"/>
      <c r="Q773" s="1363"/>
      <c r="R773" s="1363"/>
      <c r="S773" s="1363"/>
      <c r="T773" s="1358">
        <v>979</v>
      </c>
      <c r="U773" s="1359"/>
      <c r="V773" s="1359"/>
      <c r="W773" s="1360"/>
      <c r="X773" s="1367"/>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51" t="s">
        <v>125</v>
      </c>
      <c r="K777" s="1652"/>
      <c r="L777" s="1652"/>
      <c r="M777" s="1652"/>
      <c r="N777" s="1653"/>
      <c r="O777" s="1492">
        <f>SUM(O773:S776)</f>
        <v>1</v>
      </c>
      <c r="P777" s="1493"/>
      <c r="Q777" s="1493"/>
      <c r="R777" s="1493"/>
      <c r="S777" s="1494"/>
      <c r="X777" s="1651" t="s">
        <v>124</v>
      </c>
      <c r="Y777" s="1652"/>
      <c r="Z777" s="1652"/>
      <c r="AA777" s="1652"/>
      <c r="AB777" s="1653"/>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678</v>
      </c>
      <c r="K779" s="14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0" t="s">
        <v>390</v>
      </c>
      <c r="K783" s="1371"/>
      <c r="L783" s="1371"/>
      <c r="M783" s="1371"/>
      <c r="N783" s="1372"/>
      <c r="O783" s="1382" t="s">
        <v>286</v>
      </c>
      <c r="P783" s="1382"/>
      <c r="Q783" s="1382"/>
      <c r="R783" s="1382"/>
      <c r="S783" s="1382"/>
      <c r="T783" s="1763" t="s">
        <v>1869</v>
      </c>
      <c r="U783" s="1764"/>
      <c r="V783" s="1764"/>
      <c r="W783" s="1765"/>
      <c r="X783" s="1370" t="s">
        <v>456</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382"/>
      <c r="P784" s="1382"/>
      <c r="Q784" s="1382"/>
      <c r="R784" s="1382"/>
      <c r="S784" s="1382"/>
      <c r="T784" s="1766"/>
      <c r="U784" s="1767"/>
      <c r="V784" s="1767"/>
      <c r="W784" s="1768"/>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382"/>
      <c r="P785" s="1382"/>
      <c r="Q785" s="1382"/>
      <c r="R785" s="1382"/>
      <c r="S785" s="1382"/>
      <c r="T785" s="1766"/>
      <c r="U785" s="1767"/>
      <c r="V785" s="1767"/>
      <c r="W785" s="1768"/>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382"/>
      <c r="P786" s="1382"/>
      <c r="Q786" s="1382"/>
      <c r="R786" s="1382"/>
      <c r="S786" s="1382"/>
      <c r="T786" s="1769"/>
      <c r="U786" s="1770"/>
      <c r="V786" s="1770"/>
      <c r="W786" s="1771"/>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2" t="s">
        <v>478</v>
      </c>
      <c r="BO796" s="1673"/>
      <c r="BP796" s="3"/>
      <c r="BQ796" s="3"/>
      <c r="BR796" s="3"/>
      <c r="BS796" s="14" t="s">
        <v>643</v>
      </c>
      <c r="BT796" s="14"/>
      <c r="BU796" s="14"/>
      <c r="BV796" s="14"/>
      <c r="BW796" s="14"/>
      <c r="BX796" s="14"/>
      <c r="BY796" s="14"/>
      <c r="BZ796" s="14"/>
      <c r="CA796" s="14"/>
      <c r="CB796" s="1669" t="str">
        <f>T189</f>
        <v>Santa Barbara</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51" t="s">
        <v>125</v>
      </c>
      <c r="K797" s="1652"/>
      <c r="L797" s="1652"/>
      <c r="M797" s="1652"/>
      <c r="N797" s="1653"/>
      <c r="O797" s="1490">
        <f>SUM(O787:S796)</f>
        <v>0</v>
      </c>
      <c r="P797" s="1490"/>
      <c r="Q797" s="1490"/>
      <c r="R797" s="1490"/>
      <c r="S797" s="1490"/>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23260</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279120</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v>34</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v>17076</v>
      </c>
      <c r="AA808" s="1682"/>
      <c r="AB808" s="1682"/>
      <c r="AC808" s="1682"/>
      <c r="AD808" s="1682"/>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787764</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5100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6" t="s">
        <v>335</v>
      </c>
      <c r="Q816" s="1575"/>
      <c r="R816" s="1575"/>
      <c r="S816" s="1575"/>
      <c r="T816" s="1575"/>
      <c r="U816" s="1575"/>
      <c r="V816" s="1575"/>
      <c r="W816" s="1575"/>
      <c r="X816" s="1575"/>
      <c r="Y816" s="1576"/>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5100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64">
        <f>Z817+Y801+Z809</f>
        <v>1071984</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2" t="s">
        <v>126</v>
      </c>
      <c r="N823" s="1742"/>
      <c r="O823" s="1742"/>
      <c r="P823" s="1759"/>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7"/>
      <c r="N824" s="1587"/>
      <c r="O824" s="1587"/>
      <c r="P824" s="1588"/>
      <c r="Q824" s="1383"/>
      <c r="R824" s="1383"/>
      <c r="S824" s="1383"/>
      <c r="T824" s="1383"/>
      <c r="U824" s="1383"/>
      <c r="V824" s="1383"/>
      <c r="W824" s="1383"/>
      <c r="X824" s="1383"/>
      <c r="Y824" s="1383"/>
      <c r="Z824" s="1383"/>
      <c r="AA824" s="1383"/>
      <c r="AB824" s="1383"/>
      <c r="AC824" s="1383"/>
      <c r="AD824" s="1383"/>
      <c r="AE824" s="1383"/>
      <c r="AF824" s="1383"/>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7" t="s">
        <v>40</v>
      </c>
      <c r="D825" s="1449"/>
      <c r="E825" s="1449"/>
      <c r="F825" s="1449"/>
      <c r="G825" s="1449"/>
      <c r="H825" s="1449"/>
      <c r="I825" s="48"/>
      <c r="J825" s="48"/>
      <c r="K825" s="48"/>
      <c r="L825" s="49"/>
      <c r="M825" s="1397"/>
      <c r="N825" s="1397"/>
      <c r="O825" s="1397"/>
      <c r="P825" s="1397"/>
      <c r="Q825" s="1397"/>
      <c r="R825" s="1397"/>
      <c r="S825" s="1397"/>
      <c r="T825" s="1397"/>
      <c r="U825" s="1397"/>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1" t="s">
        <v>42</v>
      </c>
      <c r="D827" s="1362"/>
      <c r="E827" s="1362"/>
      <c r="F827" s="1362"/>
      <c r="G827" s="1362"/>
      <c r="H827" s="1362"/>
      <c r="I827" s="60"/>
      <c r="J827" s="60"/>
      <c r="K827" s="60"/>
      <c r="L827" s="61"/>
      <c r="M827" s="1397"/>
      <c r="N827" s="1397"/>
      <c r="O827" s="1397"/>
      <c r="P827" s="1397"/>
      <c r="Q827" s="1397"/>
      <c r="R827" s="1397"/>
      <c r="S827" s="1397"/>
      <c r="T827" s="1397"/>
      <c r="U827" s="1397"/>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1" t="s">
        <v>772</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1" t="s">
        <v>468</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7" t="s">
        <v>793</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6" t="s">
        <v>335</v>
      </c>
      <c r="G831" s="1575"/>
      <c r="H831" s="1575"/>
      <c r="I831" s="1575"/>
      <c r="J831" s="1575"/>
      <c r="K831" s="1575"/>
      <c r="L831" s="1575"/>
      <c r="M831" s="1397"/>
      <c r="N831" s="1397"/>
      <c r="O831" s="1397"/>
      <c r="P831" s="1397"/>
      <c r="Q831" s="1397"/>
      <c r="R831" s="1397"/>
      <c r="S831" s="1397"/>
      <c r="T831" s="1397"/>
      <c r="U831" s="1397"/>
      <c r="V831" s="1397"/>
      <c r="W831" s="1397"/>
      <c r="X831" s="1397"/>
      <c r="Y831" s="1397"/>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51" t="s">
        <v>124</v>
      </c>
      <c r="D832" s="1652"/>
      <c r="E832" s="1652"/>
      <c r="F832" s="1652"/>
      <c r="G832" s="1652"/>
      <c r="H832" s="1652"/>
      <c r="I832" s="1652"/>
      <c r="J832" s="1652"/>
      <c r="K832" s="1652"/>
      <c r="L832" s="1653"/>
      <c r="M832" s="1675">
        <f>SUM(M825:P831)</f>
        <v>0</v>
      </c>
      <c r="N832" s="1675"/>
      <c r="O832" s="1675"/>
      <c r="P832" s="1675"/>
      <c r="Q832" s="1675">
        <f>SUM(Q825:T831)</f>
        <v>0</v>
      </c>
      <c r="R832" s="1675"/>
      <c r="S832" s="1675"/>
      <c r="T832" s="1675"/>
      <c r="U832" s="1675">
        <f>SUM(U825:X831)</f>
        <v>0</v>
      </c>
      <c r="V832" s="1675"/>
      <c r="W832" s="1675"/>
      <c r="X832" s="1675"/>
      <c r="Y832" s="1675">
        <f>SUM(Y825:AB831)</f>
        <v>0</v>
      </c>
      <c r="Z832" s="1675"/>
      <c r="AA832" s="1675"/>
      <c r="AB832" s="1675"/>
      <c r="AC832" s="1675">
        <f>SUM(AC825:AF831)</f>
        <v>0</v>
      </c>
      <c r="AD832" s="1675"/>
      <c r="AE832" s="1675"/>
      <c r="AF832" s="1675"/>
      <c r="AG832" s="1675">
        <f>SUM(AG825:AJ831)</f>
        <v>0</v>
      </c>
      <c r="AH832" s="1675"/>
      <c r="AI832" s="1675"/>
      <c r="AJ832" s="167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6" t="s">
        <v>2655</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6">
        <v>900</v>
      </c>
      <c r="X842" s="1506"/>
      <c r="Y842" s="1506"/>
      <c r="Z842" s="1506"/>
      <c r="AA842" s="1506"/>
      <c r="AB842" s="1506"/>
      <c r="AC842" s="150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06">
        <v>4000</v>
      </c>
      <c r="X843" s="1506"/>
      <c r="Y843" s="1506"/>
      <c r="Z843" s="1506"/>
      <c r="AA843" s="1506"/>
      <c r="AB843" s="1506"/>
      <c r="AC843" s="150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6">
        <v>21840</v>
      </c>
      <c r="X844" s="1506"/>
      <c r="Y844" s="1506"/>
      <c r="Z844" s="1506"/>
      <c r="AA844" s="1506"/>
      <c r="AB844" s="1506"/>
      <c r="AC844" s="150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6"/>
      <c r="X845" s="1506"/>
      <c r="Y845" s="1506"/>
      <c r="Z845" s="1506"/>
      <c r="AA845" s="1506"/>
      <c r="AB845" s="1506"/>
      <c r="AC845" s="150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6" t="s">
        <v>2676</v>
      </c>
      <c r="N846" s="1575"/>
      <c r="O846" s="1575"/>
      <c r="P846" s="1575"/>
      <c r="Q846" s="1575"/>
      <c r="R846" s="1575"/>
      <c r="S846" s="1575"/>
      <c r="T846" s="1575"/>
      <c r="U846" s="1575"/>
      <c r="V846" s="1576"/>
      <c r="W846" s="1506">
        <v>4000</v>
      </c>
      <c r="X846" s="1506"/>
      <c r="Y846" s="1506"/>
      <c r="Z846" s="1506"/>
      <c r="AA846" s="1506"/>
      <c r="AB846" s="1506"/>
      <c r="AC846" s="150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64">
        <f>SUM(W842:AC846)</f>
        <v>30740</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5"/>
      <c r="BH848" s="1665"/>
      <c r="BI848" s="1665"/>
      <c r="BJ848" s="1665"/>
      <c r="BK848" s="1665"/>
      <c r="BL848" s="166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51" t="s">
        <v>346</v>
      </c>
      <c r="K849" s="1652"/>
      <c r="L849" s="1652"/>
      <c r="M849" s="1652"/>
      <c r="N849" s="1652"/>
      <c r="O849" s="1652"/>
      <c r="P849" s="1652"/>
      <c r="Q849" s="1652"/>
      <c r="R849" s="1652"/>
      <c r="S849" s="1652"/>
      <c r="T849" s="1652"/>
      <c r="U849" s="1652"/>
      <c r="V849" s="1653"/>
      <c r="W849" s="1394">
        <v>47271</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33"/>
      <c r="X851" s="1733"/>
      <c r="Y851" s="1733"/>
      <c r="Z851" s="1733"/>
      <c r="AA851" s="1733"/>
      <c r="AB851" s="1733"/>
      <c r="AC851" s="1733"/>
      <c r="AZ851" s="1743">
        <f>SUM(AZ818:AZ846)</f>
        <v>7.5000000000000011E-2</v>
      </c>
      <c r="BA851" s="174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33"/>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33">
        <v>12000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33">
        <v>42000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6">
        <f>SUM(W851:AC854)</f>
        <v>54000</v>
      </c>
      <c r="X855" s="1756"/>
      <c r="Y855" s="1756"/>
      <c r="Z855" s="1756"/>
      <c r="AA855" s="1756"/>
      <c r="AB855" s="1756"/>
      <c r="AC855" s="17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36">
        <v>45000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44">
        <v>2</v>
      </c>
      <c r="U858" s="174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36">
        <v>45000</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44">
        <v>1</v>
      </c>
      <c r="U860" s="174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6" t="s">
        <v>2675</v>
      </c>
      <c r="N861" s="1575"/>
      <c r="O861" s="1575"/>
      <c r="P861" s="1575"/>
      <c r="Q861" s="1575"/>
      <c r="R861" s="1575"/>
      <c r="S861" s="1575"/>
      <c r="T861" s="1575"/>
      <c r="U861" s="1575"/>
      <c r="V861" s="1576"/>
      <c r="W861" s="1736">
        <f>44808+40847</f>
        <v>85655</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175655</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6">
        <v>10000</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06"/>
      <c r="X865" s="1506"/>
      <c r="Y865" s="1506"/>
      <c r="Z865" s="1506"/>
      <c r="AA865" s="1506"/>
      <c r="AB865" s="1506"/>
      <c r="AC865" s="15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06">
        <v>33250</v>
      </c>
      <c r="X866" s="1506"/>
      <c r="Y866" s="1506"/>
      <c r="Z866" s="1506"/>
      <c r="AA866" s="1506"/>
      <c r="AB866" s="1506"/>
      <c r="AC866" s="15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06">
        <v>20125</v>
      </c>
      <c r="X867" s="1506"/>
      <c r="Y867" s="1506"/>
      <c r="Z867" s="1506"/>
      <c r="AA867" s="1506"/>
      <c r="AB867" s="1506"/>
      <c r="AC867" s="15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06">
        <v>4200</v>
      </c>
      <c r="X868" s="1506"/>
      <c r="Y868" s="1506"/>
      <c r="Z868" s="1506"/>
      <c r="AA868" s="1506"/>
      <c r="AB868" s="1506"/>
      <c r="AC868" s="15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06">
        <v>15750</v>
      </c>
      <c r="X869" s="1506"/>
      <c r="Y869" s="1506"/>
      <c r="Z869" s="1506"/>
      <c r="AA869" s="1506"/>
      <c r="AB869" s="1506"/>
      <c r="AC869" s="15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06">
        <v>10000</v>
      </c>
      <c r="X870" s="1506"/>
      <c r="Y870" s="1506"/>
      <c r="Z870" s="1506"/>
      <c r="AA870" s="1506"/>
      <c r="AB870" s="1506"/>
      <c r="AC870" s="15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6" t="s">
        <v>2677</v>
      </c>
      <c r="N871" s="1575"/>
      <c r="O871" s="1575"/>
      <c r="P871" s="1575"/>
      <c r="Q871" s="1575"/>
      <c r="R871" s="1575"/>
      <c r="S871" s="1575"/>
      <c r="T871" s="1575"/>
      <c r="U871" s="1575"/>
      <c r="V871" s="1576"/>
      <c r="W871" s="1506">
        <v>26250</v>
      </c>
      <c r="X871" s="1506"/>
      <c r="Y871" s="1506"/>
      <c r="Z871" s="1506"/>
      <c r="AA871" s="1506"/>
      <c r="AB871" s="1506"/>
      <c r="AC871" s="15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0">
        <f>SUM(W865:AC871)</f>
        <v>109575</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46"/>
      <c r="N874" s="1575"/>
      <c r="O874" s="1575"/>
      <c r="P874" s="1575"/>
      <c r="Q874" s="1575"/>
      <c r="R874" s="1575"/>
      <c r="S874" s="1575"/>
      <c r="T874" s="1575"/>
      <c r="U874" s="1575"/>
      <c r="V874" s="1576"/>
      <c r="W874" s="1394"/>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46" t="s">
        <v>2674</v>
      </c>
      <c r="N875" s="1575"/>
      <c r="O875" s="1575"/>
      <c r="P875" s="1575"/>
      <c r="Q875" s="1575"/>
      <c r="R875" s="1575"/>
      <c r="S875" s="1575"/>
      <c r="T875" s="1575"/>
      <c r="U875" s="1575"/>
      <c r="V875" s="1576"/>
      <c r="W875" s="1394">
        <v>21000</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6" t="s">
        <v>335</v>
      </c>
      <c r="N876" s="1575"/>
      <c r="O876" s="1575"/>
      <c r="P876" s="1575"/>
      <c r="Q876" s="1575"/>
      <c r="R876" s="1575"/>
      <c r="S876" s="1575"/>
      <c r="T876" s="1575"/>
      <c r="U876" s="1575"/>
      <c r="V876" s="1576"/>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6" t="s">
        <v>335</v>
      </c>
      <c r="N877" s="1575"/>
      <c r="O877" s="1575"/>
      <c r="P877" s="1575"/>
      <c r="Q877" s="1575"/>
      <c r="R877" s="1575"/>
      <c r="S877" s="1575"/>
      <c r="T877" s="1575"/>
      <c r="U877" s="1575"/>
      <c r="V877" s="1576"/>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6" t="s">
        <v>335</v>
      </c>
      <c r="N878" s="1575"/>
      <c r="O878" s="1575"/>
      <c r="P878" s="1575"/>
      <c r="Q878" s="1575"/>
      <c r="R878" s="1575"/>
      <c r="S878" s="1575"/>
      <c r="T878" s="1575"/>
      <c r="U878" s="1575"/>
      <c r="V878" s="1576"/>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64">
        <f>SUM(W874:AC878)</f>
        <v>21000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448241</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4">
        <f>O797+O777+G753</f>
        <v>35</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3" t="s">
        <v>32</v>
      </c>
      <c r="F885" s="1663"/>
      <c r="G885" s="1663"/>
      <c r="H885" s="1663"/>
      <c r="I885" s="1663"/>
      <c r="J885" s="1663"/>
      <c r="K885" s="1663"/>
      <c r="L885" s="1663"/>
      <c r="M885" s="1663"/>
      <c r="N885" s="1663"/>
      <c r="O885" s="1663"/>
      <c r="P885" s="1663"/>
      <c r="Q885" s="1663"/>
      <c r="R885" s="1663"/>
      <c r="S885" s="1663"/>
      <c r="T885" s="1663"/>
      <c r="U885" s="1663"/>
      <c r="V885" s="1663"/>
      <c r="W885" s="1663"/>
      <c r="X885" s="1663"/>
      <c r="Y885" s="1663"/>
      <c r="Z885" s="1663"/>
      <c r="AA885" s="1663"/>
      <c r="AB885" s="1664"/>
      <c r="AC885" s="1750">
        <f>IF(ISERROR((ROUNDDOWN(AC883/AC884,0))),0,(ROUNDDOWN(AC883/AC884,0)))</f>
        <v>12806</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4">
        <v>481988</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396"/>
      <c r="AD887" s="1506"/>
      <c r="AE887" s="1506"/>
      <c r="AF887" s="1506"/>
      <c r="AG887" s="1506"/>
      <c r="AH887" s="15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395">
        <f>80000+30000</f>
        <v>110000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17500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79">
        <v>20257</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f>3250+2000</f>
        <v>5250</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976</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506"/>
      <c r="AD893" s="1506"/>
      <c r="AE893" s="1506"/>
      <c r="AF893" s="1506"/>
      <c r="AG893" s="1506"/>
      <c r="AH893" s="15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976</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506"/>
      <c r="AD894" s="1506"/>
      <c r="AE894" s="1506"/>
      <c r="AF894" s="1506"/>
      <c r="AG894" s="1506"/>
      <c r="AH894" s="15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5"/>
      <c r="BE900" s="166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5"/>
      <c r="BE901" s="166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5"/>
      <c r="BE902" s="166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6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5"/>
      <c r="BE906" s="166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6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40"/>
      <c r="BE909" s="166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3" t="s">
        <v>802</v>
      </c>
      <c r="G914" s="1544"/>
      <c r="H914" s="1544"/>
      <c r="I914" s="1544"/>
      <c r="J914" s="1544"/>
      <c r="K914" s="1544"/>
      <c r="L914" s="1544"/>
      <c r="M914" s="1544"/>
      <c r="N914" s="1544"/>
      <c r="O914" s="1544"/>
      <c r="P914" s="1544"/>
      <c r="Q914" s="1544"/>
      <c r="R914" s="1544"/>
      <c r="S914" s="1544"/>
      <c r="T914" s="1545"/>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3" t="s">
        <v>828</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6"/>
      <c r="G916" s="1587"/>
      <c r="H916" s="1587"/>
      <c r="I916" s="1587"/>
      <c r="J916" s="1587"/>
      <c r="K916" s="1587"/>
      <c r="L916" s="1587"/>
      <c r="M916" s="1587"/>
      <c r="N916" s="1587"/>
      <c r="O916" s="1587"/>
      <c r="P916" s="1587"/>
      <c r="Q916" s="1587"/>
      <c r="R916" s="1587"/>
      <c r="S916" s="1587"/>
      <c r="T916" s="1588"/>
      <c r="U916" s="1586"/>
      <c r="V916" s="1587"/>
      <c r="W916" s="1587"/>
      <c r="X916" s="1587"/>
      <c r="Y916" s="1587"/>
      <c r="Z916" s="1587"/>
      <c r="AA916" s="108"/>
      <c r="AB916" s="1720" t="s">
        <v>392</v>
      </c>
      <c r="AC916" s="1720"/>
      <c r="AD916" s="1720"/>
      <c r="AE916" s="172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33" t="s">
        <v>554</v>
      </c>
      <c r="V917" s="1434"/>
      <c r="W917" s="1434"/>
      <c r="X917" s="1434"/>
      <c r="Y917" s="1434"/>
      <c r="Z917" s="1435"/>
      <c r="AA917" s="1436">
        <v>16135303</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33" t="s">
        <v>678</v>
      </c>
      <c r="V918" s="1434"/>
      <c r="W918" s="1434"/>
      <c r="X918" s="1434"/>
      <c r="Y918" s="1434"/>
      <c r="Z918" s="1435"/>
      <c r="AA918" s="1436"/>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33" t="s">
        <v>600</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33" t="s">
        <v>600</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33" t="s">
        <v>600</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33" t="s">
        <v>600</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33" t="s">
        <v>600</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33" t="s">
        <v>600</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9" t="s">
        <v>2558</v>
      </c>
      <c r="G925" s="1590"/>
      <c r="H925" s="1590"/>
      <c r="I925" s="1590"/>
      <c r="J925" s="1590"/>
      <c r="K925" s="1590"/>
      <c r="L925" s="1590"/>
      <c r="M925" s="1590"/>
      <c r="N925" s="1590"/>
      <c r="O925" s="1590"/>
      <c r="P925" s="1590"/>
      <c r="Q925" s="1590"/>
      <c r="R925" s="1590"/>
      <c r="S925" s="1590"/>
      <c r="T925" s="1591"/>
      <c r="U925" s="1433" t="s">
        <v>600</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9" t="s">
        <v>688</v>
      </c>
      <c r="G926" s="1590"/>
      <c r="H926" s="1590"/>
      <c r="I926" s="1590"/>
      <c r="J926" s="1590"/>
      <c r="K926" s="1590"/>
      <c r="L926" s="1590"/>
      <c r="M926" s="1590"/>
      <c r="N926" s="1590"/>
      <c r="O926" s="1590"/>
      <c r="P926" s="1590"/>
      <c r="Q926" s="1590"/>
      <c r="R926" s="1590"/>
      <c r="S926" s="1590"/>
      <c r="T926" s="1591"/>
      <c r="U926" s="1433" t="s">
        <v>600</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9" t="s">
        <v>2559</v>
      </c>
      <c r="G927" s="1590"/>
      <c r="H927" s="1590"/>
      <c r="I927" s="1590"/>
      <c r="J927" s="1590"/>
      <c r="K927" s="1590"/>
      <c r="L927" s="1590"/>
      <c r="M927" s="1590"/>
      <c r="N927" s="1590"/>
      <c r="O927" s="1590"/>
      <c r="P927" s="1590"/>
      <c r="Q927" s="1590"/>
      <c r="R927" s="1590"/>
      <c r="S927" s="1590"/>
      <c r="T927" s="1591"/>
      <c r="U927" s="1433" t="s">
        <v>600</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9" t="s">
        <v>2560</v>
      </c>
      <c r="G928" s="1590"/>
      <c r="H928" s="1590"/>
      <c r="I928" s="1590"/>
      <c r="J928" s="1590"/>
      <c r="K928" s="1590"/>
      <c r="L928" s="1590"/>
      <c r="M928" s="1590"/>
      <c r="N928" s="1590"/>
      <c r="O928" s="1590"/>
      <c r="P928" s="1590"/>
      <c r="Q928" s="1590"/>
      <c r="R928" s="1590"/>
      <c r="S928" s="1590"/>
      <c r="T928" s="1591"/>
      <c r="U928" s="1433" t="s">
        <v>600</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9" t="s">
        <v>2561</v>
      </c>
      <c r="G929" s="1590"/>
      <c r="H929" s="1590"/>
      <c r="I929" s="1590"/>
      <c r="J929" s="1590"/>
      <c r="K929" s="1590"/>
      <c r="L929" s="1590"/>
      <c r="M929" s="1590"/>
      <c r="N929" s="1590"/>
      <c r="O929" s="1590"/>
      <c r="P929" s="1590"/>
      <c r="Q929" s="1590"/>
      <c r="R929" s="1590"/>
      <c r="S929" s="1590"/>
      <c r="T929" s="1591"/>
      <c r="U929" s="1433" t="s">
        <v>600</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9" t="s">
        <v>2562</v>
      </c>
      <c r="G930" s="1590"/>
      <c r="H930" s="1590"/>
      <c r="I930" s="1590"/>
      <c r="J930" s="1590"/>
      <c r="K930" s="1590"/>
      <c r="L930" s="1590"/>
      <c r="M930" s="1590"/>
      <c r="N930" s="1590"/>
      <c r="O930" s="1590"/>
      <c r="P930" s="1590"/>
      <c r="Q930" s="1590"/>
      <c r="R930" s="1590"/>
      <c r="S930" s="1590"/>
      <c r="T930" s="1591"/>
      <c r="U930" s="1433" t="s">
        <v>600</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9" t="s">
        <v>2563</v>
      </c>
      <c r="G931" s="1590"/>
      <c r="H931" s="1590"/>
      <c r="I931" s="1590"/>
      <c r="J931" s="1590"/>
      <c r="K931" s="1590"/>
      <c r="L931" s="1590"/>
      <c r="M931" s="1590"/>
      <c r="N931" s="1590"/>
      <c r="O931" s="1590"/>
      <c r="P931" s="1590"/>
      <c r="Q931" s="1590"/>
      <c r="R931" s="1590"/>
      <c r="S931" s="1590"/>
      <c r="T931" s="1591"/>
      <c r="U931" s="1433" t="s">
        <v>600</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33" t="s">
        <v>600</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433" t="s">
        <v>600</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33" t="s">
        <v>600</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6" t="s">
        <v>2567</v>
      </c>
      <c r="G935" s="1597"/>
      <c r="H935" s="1597"/>
      <c r="I935" s="1597"/>
      <c r="J935" s="1597"/>
      <c r="K935" s="1597"/>
      <c r="L935" s="1597"/>
      <c r="M935" s="1597"/>
      <c r="N935" s="1597"/>
      <c r="O935" s="1597"/>
      <c r="P935" s="1597"/>
      <c r="Q935" s="1597"/>
      <c r="R935" s="1597"/>
      <c r="S935" s="1597"/>
      <c r="T935" s="1598"/>
      <c r="U935" s="1433" t="s">
        <v>600</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6" t="s">
        <v>2568</v>
      </c>
      <c r="G936" s="1597"/>
      <c r="H936" s="1597"/>
      <c r="I936" s="1597"/>
      <c r="J936" s="1597"/>
      <c r="K936" s="1597"/>
      <c r="L936" s="1597"/>
      <c r="M936" s="1597"/>
      <c r="N936" s="1597"/>
      <c r="O936" s="1597"/>
      <c r="P936" s="1597"/>
      <c r="Q936" s="1597"/>
      <c r="R936" s="1597"/>
      <c r="S936" s="1597"/>
      <c r="T936" s="1598"/>
      <c r="U936" s="1433" t="s">
        <v>600</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9" t="s">
        <v>2564</v>
      </c>
      <c r="G937" s="1590"/>
      <c r="H937" s="1590"/>
      <c r="I937" s="1590"/>
      <c r="J937" s="1590"/>
      <c r="K937" s="1590"/>
      <c r="L937" s="1590"/>
      <c r="M937" s="1590"/>
      <c r="N937" s="1590"/>
      <c r="O937" s="1590"/>
      <c r="P937" s="1590"/>
      <c r="Q937" s="1590"/>
      <c r="R937" s="1590"/>
      <c r="S937" s="1590"/>
      <c r="T937" s="1591"/>
      <c r="U937" s="1433" t="s">
        <v>600</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9" t="s">
        <v>2565</v>
      </c>
      <c r="G938" s="1590"/>
      <c r="H938" s="1590"/>
      <c r="I938" s="1590"/>
      <c r="J938" s="1590"/>
      <c r="K938" s="1590"/>
      <c r="L938" s="1590"/>
      <c r="M938" s="1590"/>
      <c r="N938" s="1590"/>
      <c r="O938" s="1590"/>
      <c r="P938" s="1590"/>
      <c r="Q938" s="1590"/>
      <c r="R938" s="1590"/>
      <c r="S938" s="1590"/>
      <c r="T938" s="1591"/>
      <c r="U938" s="1433" t="s">
        <v>554</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9" t="s">
        <v>2566</v>
      </c>
      <c r="G939" s="1590"/>
      <c r="H939" s="1590"/>
      <c r="I939" s="1590"/>
      <c r="J939" s="1590"/>
      <c r="K939" s="1590"/>
      <c r="L939" s="1590"/>
      <c r="M939" s="1590"/>
      <c r="N939" s="1590"/>
      <c r="O939" s="1590"/>
      <c r="P939" s="1590"/>
      <c r="Q939" s="1590"/>
      <c r="R939" s="1590"/>
      <c r="S939" s="1590"/>
      <c r="T939" s="1591"/>
      <c r="U939" s="1433" t="s">
        <v>600</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433" t="s">
        <v>600</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6" t="s">
        <v>2569</v>
      </c>
      <c r="G941" s="1597"/>
      <c r="H941" s="1597"/>
      <c r="I941" s="1597"/>
      <c r="J941" s="1597"/>
      <c r="K941" s="1597"/>
      <c r="L941" s="1597"/>
      <c r="M941" s="1597"/>
      <c r="N941" s="1597"/>
      <c r="O941" s="1597"/>
      <c r="P941" s="1597"/>
      <c r="Q941" s="1597"/>
      <c r="R941" s="1597"/>
      <c r="S941" s="1597"/>
      <c r="T941" s="1598"/>
      <c r="U941" s="1433" t="s">
        <v>600</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433" t="s">
        <v>600</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6" t="s">
        <v>2570</v>
      </c>
      <c r="G943" s="1597"/>
      <c r="H943" s="1597"/>
      <c r="I943" s="1597"/>
      <c r="J943" s="1597"/>
      <c r="K943" s="1597"/>
      <c r="L943" s="1597"/>
      <c r="M943" s="1597"/>
      <c r="N943" s="1597"/>
      <c r="O943" s="1597"/>
      <c r="P943" s="1597"/>
      <c r="Q943" s="1597"/>
      <c r="R943" s="1597"/>
      <c r="S943" s="1597"/>
      <c r="T943" s="1598"/>
      <c r="U943" s="1433" t="s">
        <v>600</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33" t="s">
        <v>678</v>
      </c>
      <c r="Q944" s="1434"/>
      <c r="R944" s="1434"/>
      <c r="S944" s="1434"/>
      <c r="T944" s="1435"/>
      <c r="U944" s="1433" t="s">
        <v>600</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2557</v>
      </c>
      <c r="G945" s="1590"/>
      <c r="H945" s="1591"/>
      <c r="I945" s="1546" t="s">
        <v>335</v>
      </c>
      <c r="J945" s="1575"/>
      <c r="K945" s="1575"/>
      <c r="L945" s="1575"/>
      <c r="M945" s="1575"/>
      <c r="N945" s="1575"/>
      <c r="O945" s="1575"/>
      <c r="P945" s="1575"/>
      <c r="Q945" s="1575"/>
      <c r="R945" s="1575"/>
      <c r="S945" s="1575"/>
      <c r="T945" s="1576"/>
      <c r="U945" s="1433" t="s">
        <v>600</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6" t="s">
        <v>2565</v>
      </c>
      <c r="J946" s="1575"/>
      <c r="K946" s="1575"/>
      <c r="L946" s="1575"/>
      <c r="M946" s="1575"/>
      <c r="N946" s="1575"/>
      <c r="O946" s="1575"/>
      <c r="P946" s="1575"/>
      <c r="Q946" s="1575"/>
      <c r="R946" s="1575"/>
      <c r="S946" s="1575"/>
      <c r="T946" s="1576"/>
      <c r="U946" s="1433" t="s">
        <v>554</v>
      </c>
      <c r="V946" s="1434"/>
      <c r="W946" s="1434"/>
      <c r="X946" s="1434"/>
      <c r="Y946" s="1434"/>
      <c r="Z946" s="1435"/>
      <c r="AA946" s="1436">
        <v>4822998</v>
      </c>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6" t="s">
        <v>2751</v>
      </c>
      <c r="J947" s="1547"/>
      <c r="K947" s="1547"/>
      <c r="L947" s="1547"/>
      <c r="M947" s="1547"/>
      <c r="N947" s="1547"/>
      <c r="O947" s="1547"/>
      <c r="P947" s="1547"/>
      <c r="Q947" s="1547"/>
      <c r="R947" s="1547"/>
      <c r="S947" s="1547"/>
      <c r="T947" s="1548"/>
      <c r="U947" s="1433" t="s">
        <v>554</v>
      </c>
      <c r="V947" s="1434"/>
      <c r="W947" s="1434"/>
      <c r="X947" s="1434"/>
      <c r="Y947" s="1434"/>
      <c r="Z947" s="1435"/>
      <c r="AA947" s="1436">
        <v>2057850</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6" t="s">
        <v>2754</v>
      </c>
      <c r="J948" s="1547"/>
      <c r="K948" s="1547"/>
      <c r="L948" s="1547"/>
      <c r="M948" s="1547"/>
      <c r="N948" s="1547"/>
      <c r="O948" s="1547"/>
      <c r="P948" s="1547"/>
      <c r="Q948" s="1547"/>
      <c r="R948" s="1547"/>
      <c r="S948" s="1547"/>
      <c r="T948" s="1548"/>
      <c r="U948" s="1433" t="s">
        <v>554</v>
      </c>
      <c r="V948" s="1434"/>
      <c r="W948" s="1434"/>
      <c r="X948" s="1434"/>
      <c r="Y948" s="1434"/>
      <c r="Z948" s="1435"/>
      <c r="AA948" s="1436">
        <v>4000000</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71" t="s">
        <v>335</v>
      </c>
      <c r="J949" s="1547"/>
      <c r="K949" s="1547"/>
      <c r="L949" s="1547"/>
      <c r="M949" s="1547"/>
      <c r="N949" s="1547"/>
      <c r="O949" s="1547"/>
      <c r="P949" s="1547"/>
      <c r="Q949" s="1547"/>
      <c r="R949" s="1547"/>
      <c r="S949" s="1547"/>
      <c r="T949" s="1548"/>
      <c r="U949" s="1433" t="s">
        <v>600</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5">
        <v>45380</v>
      </c>
      <c r="N954" s="1682"/>
      <c r="O954" s="1682"/>
      <c r="P954" s="1682"/>
      <c r="Q954" s="1682"/>
      <c r="R954" s="1682"/>
      <c r="S954" s="1726"/>
      <c r="U954" s="66" t="s">
        <v>11</v>
      </c>
      <c r="V954" s="5"/>
      <c r="W954" s="5"/>
      <c r="X954" s="5"/>
      <c r="Y954" s="5"/>
      <c r="Z954" s="5"/>
      <c r="AA954" s="5"/>
      <c r="AB954" s="5"/>
      <c r="AC954" s="5"/>
      <c r="AD954" s="46"/>
      <c r="AE954" s="1725"/>
      <c r="AF954" s="1682"/>
      <c r="AG954" s="1682"/>
      <c r="AH954" s="1682"/>
      <c r="AI954" s="1682"/>
      <c r="AJ954" s="1682"/>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2" t="s">
        <v>2731</v>
      </c>
      <c r="N955" s="1489"/>
      <c r="O955" s="1489"/>
      <c r="P955" s="1489"/>
      <c r="Q955" s="1489"/>
      <c r="R955" s="1489"/>
      <c r="S955" s="1553"/>
      <c r="U955" s="66" t="s">
        <v>12</v>
      </c>
      <c r="V955" s="5"/>
      <c r="W955" s="5"/>
      <c r="X955" s="5"/>
      <c r="Y955" s="5"/>
      <c r="Z955" s="5"/>
      <c r="AA955" s="5"/>
      <c r="AB955" s="5"/>
      <c r="AC955" s="5"/>
      <c r="AD955" s="46"/>
      <c r="AE955" s="1552"/>
      <c r="AF955" s="1489"/>
      <c r="AG955" s="1489"/>
      <c r="AH955" s="1489"/>
      <c r="AI955" s="1489"/>
      <c r="AJ955" s="1489"/>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54" t="s">
        <v>2694</v>
      </c>
      <c r="K956" s="1555"/>
      <c r="L956" s="1555"/>
      <c r="M956" s="1555"/>
      <c r="N956" s="1555"/>
      <c r="O956" s="1555"/>
      <c r="P956" s="1555"/>
      <c r="Q956" s="1555"/>
      <c r="R956" s="1555"/>
      <c r="S956" s="1556"/>
      <c r="U956" s="66" t="s">
        <v>893</v>
      </c>
      <c r="V956" s="5"/>
      <c r="W956" s="5"/>
      <c r="AB956" s="1554" t="s">
        <v>308</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1">
        <v>1</v>
      </c>
      <c r="N957" s="1722"/>
      <c r="O957" s="1722"/>
      <c r="P957" s="1722"/>
      <c r="Q957" s="1722"/>
      <c r="R957" s="1722"/>
      <c r="S957" s="1723"/>
      <c r="U957" s="66" t="s">
        <v>13</v>
      </c>
      <c r="V957" s="5"/>
      <c r="W957" s="5"/>
      <c r="X957" s="5"/>
      <c r="Y957" s="5"/>
      <c r="Z957" s="5"/>
      <c r="AA957" s="5"/>
      <c r="AB957" s="5"/>
      <c r="AC957" s="5"/>
      <c r="AD957" s="46"/>
      <c r="AE957" s="1724"/>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4">
        <v>34</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6">
        <v>787764</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6">
        <f>M959*20</f>
        <v>15755280</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28">
        <v>20</v>
      </c>
      <c r="N961" s="1429"/>
      <c r="O961" s="1429"/>
      <c r="P961" s="1429"/>
      <c r="Q961" s="1429"/>
      <c r="R961" s="1429"/>
      <c r="S961" s="1430"/>
      <c r="U961" s="121" t="s">
        <v>1776</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0"/>
      <c r="N966" s="1541"/>
      <c r="O966" s="1541"/>
      <c r="P966" s="1541"/>
      <c r="Q966" s="1541"/>
      <c r="R966" s="1541"/>
      <c r="S966" s="1542"/>
      <c r="T966" s="66" t="s">
        <v>800</v>
      </c>
      <c r="U966" s="5"/>
      <c r="V966" s="5"/>
      <c r="W966" s="5"/>
      <c r="X966" s="5"/>
      <c r="Y966" s="5"/>
      <c r="Z966" s="46"/>
      <c r="AA966" s="1540"/>
      <c r="AB966" s="1541"/>
      <c r="AC966" s="1541"/>
      <c r="AD966" s="1541"/>
      <c r="AE966" s="1541"/>
      <c r="AF966" s="1541"/>
      <c r="AG966" s="15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0"/>
      <c r="N967" s="1541"/>
      <c r="O967" s="1541"/>
      <c r="P967" s="1541"/>
      <c r="Q967" s="1541"/>
      <c r="R967" s="1541"/>
      <c r="S967" s="1542"/>
      <c r="T967" s="66" t="s">
        <v>799</v>
      </c>
      <c r="U967" s="5"/>
      <c r="V967" s="5"/>
      <c r="W967" s="5"/>
      <c r="X967" s="5"/>
      <c r="Y967" s="5"/>
      <c r="Z967" s="46"/>
      <c r="AA967" s="1540"/>
      <c r="AB967" s="1541"/>
      <c r="AC967" s="1541"/>
      <c r="AD967" s="1541"/>
      <c r="AE967" s="1541"/>
      <c r="AF967" s="1541"/>
      <c r="AG967" s="15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66" t="s">
        <v>600</v>
      </c>
      <c r="N968" s="1667"/>
      <c r="O968" s="1667"/>
      <c r="P968" s="1667"/>
      <c r="Q968" s="1667"/>
      <c r="R968" s="1667"/>
      <c r="S968" s="1668"/>
      <c r="T968" s="45" t="s">
        <v>338</v>
      </c>
      <c r="U968" s="5"/>
      <c r="V968" s="5"/>
      <c r="W968" s="5"/>
      <c r="X968" s="5"/>
      <c r="Y968" s="5"/>
      <c r="Z968" s="46"/>
      <c r="AA968" s="1540"/>
      <c r="AB968" s="1541"/>
      <c r="AC968" s="1541"/>
      <c r="AD968" s="1541"/>
      <c r="AE968" s="1541"/>
      <c r="AF968" s="1541"/>
      <c r="AG968" s="15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0"/>
      <c r="N969" s="1541"/>
      <c r="O969" s="1541"/>
      <c r="P969" s="1541"/>
      <c r="Q969" s="1541"/>
      <c r="R969" s="1541"/>
      <c r="S969" s="1542"/>
      <c r="T969" s="45" t="s">
        <v>339</v>
      </c>
      <c r="U969" s="5"/>
      <c r="V969" s="5"/>
      <c r="W969" s="5"/>
      <c r="X969" s="5"/>
      <c r="Y969" s="5"/>
      <c r="Z969" s="46"/>
      <c r="AA969" s="1540"/>
      <c r="AB969" s="1541"/>
      <c r="AC969" s="1541"/>
      <c r="AD969" s="1541"/>
      <c r="AE969" s="1541"/>
      <c r="AF969" s="1541"/>
      <c r="AG969" s="15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0"/>
      <c r="N970" s="1541"/>
      <c r="O970" s="1541"/>
      <c r="P970" s="1541"/>
      <c r="Q970" s="1541"/>
      <c r="R970" s="1541"/>
      <c r="S970" s="1542"/>
      <c r="T970" s="45" t="s">
        <v>377</v>
      </c>
      <c r="U970" s="5"/>
      <c r="V970" s="5"/>
      <c r="W970" s="5"/>
      <c r="X970" s="5"/>
      <c r="Y970" s="5"/>
      <c r="Z970" s="46"/>
      <c r="AA970" s="1540"/>
      <c r="AB970" s="1541"/>
      <c r="AC970" s="1541"/>
      <c r="AD970" s="1541"/>
      <c r="AE970" s="1541"/>
      <c r="AF970" s="1541"/>
      <c r="AG970" s="15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60" t="s">
        <v>308</v>
      </c>
      <c r="N971" s="1661"/>
      <c r="O971" s="1661"/>
      <c r="P971" s="1661"/>
      <c r="Q971" s="1661"/>
      <c r="R971" s="1661"/>
      <c r="S971" s="1662"/>
      <c r="T971" s="1572"/>
      <c r="U971" s="1573"/>
      <c r="V971" s="1573"/>
      <c r="W971" s="1573"/>
      <c r="X971" s="1573"/>
      <c r="Y971" s="1573"/>
      <c r="Z971" s="1574"/>
      <c r="AA971" s="1540"/>
      <c r="AB971" s="1541"/>
      <c r="AC971" s="1541"/>
      <c r="AD971" s="1541"/>
      <c r="AE971" s="1541"/>
      <c r="AF971" s="1541"/>
      <c r="AG971" s="15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0"/>
      <c r="N972" s="1541"/>
      <c r="O972" s="1541"/>
      <c r="P972" s="1541"/>
      <c r="Q972" s="1541"/>
      <c r="R972" s="1541"/>
      <c r="S972" s="1542"/>
      <c r="T972" s="1572"/>
      <c r="U972" s="1573"/>
      <c r="V972" s="1573"/>
      <c r="W972" s="1573"/>
      <c r="X972" s="1573"/>
      <c r="Y972" s="1573"/>
      <c r="Z972" s="1574"/>
      <c r="AA972" s="1540"/>
      <c r="AB972" s="1541"/>
      <c r="AC972" s="1541"/>
      <c r="AD972" s="1541"/>
      <c r="AE972" s="1541"/>
      <c r="AF972" s="1541"/>
      <c r="AG972" s="15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0" t="s">
        <v>678</v>
      </c>
      <c r="P973" s="1701"/>
      <c r="Q973" s="92"/>
      <c r="R973" s="92"/>
      <c r="S973" s="93"/>
      <c r="T973" s="41" t="s">
        <v>170</v>
      </c>
      <c r="U973" s="42"/>
      <c r="V973" s="42"/>
      <c r="W973" s="1657" t="s">
        <v>335</v>
      </c>
      <c r="X973" s="1658"/>
      <c r="Y973" s="1658"/>
      <c r="Z973" s="1658"/>
      <c r="AA973" s="1658"/>
      <c r="AB973" s="1658"/>
      <c r="AC973" s="1658"/>
      <c r="AD973" s="1658"/>
      <c r="AE973" s="1658"/>
      <c r="AF973" s="1658"/>
      <c r="AG973" s="165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7" t="s">
        <v>33</v>
      </c>
      <c r="G974" s="1449"/>
      <c r="H974" s="1449"/>
      <c r="I974" s="1449"/>
      <c r="J974" s="1449"/>
      <c r="K974" s="1449"/>
      <c r="L974" s="1449"/>
      <c r="M974" s="1540"/>
      <c r="N974" s="1541"/>
      <c r="O974" s="1541"/>
      <c r="P974" s="1541"/>
      <c r="Q974" s="1541"/>
      <c r="R974" s="1541"/>
      <c r="S974" s="1542"/>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5"/>
      <c r="BH975" s="1665"/>
      <c r="BI975" s="1665"/>
      <c r="BJ975" s="1665"/>
      <c r="BK975" s="1665"/>
      <c r="BL975" s="166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5" t="s">
        <v>557</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9" t="s">
        <v>647</v>
      </c>
      <c r="E984" s="1550"/>
      <c r="F984" s="1550"/>
      <c r="G984" s="1550"/>
      <c r="H984" s="1550"/>
      <c r="I984" s="1550"/>
      <c r="J984" s="1550"/>
      <c r="K984" s="1550"/>
      <c r="L984" s="1550"/>
      <c r="M984" s="1550"/>
      <c r="N984" s="1550"/>
      <c r="O984" s="1550"/>
      <c r="P984" s="1550"/>
      <c r="Q984" s="1551"/>
      <c r="R984" s="1549" t="s">
        <v>648</v>
      </c>
      <c r="S984" s="1550"/>
      <c r="T984" s="1550"/>
      <c r="U984" s="1550"/>
      <c r="V984" s="1550"/>
      <c r="W984" s="1550"/>
      <c r="X984" s="1550"/>
      <c r="Y984" s="1550"/>
      <c r="Z984" s="1550"/>
      <c r="AA984" s="1551"/>
      <c r="AB984" s="1549" t="s">
        <v>649</v>
      </c>
      <c r="AC984" s="1550"/>
      <c r="AD984" s="1550"/>
      <c r="AE984" s="1550"/>
      <c r="AF984" s="1550"/>
      <c r="AG984" s="1550"/>
      <c r="AH984" s="1550"/>
      <c r="AI984" s="1551"/>
      <c r="AJ984" s="1549" t="s">
        <v>650</v>
      </c>
      <c r="AK984" s="1550"/>
      <c r="AL984" s="1550"/>
      <c r="AM984" s="1550"/>
      <c r="AN984" s="1550"/>
      <c r="AO984" s="1550"/>
      <c r="AP984" s="1550"/>
      <c r="AQ984" s="15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2" t="s">
        <v>642</v>
      </c>
      <c r="E985" s="1423"/>
      <c r="F985" s="1423"/>
      <c r="G985" s="1423"/>
      <c r="H985" s="1423"/>
      <c r="I985" s="1423"/>
      <c r="J985" s="1423"/>
      <c r="K985" s="1423"/>
      <c r="L985" s="1423"/>
      <c r="M985" s="1423"/>
      <c r="N985" s="1423"/>
      <c r="O985" s="1423"/>
      <c r="P985" s="1423"/>
      <c r="Q985" s="1424"/>
      <c r="R985" s="1595">
        <f>IF(ISNA(IF($BN$796="4%",(INDEX($BP$806:$BT$863,MATCH($CB$796,$BO$806:$BO$863,0),MATCH(D985,$BP$805:$BT$805,0))),(INDEX($BW$806:$CA$863,MATCH($CB$796,$BV$806:$BV$863,0),MATCH(D985,$BW$805:$CA$805,0))))),0,IF($BN$796="4%",(INDEX($BP$806:$BT$863,MATCH($CB$796,$BO$806:$BO$863,0),MATCH(D985,$BP$805:$BT$805,0))),(INDEX($BW$806:$CA$863,MATCH($CB$796,$BV$806:$BV$863,0),MATCH(D985,$BW$805:$CA$805,0)))))</f>
        <v>387110</v>
      </c>
      <c r="S985" s="1595"/>
      <c r="T985" s="1595"/>
      <c r="U985" s="1595"/>
      <c r="V985" s="1595"/>
      <c r="W985" s="1595"/>
      <c r="X985" s="1595"/>
      <c r="Y985" s="1595"/>
      <c r="Z985" s="1595"/>
      <c r="AA985" s="1595"/>
      <c r="AB985" s="1425">
        <f>BN660</f>
        <v>29</v>
      </c>
      <c r="AC985" s="1426"/>
      <c r="AD985" s="1426"/>
      <c r="AE985" s="1426"/>
      <c r="AF985" s="1426"/>
      <c r="AG985" s="1426"/>
      <c r="AH985" s="1426"/>
      <c r="AI985" s="1427"/>
      <c r="AJ985" s="1514">
        <f>IF(ISERROR((R985*AB985)),0,(R985*AB985))</f>
        <v>11226190</v>
      </c>
      <c r="AK985" s="1515"/>
      <c r="AL985" s="1515"/>
      <c r="AM985" s="1515"/>
      <c r="AN985" s="1515"/>
      <c r="AO985" s="1515"/>
      <c r="AP985" s="1515"/>
      <c r="AQ985" s="151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2" t="s">
        <v>326</v>
      </c>
      <c r="E986" s="1423"/>
      <c r="F986" s="1423"/>
      <c r="G986" s="1423"/>
      <c r="H986" s="1423"/>
      <c r="I986" s="1423"/>
      <c r="J986" s="1423"/>
      <c r="K986" s="1423"/>
      <c r="L986" s="1423"/>
      <c r="M986" s="1423"/>
      <c r="N986" s="1423"/>
      <c r="O986" s="1423"/>
      <c r="P986" s="1423"/>
      <c r="Q986" s="1424"/>
      <c r="R986" s="1595">
        <f>IF(ISNA(IF($BN$796="4%",(INDEX($BP$806:$BT$863,MATCH($CB$796,$BO$806:$BO$863,0),MATCH(D986,$BP$805:$BT$805,0))),(INDEX($BW$806:$CA$863,MATCH($CB$796,$BV$806:$BV$863,0),MATCH(D986,$BW$805:$CA$805,0))))),0,IF($BN$796="4%",(INDEX($BP$806:$BT$863,MATCH($CB$796,$BO$806:$BO$863,0),MATCH(D986,$BP$805:$BT$805,0))),(INDEX($BW$806:$CA$863,MATCH($CB$796,$BV$806:$BV$863,0),MATCH(D986,$BW$805:$CA$805,0)))))</f>
        <v>446334</v>
      </c>
      <c r="S986" s="1595"/>
      <c r="T986" s="1595"/>
      <c r="U986" s="1595"/>
      <c r="V986" s="1595"/>
      <c r="W986" s="1595"/>
      <c r="X986" s="1595"/>
      <c r="Y986" s="1595"/>
      <c r="Z986" s="1595"/>
      <c r="AA986" s="1595"/>
      <c r="AB986" s="1425">
        <f>BS660</f>
        <v>5</v>
      </c>
      <c r="AC986" s="1426"/>
      <c r="AD986" s="1426"/>
      <c r="AE986" s="1426"/>
      <c r="AF986" s="1426"/>
      <c r="AG986" s="1426"/>
      <c r="AH986" s="1426"/>
      <c r="AI986" s="1427"/>
      <c r="AJ986" s="1514">
        <f>IF(ISERROR((R986*AB986)),0,(R986*AB986))</f>
        <v>2231670</v>
      </c>
      <c r="AK986" s="1515"/>
      <c r="AL986" s="1515"/>
      <c r="AM986" s="1515"/>
      <c r="AN986" s="1515"/>
      <c r="AO986" s="1515"/>
      <c r="AP986" s="1515"/>
      <c r="AQ986" s="151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2" t="s">
        <v>163</v>
      </c>
      <c r="E987" s="1423"/>
      <c r="F987" s="1423"/>
      <c r="G987" s="1423"/>
      <c r="H987" s="1423"/>
      <c r="I987" s="1423"/>
      <c r="J987" s="1423"/>
      <c r="K987" s="1423"/>
      <c r="L987" s="1423"/>
      <c r="M987" s="1423"/>
      <c r="N987" s="1423"/>
      <c r="O987" s="1423"/>
      <c r="P987" s="1423"/>
      <c r="Q987" s="1424"/>
      <c r="R987" s="1595">
        <f>IF(ISNA(IF($BN$796="4%",(INDEX($BP$806:$BT$863,MATCH($CB$796,$BO$806:$BO$863,0),MATCH(D987,$BP$805:$BT$805,0))),(INDEX($BW$806:$CA$863,MATCH($CB$796,$BV$806:$BV$863,0),MATCH(D987,$BW$805:$CA$805,0))))),0,IF($BN$796="4%",(INDEX($BP$806:$BT$863,MATCH($CB$796,$BO$806:$BO$863,0),MATCH(D987,$BP$805:$BT$805,0))),(INDEX($BW$806:$CA$863,MATCH($CB$796,$BV$806:$BV$863,0),MATCH(D987,$BW$805:$CA$805,0)))))</f>
        <v>538400</v>
      </c>
      <c r="S987" s="1595"/>
      <c r="T987" s="1595"/>
      <c r="U987" s="1595"/>
      <c r="V987" s="1595"/>
      <c r="W987" s="1595"/>
      <c r="X987" s="1595"/>
      <c r="Y987" s="1595"/>
      <c r="Z987" s="1595"/>
      <c r="AA987" s="1595"/>
      <c r="AB987" s="1425">
        <f>BX660</f>
        <v>1</v>
      </c>
      <c r="AC987" s="1426"/>
      <c r="AD987" s="1426"/>
      <c r="AE987" s="1426"/>
      <c r="AF987" s="1426"/>
      <c r="AG987" s="1426"/>
      <c r="AH987" s="1426"/>
      <c r="AI987" s="1427"/>
      <c r="AJ987" s="1514">
        <f>IF(ISERROR((R987*AB987)),0,(R987*AB987))</f>
        <v>538400</v>
      </c>
      <c r="AK987" s="1515"/>
      <c r="AL987" s="1515"/>
      <c r="AM987" s="1515"/>
      <c r="AN987" s="1515"/>
      <c r="AO987" s="1515"/>
      <c r="AP987" s="1515"/>
      <c r="AQ987" s="151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2" t="s">
        <v>164</v>
      </c>
      <c r="E988" s="1423"/>
      <c r="F988" s="1423"/>
      <c r="G988" s="1423"/>
      <c r="H988" s="1423"/>
      <c r="I988" s="1423"/>
      <c r="J988" s="1423"/>
      <c r="K988" s="1423"/>
      <c r="L988" s="1423"/>
      <c r="M988" s="1423"/>
      <c r="N988" s="1423"/>
      <c r="O988" s="1423"/>
      <c r="P988" s="1423"/>
      <c r="Q988" s="1424"/>
      <c r="R988" s="1595">
        <f>IF(ISNA(IF($BN$796="4%",(INDEX($BP$806:$BT$863,MATCH($CB$796,$BO$806:$BO$863,0),MATCH(D988,$BP$805:$BT$805,0))),(INDEX($BW$806:$CA$863,MATCH($CB$796,$BV$806:$BV$863,0),MATCH(D988,$BW$805:$CA$805,0))))),0,IF($BN$796="4%",(INDEX($BP$806:$BT$863,MATCH($CB$796,$BO$806:$BO$863,0),MATCH(D988,$BP$805:$BT$805,0))),(INDEX($BW$806:$CA$863,MATCH($CB$796,$BV$806:$BV$863,0),MATCH(D988,$BW$805:$CA$805,0)))))</f>
        <v>689152</v>
      </c>
      <c r="S988" s="1595"/>
      <c r="T988" s="1595"/>
      <c r="U988" s="1595"/>
      <c r="V988" s="1595"/>
      <c r="W988" s="1595"/>
      <c r="X988" s="1595"/>
      <c r="Y988" s="1595"/>
      <c r="Z988" s="1595"/>
      <c r="AA988" s="1595"/>
      <c r="AB988" s="1425">
        <f>CC660</f>
        <v>0</v>
      </c>
      <c r="AC988" s="1426"/>
      <c r="AD988" s="1426"/>
      <c r="AE988" s="1426"/>
      <c r="AF988" s="1426"/>
      <c r="AG988" s="1426"/>
      <c r="AH988" s="1426"/>
      <c r="AI988" s="1427"/>
      <c r="AJ988" s="1514">
        <f>IF(ISERROR((R988*AB988)),0,(R988*AB988))</f>
        <v>0</v>
      </c>
      <c r="AK988" s="1515"/>
      <c r="AL988" s="1515"/>
      <c r="AM988" s="1515"/>
      <c r="AN988" s="1515"/>
      <c r="AO988" s="1515"/>
      <c r="AP988" s="1515"/>
      <c r="AQ988" s="151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2" t="s">
        <v>469</v>
      </c>
      <c r="E989" s="1423"/>
      <c r="F989" s="1423"/>
      <c r="G989" s="1423"/>
      <c r="H989" s="1423"/>
      <c r="I989" s="1423"/>
      <c r="J989" s="1423"/>
      <c r="K989" s="1423"/>
      <c r="L989" s="1423"/>
      <c r="M989" s="1423"/>
      <c r="N989" s="1423"/>
      <c r="O989" s="1423"/>
      <c r="P989" s="1423"/>
      <c r="Q989" s="1424"/>
      <c r="R989" s="1595">
        <f>IF(ISNA(IF($BN$796="4%",(INDEX($BP$806:$BT$863,MATCH($CB$796,$BO$806:$BO$863,0),MATCH(D989,$BP$805:$BT$805,0))),(INDEX($BW$806:$CA$863,MATCH($CB$796,$BV$806:$BV$863,0),MATCH(D989,$BW$805:$CA$805,0))))),0,IF($BN$796="4%",(INDEX($BP$806:$BT$863,MATCH($CB$796,$BO$806:$BO$863,0),MATCH(D989,$BP$805:$BT$805,0))),(INDEX($BW$806:$CA$863,MATCH($CB$796,$BV$806:$BV$863,0),MATCH(D989,$BW$805:$CA$805,0)))))</f>
        <v>767758</v>
      </c>
      <c r="S989" s="1595"/>
      <c r="T989" s="1595"/>
      <c r="U989" s="1595"/>
      <c r="V989" s="1595"/>
      <c r="W989" s="1595"/>
      <c r="X989" s="1595"/>
      <c r="Y989" s="1595"/>
      <c r="Z989" s="1595"/>
      <c r="AA989" s="1595"/>
      <c r="AB989" s="1425">
        <f>CM660+CH660</f>
        <v>0</v>
      </c>
      <c r="AC989" s="1426"/>
      <c r="AD989" s="1426"/>
      <c r="AE989" s="1426"/>
      <c r="AF989" s="1426"/>
      <c r="AG989" s="1426"/>
      <c r="AH989" s="1426"/>
      <c r="AI989" s="1427"/>
      <c r="AJ989" s="1514">
        <f>IF(ISERROR((R989*AB989)),0,(R989*AB989))</f>
        <v>0</v>
      </c>
      <c r="AK989" s="1515"/>
      <c r="AL989" s="1515"/>
      <c r="AM989" s="1515"/>
      <c r="AN989" s="1515"/>
      <c r="AO989" s="1515"/>
      <c r="AP989" s="1515"/>
      <c r="AQ989" s="151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6" t="s">
        <v>801</v>
      </c>
      <c r="C990" s="1617"/>
      <c r="D990" s="1617"/>
      <c r="E990" s="1617"/>
      <c r="F990" s="1617"/>
      <c r="G990" s="1617"/>
      <c r="H990" s="1617"/>
      <c r="I990" s="1617"/>
      <c r="J990" s="1617"/>
      <c r="K990" s="1617"/>
      <c r="L990" s="1617"/>
      <c r="M990" s="1617"/>
      <c r="N990" s="1617"/>
      <c r="O990" s="1617"/>
      <c r="P990" s="1617"/>
      <c r="Q990" s="1617"/>
      <c r="R990" s="1617"/>
      <c r="S990" s="1617"/>
      <c r="T990" s="1617"/>
      <c r="U990" s="1617"/>
      <c r="V990" s="1617"/>
      <c r="W990" s="1617"/>
      <c r="X990" s="1617"/>
      <c r="Y990" s="1617"/>
      <c r="Z990" s="1617"/>
      <c r="AA990" s="1618"/>
      <c r="AB990" s="1425">
        <f>SUM(AB985:AI989)</f>
        <v>35</v>
      </c>
      <c r="AC990" s="1426"/>
      <c r="AD990" s="1426"/>
      <c r="AE990" s="1426"/>
      <c r="AF990" s="1426"/>
      <c r="AG990" s="1426"/>
      <c r="AH990" s="1426"/>
      <c r="AI990" s="1427"/>
      <c r="AJ990" s="1514"/>
      <c r="AK990" s="1515"/>
      <c r="AL990" s="1515"/>
      <c r="AM990" s="1515"/>
      <c r="AN990" s="1515"/>
      <c r="AO990" s="1515"/>
      <c r="AP990" s="1515"/>
      <c r="AQ990" s="151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2" t="s">
        <v>521</v>
      </c>
      <c r="C991" s="1593"/>
      <c r="D991" s="1593"/>
      <c r="E991" s="1593"/>
      <c r="F991" s="1593"/>
      <c r="G991" s="1593"/>
      <c r="H991" s="1593"/>
      <c r="I991" s="1593"/>
      <c r="J991" s="1593"/>
      <c r="K991" s="1593"/>
      <c r="L991" s="1593"/>
      <c r="M991" s="1593"/>
      <c r="N991" s="1593"/>
      <c r="O991" s="1593"/>
      <c r="P991" s="1593"/>
      <c r="Q991" s="1593"/>
      <c r="R991" s="1593"/>
      <c r="S991" s="1593"/>
      <c r="T991" s="1593"/>
      <c r="U991" s="1593"/>
      <c r="V991" s="1593"/>
      <c r="W991" s="1593"/>
      <c r="X991" s="1593"/>
      <c r="Y991" s="1593"/>
      <c r="Z991" s="1593"/>
      <c r="AA991" s="1593"/>
      <c r="AB991" s="1593"/>
      <c r="AC991" s="1593"/>
      <c r="AD991" s="1593"/>
      <c r="AE991" s="1593"/>
      <c r="AF991" s="1593"/>
      <c r="AG991" s="1593"/>
      <c r="AH991" s="1593"/>
      <c r="AI991" s="1594"/>
      <c r="AJ991" s="1514">
        <f>SUM(AJ985:AQ989)</f>
        <v>13996260</v>
      </c>
      <c r="AK991" s="1515"/>
      <c r="AL991" s="1515"/>
      <c r="AM991" s="1515"/>
      <c r="AN991" s="1515"/>
      <c r="AO991" s="1515"/>
      <c r="AP991" s="1515"/>
      <c r="AQ991" s="151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7"/>
      <c r="C992" s="1518"/>
      <c r="D992" s="1518"/>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523" t="s">
        <v>675</v>
      </c>
      <c r="AG992" s="1524"/>
      <c r="AH992" s="1524"/>
      <c r="AI992" s="1525"/>
      <c r="AJ992" s="1517"/>
      <c r="AK992" s="1518"/>
      <c r="AL992" s="1518"/>
      <c r="AM992" s="1518"/>
      <c r="AN992" s="1518"/>
      <c r="AO992" s="1518"/>
      <c r="AP992" s="1518"/>
      <c r="AQ992" s="151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0" t="s">
        <v>1327</v>
      </c>
      <c r="E993" s="1531"/>
      <c r="F993" s="1531"/>
      <c r="G993" s="1531"/>
      <c r="H993" s="1531"/>
      <c r="I993" s="1531"/>
      <c r="J993" s="1531"/>
      <c r="K993" s="1531"/>
      <c r="L993" s="1531"/>
      <c r="M993" s="1531"/>
      <c r="N993" s="1531"/>
      <c r="O993" s="1531"/>
      <c r="P993" s="1531"/>
      <c r="Q993" s="1531"/>
      <c r="R993" s="1531"/>
      <c r="S993" s="1531"/>
      <c r="T993" s="1531"/>
      <c r="U993" s="1531"/>
      <c r="V993" s="1531"/>
      <c r="W993" s="1531"/>
      <c r="X993" s="1531"/>
      <c r="Y993" s="1531"/>
      <c r="Z993" s="1531"/>
      <c r="AA993" s="1531"/>
      <c r="AB993" s="1531"/>
      <c r="AC993" s="1531"/>
      <c r="AD993" s="1531"/>
      <c r="AE993" s="1532"/>
      <c r="AF993" s="79"/>
      <c r="AG993" s="1526" t="s">
        <v>554</v>
      </c>
      <c r="AH993" s="1527"/>
      <c r="AI993" s="87"/>
      <c r="AJ993" s="1557">
        <f>ROUND(IF(AND(AG993="yes",D999&gt;0),AJ991*0.2,0),0)</f>
        <v>2799252</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7" t="s">
        <v>2571</v>
      </c>
      <c r="E994" s="1578"/>
      <c r="F994" s="1578"/>
      <c r="G994" s="1578"/>
      <c r="H994" s="1578"/>
      <c r="I994" s="1578"/>
      <c r="J994" s="1578"/>
      <c r="K994" s="1578"/>
      <c r="L994" s="1578"/>
      <c r="M994" s="1578"/>
      <c r="N994" s="1578"/>
      <c r="O994" s="1578"/>
      <c r="P994" s="1578"/>
      <c r="Q994" s="1578"/>
      <c r="R994" s="1578"/>
      <c r="S994" s="1578"/>
      <c r="T994" s="1578"/>
      <c r="U994" s="1578"/>
      <c r="V994" s="1578"/>
      <c r="W994" s="1578"/>
      <c r="X994" s="1578"/>
      <c r="Y994" s="1578"/>
      <c r="Z994" s="1578"/>
      <c r="AA994" s="1578"/>
      <c r="AB994" s="1578"/>
      <c r="AC994" s="1578"/>
      <c r="AD994" s="1578"/>
      <c r="AE994" s="1579"/>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7"/>
      <c r="E995" s="1578"/>
      <c r="F995" s="1578"/>
      <c r="G995" s="1578"/>
      <c r="H995" s="1578"/>
      <c r="I995" s="1578"/>
      <c r="J995" s="1578"/>
      <c r="K995" s="1578"/>
      <c r="L995" s="1578"/>
      <c r="M995" s="1578"/>
      <c r="N995" s="1578"/>
      <c r="O995" s="1578"/>
      <c r="P995" s="1578"/>
      <c r="Q995" s="1578"/>
      <c r="R995" s="1578"/>
      <c r="S995" s="1578"/>
      <c r="T995" s="1578"/>
      <c r="U995" s="1578"/>
      <c r="V995" s="1578"/>
      <c r="W995" s="1578"/>
      <c r="X995" s="1578"/>
      <c r="Y995" s="1578"/>
      <c r="Z995" s="1578"/>
      <c r="AA995" s="1578"/>
      <c r="AB995" s="1578"/>
      <c r="AC995" s="1578"/>
      <c r="AD995" s="1578"/>
      <c r="AE995" s="1579"/>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7"/>
      <c r="E996" s="1578"/>
      <c r="F996" s="1578"/>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578"/>
      <c r="AB996" s="1578"/>
      <c r="AC996" s="1578"/>
      <c r="AD996" s="1578"/>
      <c r="AE996" s="1579"/>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7"/>
      <c r="E997" s="1578"/>
      <c r="F997" s="1578"/>
      <c r="G997" s="1578"/>
      <c r="H997" s="1578"/>
      <c r="I997" s="1578"/>
      <c r="J997" s="1578"/>
      <c r="K997" s="1578"/>
      <c r="L997" s="1578"/>
      <c r="M997" s="1578"/>
      <c r="N997" s="1578"/>
      <c r="O997" s="1578"/>
      <c r="P997" s="1578"/>
      <c r="Q997" s="1578"/>
      <c r="R997" s="1578"/>
      <c r="S997" s="1578"/>
      <c r="T997" s="1578"/>
      <c r="U997" s="1578"/>
      <c r="V997" s="1578"/>
      <c r="W997" s="1578"/>
      <c r="X997" s="1578"/>
      <c r="Y997" s="1578"/>
      <c r="Z997" s="1578"/>
      <c r="AA997" s="1578"/>
      <c r="AB997" s="1578"/>
      <c r="AC997" s="1578"/>
      <c r="AD997" s="1578"/>
      <c r="AE997" s="1579"/>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0" t="s">
        <v>2572</v>
      </c>
      <c r="E998" s="1581"/>
      <c r="F998" s="1581"/>
      <c r="G998" s="1581"/>
      <c r="H998" s="1581"/>
      <c r="I998" s="1581"/>
      <c r="J998" s="1581"/>
      <c r="K998" s="1581"/>
      <c r="L998" s="1581"/>
      <c r="M998" s="1581"/>
      <c r="N998" s="1581"/>
      <c r="O998" s="1581"/>
      <c r="P998" s="1581"/>
      <c r="Q998" s="1581"/>
      <c r="R998" s="1581"/>
      <c r="S998" s="1581"/>
      <c r="T998" s="1581"/>
      <c r="U998" s="1581"/>
      <c r="V998" s="1581"/>
      <c r="W998" s="1581"/>
      <c r="X998" s="1581"/>
      <c r="Y998" s="1581"/>
      <c r="Z998" s="1581"/>
      <c r="AA998" s="1581"/>
      <c r="AB998" s="1581"/>
      <c r="AC998" s="1581"/>
      <c r="AD998" s="1581"/>
      <c r="AE998" s="1582"/>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9" t="s">
        <v>2745</v>
      </c>
      <c r="E999" s="1620"/>
      <c r="F999" s="1620"/>
      <c r="G999" s="1620"/>
      <c r="H999" s="1620"/>
      <c r="I999" s="1620"/>
      <c r="J999" s="1620"/>
      <c r="K999" s="1620"/>
      <c r="L999" s="1620"/>
      <c r="M999" s="1620"/>
      <c r="N999" s="1620"/>
      <c r="O999" s="1620"/>
      <c r="P999" s="1620"/>
      <c r="Q999" s="1620"/>
      <c r="R999" s="1620"/>
      <c r="S999" s="1620"/>
      <c r="T999" s="1620"/>
      <c r="U999" s="1620"/>
      <c r="V999" s="1620"/>
      <c r="W999" s="1620"/>
      <c r="X999" s="1620"/>
      <c r="Y999" s="1620"/>
      <c r="Z999" s="1620"/>
      <c r="AA999" s="1620"/>
      <c r="AB999" s="1620"/>
      <c r="AC999" s="1620"/>
      <c r="AD999" s="1620"/>
      <c r="AE999" s="1621"/>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0" t="s">
        <v>1397</v>
      </c>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79"/>
      <c r="AG1000" s="1528" t="s">
        <v>678</v>
      </c>
      <c r="AH1000" s="1529"/>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7" t="s">
        <v>1395</v>
      </c>
      <c r="E1001" s="1578"/>
      <c r="F1001" s="1578"/>
      <c r="G1001" s="1578"/>
      <c r="H1001" s="1578"/>
      <c r="I1001" s="1578"/>
      <c r="J1001" s="1578"/>
      <c r="K1001" s="1578"/>
      <c r="L1001" s="1578"/>
      <c r="M1001" s="1578"/>
      <c r="N1001" s="1578"/>
      <c r="O1001" s="1578"/>
      <c r="P1001" s="1578"/>
      <c r="Q1001" s="1578"/>
      <c r="R1001" s="1578"/>
      <c r="S1001" s="1578"/>
      <c r="T1001" s="1578"/>
      <c r="U1001" s="1578"/>
      <c r="V1001" s="1578"/>
      <c r="W1001" s="1578"/>
      <c r="X1001" s="1578"/>
      <c r="Y1001" s="1578"/>
      <c r="Z1001" s="1578"/>
      <c r="AA1001" s="1578"/>
      <c r="AB1001" s="1578"/>
      <c r="AC1001" s="1578"/>
      <c r="AD1001" s="1578"/>
      <c r="AE1001" s="1579"/>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7"/>
      <c r="E1002" s="1578"/>
      <c r="F1002" s="1578"/>
      <c r="G1002" s="1578"/>
      <c r="H1002" s="1578"/>
      <c r="I1002" s="1578"/>
      <c r="J1002" s="1578"/>
      <c r="K1002" s="1578"/>
      <c r="L1002" s="1578"/>
      <c r="M1002" s="1578"/>
      <c r="N1002" s="1578"/>
      <c r="O1002" s="1578"/>
      <c r="P1002" s="1578"/>
      <c r="Q1002" s="1578"/>
      <c r="R1002" s="1578"/>
      <c r="S1002" s="1578"/>
      <c r="T1002" s="1578"/>
      <c r="U1002" s="1578"/>
      <c r="V1002" s="1578"/>
      <c r="W1002" s="1578"/>
      <c r="X1002" s="1578"/>
      <c r="Y1002" s="1578"/>
      <c r="Z1002" s="1578"/>
      <c r="AA1002" s="1578"/>
      <c r="AB1002" s="1578"/>
      <c r="AC1002" s="1578"/>
      <c r="AD1002" s="1578"/>
      <c r="AE1002" s="1579"/>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34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7"/>
      <c r="E1003" s="1578"/>
      <c r="F1003" s="1578"/>
      <c r="G1003" s="1578"/>
      <c r="H1003" s="1578"/>
      <c r="I1003" s="1578"/>
      <c r="J1003" s="1578"/>
      <c r="K1003" s="1578"/>
      <c r="L1003" s="1578"/>
      <c r="M1003" s="1578"/>
      <c r="N1003" s="1578"/>
      <c r="O1003" s="1578"/>
      <c r="P1003" s="1578"/>
      <c r="Q1003" s="1578"/>
      <c r="R1003" s="1578"/>
      <c r="S1003" s="1578"/>
      <c r="T1003" s="1578"/>
      <c r="U1003" s="1578"/>
      <c r="V1003" s="1578"/>
      <c r="W1003" s="1578"/>
      <c r="X1003" s="1578"/>
      <c r="Y1003" s="1578"/>
      <c r="Z1003" s="1578"/>
      <c r="AA1003" s="1578"/>
      <c r="AB1003" s="1578"/>
      <c r="AC1003" s="1578"/>
      <c r="AD1003" s="1578"/>
      <c r="AE1003" s="1579"/>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0.08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0"/>
      <c r="E1005" s="1581"/>
      <c r="F1005" s="1581"/>
      <c r="G1005" s="1581"/>
      <c r="H1005" s="1581"/>
      <c r="I1005" s="1581"/>
      <c r="J1005" s="1581"/>
      <c r="K1005" s="1581"/>
      <c r="L1005" s="1581"/>
      <c r="M1005" s="1581"/>
      <c r="N1005" s="1581"/>
      <c r="O1005" s="1581"/>
      <c r="P1005" s="1581"/>
      <c r="Q1005" s="1581"/>
      <c r="R1005" s="1581"/>
      <c r="S1005" s="1581"/>
      <c r="T1005" s="1581"/>
      <c r="U1005" s="1581"/>
      <c r="V1005" s="1581"/>
      <c r="W1005" s="1581"/>
      <c r="X1005" s="1581"/>
      <c r="Y1005" s="1581"/>
      <c r="Z1005" s="1581"/>
      <c r="AA1005" s="1581"/>
      <c r="AB1005" s="1581"/>
      <c r="AC1005" s="1581"/>
      <c r="AD1005" s="1581"/>
      <c r="AE1005" s="1582"/>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0.85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0" t="s">
        <v>1874</v>
      </c>
      <c r="E1006" s="1521"/>
      <c r="F1006" s="1521"/>
      <c r="G1006" s="1521"/>
      <c r="H1006" s="1521"/>
      <c r="I1006" s="1521"/>
      <c r="J1006" s="1521"/>
      <c r="K1006" s="1521"/>
      <c r="L1006" s="1521"/>
      <c r="M1006" s="1521"/>
      <c r="N1006" s="1521"/>
      <c r="O1006" s="1521"/>
      <c r="P1006" s="1521"/>
      <c r="Q1006" s="1521"/>
      <c r="R1006" s="1521"/>
      <c r="S1006" s="1521"/>
      <c r="T1006" s="1521"/>
      <c r="U1006" s="1521"/>
      <c r="V1006" s="1521"/>
      <c r="W1006" s="1521"/>
      <c r="X1006" s="1521"/>
      <c r="Y1006" s="1521"/>
      <c r="Z1006" s="1521"/>
      <c r="AA1006" s="1521"/>
      <c r="AB1006" s="1521"/>
      <c r="AC1006" s="1521"/>
      <c r="AD1006" s="1521"/>
      <c r="AE1006" s="1522"/>
      <c r="AF1006" s="86"/>
      <c r="AG1006" s="1528" t="s">
        <v>678</v>
      </c>
      <c r="AH1006" s="1529"/>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2.95" customHeight="1">
      <c r="A1007" s="14"/>
      <c r="B1007" s="73"/>
      <c r="C1007" s="74"/>
      <c r="D1007" s="1508" t="s">
        <v>1396</v>
      </c>
      <c r="E1007" s="1509"/>
      <c r="F1007" s="1509"/>
      <c r="G1007" s="1509"/>
      <c r="H1007" s="1509"/>
      <c r="I1007" s="1509"/>
      <c r="J1007" s="1509"/>
      <c r="K1007" s="1509"/>
      <c r="L1007" s="1509"/>
      <c r="M1007" s="1509"/>
      <c r="N1007" s="1509"/>
      <c r="O1007" s="1509"/>
      <c r="P1007" s="1509"/>
      <c r="Q1007" s="1509"/>
      <c r="R1007" s="1509"/>
      <c r="S1007" s="1509"/>
      <c r="T1007" s="1509"/>
      <c r="U1007" s="1509"/>
      <c r="V1007" s="1509"/>
      <c r="W1007" s="1509"/>
      <c r="X1007" s="1509"/>
      <c r="Y1007" s="1509"/>
      <c r="Z1007" s="1509"/>
      <c r="AA1007" s="1509"/>
      <c r="AB1007" s="1509"/>
      <c r="AC1007" s="1509"/>
      <c r="AD1007" s="1509"/>
      <c r="AE1007" s="1510"/>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2.95" customHeight="1">
      <c r="A1008" s="14"/>
      <c r="B1008" s="73"/>
      <c r="C1008" s="74"/>
      <c r="D1008" s="1508"/>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2.95" customHeight="1">
      <c r="A1009" s="14"/>
      <c r="B1009" s="85"/>
      <c r="C1009" s="76"/>
      <c r="D1009" s="1533"/>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2.95" customHeight="1">
      <c r="A1010" s="14"/>
      <c r="B1010" s="79"/>
      <c r="C1010" s="80" t="s">
        <v>213</v>
      </c>
      <c r="D1010" s="1520" t="s">
        <v>1398</v>
      </c>
      <c r="E1010" s="1521"/>
      <c r="F1010" s="1521"/>
      <c r="G1010" s="1521"/>
      <c r="H1010" s="1521"/>
      <c r="I1010" s="1521"/>
      <c r="J1010" s="1521"/>
      <c r="K1010" s="1521"/>
      <c r="L1010" s="1521"/>
      <c r="M1010" s="1521"/>
      <c r="N1010" s="1521"/>
      <c r="O1010" s="1521"/>
      <c r="P1010" s="1521"/>
      <c r="Q1010" s="1521"/>
      <c r="R1010" s="1521"/>
      <c r="S1010" s="1521"/>
      <c r="T1010" s="1521"/>
      <c r="U1010" s="1521"/>
      <c r="V1010" s="1521"/>
      <c r="W1010" s="1521"/>
      <c r="X1010" s="1521"/>
      <c r="Y1010" s="1521"/>
      <c r="Z1010" s="1521"/>
      <c r="AA1010" s="1521"/>
      <c r="AB1010" s="1521"/>
      <c r="AC1010" s="1521"/>
      <c r="AD1010" s="1521"/>
      <c r="AE1010" s="1522"/>
      <c r="AF1010" s="79"/>
      <c r="AG1010" s="1528" t="s">
        <v>678</v>
      </c>
      <c r="AH1010" s="1529"/>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3" t="s">
        <v>1399</v>
      </c>
      <c r="E1011" s="1534"/>
      <c r="F1011" s="1534"/>
      <c r="G1011" s="1534"/>
      <c r="H1011" s="1534"/>
      <c r="I1011" s="1534"/>
      <c r="J1011" s="1534"/>
      <c r="K1011" s="1534"/>
      <c r="L1011" s="1534"/>
      <c r="M1011" s="1534"/>
      <c r="N1011" s="1534"/>
      <c r="O1011" s="1534"/>
      <c r="P1011" s="1534"/>
      <c r="Q1011" s="1534"/>
      <c r="R1011" s="1534"/>
      <c r="S1011" s="1534"/>
      <c r="T1011" s="1534"/>
      <c r="U1011" s="1534"/>
      <c r="V1011" s="1534"/>
      <c r="W1011" s="1534"/>
      <c r="X1011" s="1534"/>
      <c r="Y1011" s="1534"/>
      <c r="Z1011" s="1534"/>
      <c r="AA1011" s="1534"/>
      <c r="AB1011" s="1534"/>
      <c r="AC1011" s="1534"/>
      <c r="AD1011" s="1534"/>
      <c r="AE1011" s="1535"/>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2.95" customHeight="1">
      <c r="A1012" s="14"/>
      <c r="B1012" s="79"/>
      <c r="C1012" s="80" t="s">
        <v>216</v>
      </c>
      <c r="D1012" s="1520" t="s">
        <v>1400</v>
      </c>
      <c r="E1012" s="1521"/>
      <c r="F1012" s="1521"/>
      <c r="G1012" s="1521"/>
      <c r="H1012" s="1521"/>
      <c r="I1012" s="1521"/>
      <c r="J1012" s="1521"/>
      <c r="K1012" s="1521"/>
      <c r="L1012" s="1521"/>
      <c r="M1012" s="1521"/>
      <c r="N1012" s="1521"/>
      <c r="O1012" s="1521"/>
      <c r="P1012" s="1521"/>
      <c r="Q1012" s="1521"/>
      <c r="R1012" s="1521"/>
      <c r="S1012" s="1521"/>
      <c r="T1012" s="1521"/>
      <c r="U1012" s="1521"/>
      <c r="V1012" s="1521"/>
      <c r="W1012" s="1521"/>
      <c r="X1012" s="1521"/>
      <c r="Y1012" s="1521"/>
      <c r="Z1012" s="1521"/>
      <c r="AA1012" s="1521"/>
      <c r="AB1012" s="1521"/>
      <c r="AC1012" s="1521"/>
      <c r="AD1012" s="1521"/>
      <c r="AE1012" s="1522"/>
      <c r="AF1012" s="79"/>
      <c r="AG1012" s="1528" t="s">
        <v>554</v>
      </c>
      <c r="AH1012" s="1529"/>
      <c r="AI1012" s="79"/>
      <c r="AJ1012" s="1557">
        <f>ROUND(IF(AG1012="yes",AJ991*0.02,0),0)</f>
        <v>279925</v>
      </c>
      <c r="AK1012" s="1558"/>
      <c r="AL1012" s="1558"/>
      <c r="AM1012" s="1558"/>
      <c r="AN1012" s="1558"/>
      <c r="AO1012" s="1558"/>
      <c r="AP1012" s="1558"/>
      <c r="AQ1012" s="1559"/>
      <c r="AR1012" s="68"/>
      <c r="AS1012" s="68"/>
      <c r="AT1012" s="68"/>
      <c r="AU1012" s="68"/>
      <c r="AV1012" s="68"/>
      <c r="AW1012" s="68"/>
      <c r="AX1012" s="68"/>
      <c r="AY1012" s="213">
        <f>IF(A1064="Yes",0.05,0)</f>
        <v>0</v>
      </c>
    </row>
    <row r="1013" spans="1:51" ht="12.95" customHeight="1">
      <c r="A1013" s="14"/>
      <c r="B1013" s="73"/>
      <c r="C1013" s="74"/>
      <c r="D1013" s="1508" t="s">
        <v>1401</v>
      </c>
      <c r="E1013" s="1509"/>
      <c r="F1013" s="1509"/>
      <c r="G1013" s="1509"/>
      <c r="H1013" s="1509"/>
      <c r="I1013" s="1509"/>
      <c r="J1013" s="1509"/>
      <c r="K1013" s="1509"/>
      <c r="L1013" s="1509"/>
      <c r="M1013" s="1509"/>
      <c r="N1013" s="1509"/>
      <c r="O1013" s="1509"/>
      <c r="P1013" s="1509"/>
      <c r="Q1013" s="1509"/>
      <c r="R1013" s="1509"/>
      <c r="S1013" s="1509"/>
      <c r="T1013" s="1509"/>
      <c r="U1013" s="1509"/>
      <c r="V1013" s="1509"/>
      <c r="W1013" s="1509"/>
      <c r="X1013" s="1509"/>
      <c r="Y1013" s="1509"/>
      <c r="Z1013" s="1509"/>
      <c r="AA1013" s="1509"/>
      <c r="AB1013" s="1509"/>
      <c r="AC1013" s="1509"/>
      <c r="AD1013" s="1509"/>
      <c r="AE1013" s="1510"/>
      <c r="AF1013" s="1415" t="str">
        <f>IF(AND(AG1012="yes",AB212&lt;&gt;1),"The project may not be eligible for this boost","")</f>
        <v/>
      </c>
      <c r="AG1013" s="1416"/>
      <c r="AH1013" s="1416"/>
      <c r="AI1013" s="1417"/>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2.95" customHeight="1">
      <c r="A1014" s="14"/>
      <c r="B1014" s="75"/>
      <c r="C1014" s="76"/>
      <c r="D1014" s="1533"/>
      <c r="E1014" s="1534"/>
      <c r="F1014" s="1534"/>
      <c r="G1014" s="1534"/>
      <c r="H1014" s="1534"/>
      <c r="I1014" s="1534"/>
      <c r="J1014" s="1534"/>
      <c r="K1014" s="1534"/>
      <c r="L1014" s="1534"/>
      <c r="M1014" s="1534"/>
      <c r="N1014" s="1534"/>
      <c r="O1014" s="1534"/>
      <c r="P1014" s="1534"/>
      <c r="Q1014" s="1534"/>
      <c r="R1014" s="1534"/>
      <c r="S1014" s="1534"/>
      <c r="T1014" s="1534"/>
      <c r="U1014" s="1534"/>
      <c r="V1014" s="1534"/>
      <c r="W1014" s="1534"/>
      <c r="X1014" s="1534"/>
      <c r="Y1014" s="1534"/>
      <c r="Z1014" s="1534"/>
      <c r="AA1014" s="1534"/>
      <c r="AB1014" s="1534"/>
      <c r="AC1014" s="1534"/>
      <c r="AD1014" s="1534"/>
      <c r="AE1014" s="1535"/>
      <c r="AF1014" s="1418"/>
      <c r="AG1014" s="1419"/>
      <c r="AH1014" s="1419"/>
      <c r="AI1014" s="1420"/>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2.95" customHeight="1">
      <c r="A1015" s="14"/>
      <c r="B1015" s="79"/>
      <c r="C1015" s="80" t="s">
        <v>219</v>
      </c>
      <c r="D1015" s="1530" t="s">
        <v>1402</v>
      </c>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1528" t="s">
        <v>678</v>
      </c>
      <c r="AH1015" s="1529"/>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2.95" customHeight="1">
      <c r="A1016" s="14"/>
      <c r="B1016" s="73"/>
      <c r="C1016" s="74"/>
      <c r="D1016" s="1508" t="s">
        <v>1403</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1409" t="str">
        <f>IF(AND(AG1015="Yes",AY1010=0),AY1022,"")</f>
        <v/>
      </c>
      <c r="AG1016" s="1410"/>
      <c r="AH1016" s="1410"/>
      <c r="AI1016" s="1411"/>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2.95" customHeight="1">
      <c r="A1017" s="14"/>
      <c r="B1017" s="73"/>
      <c r="C1017" s="74"/>
      <c r="D1017" s="1508"/>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409"/>
      <c r="AG1017" s="1410"/>
      <c r="AH1017" s="1410"/>
      <c r="AI1017" s="1411"/>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2.95" customHeight="1">
      <c r="A1018" s="14"/>
      <c r="B1018" s="81"/>
      <c r="C1018" s="82"/>
      <c r="D1018" s="1533"/>
      <c r="E1018" s="1534"/>
      <c r="F1018" s="1534"/>
      <c r="G1018" s="1534"/>
      <c r="H1018" s="1534"/>
      <c r="I1018" s="1534"/>
      <c r="J1018" s="1534"/>
      <c r="K1018" s="1534"/>
      <c r="L1018" s="1534"/>
      <c r="M1018" s="1534"/>
      <c r="N1018" s="1534"/>
      <c r="O1018" s="1534"/>
      <c r="P1018" s="1534"/>
      <c r="Q1018" s="1534"/>
      <c r="R1018" s="1534"/>
      <c r="S1018" s="1534"/>
      <c r="T1018" s="1534"/>
      <c r="U1018" s="1534"/>
      <c r="V1018" s="1534"/>
      <c r="W1018" s="1534"/>
      <c r="X1018" s="1534"/>
      <c r="Y1018" s="1534"/>
      <c r="Z1018" s="1534"/>
      <c r="AA1018" s="1534"/>
      <c r="AB1018" s="1534"/>
      <c r="AC1018" s="1534"/>
      <c r="AD1018" s="1534"/>
      <c r="AE1018" s="1535"/>
      <c r="AF1018" s="1412"/>
      <c r="AG1018" s="1413"/>
      <c r="AH1018" s="1413"/>
      <c r="AI1018" s="1414"/>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2.95" customHeight="1">
      <c r="A1019" s="14"/>
      <c r="B1019" s="79"/>
      <c r="C1019" s="80" t="s">
        <v>224</v>
      </c>
      <c r="D1019" s="1607" t="s">
        <v>1404</v>
      </c>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9"/>
      <c r="AF1019" s="79"/>
      <c r="AG1019" s="1528" t="s">
        <v>678</v>
      </c>
      <c r="AH1019" s="1529"/>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2.95" customHeight="1">
      <c r="A1020" s="14"/>
      <c r="B1020" s="81"/>
      <c r="C1020" s="84"/>
      <c r="D1020" s="1610"/>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2"/>
      <c r="AF1020" s="1536" t="str">
        <f>IF(AG1019="yes","Please Select Type and Enter Amount:","")</f>
        <v/>
      </c>
      <c r="AG1020" s="1537"/>
      <c r="AH1020" s="1537"/>
      <c r="AI1020" s="1538"/>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2.95" customHeight="1">
      <c r="A1021" s="14"/>
      <c r="B1021" s="81"/>
      <c r="C1021" s="84"/>
      <c r="D1021" s="1508" t="s">
        <v>1405</v>
      </c>
      <c r="E1021" s="1509"/>
      <c r="F1021" s="1509"/>
      <c r="G1021" s="1509"/>
      <c r="H1021" s="1509"/>
      <c r="I1021" s="1509"/>
      <c r="J1021" s="1509"/>
      <c r="K1021" s="1509"/>
      <c r="L1021" s="1509"/>
      <c r="M1021" s="1509"/>
      <c r="N1021" s="1509"/>
      <c r="O1021" s="1509"/>
      <c r="P1021" s="1509"/>
      <c r="Q1021" s="1509"/>
      <c r="R1021" s="1509"/>
      <c r="S1021" s="1509"/>
      <c r="T1021" s="1509"/>
      <c r="U1021" s="1509"/>
      <c r="V1021" s="1509"/>
      <c r="W1021" s="1509"/>
      <c r="X1021" s="1509"/>
      <c r="Y1021" s="1509"/>
      <c r="Z1021" s="1509"/>
      <c r="AA1021" s="1509"/>
      <c r="AB1021" s="1509"/>
      <c r="AC1021" s="1509"/>
      <c r="AD1021" s="1509"/>
      <c r="AE1021" s="1510"/>
      <c r="AF1021" s="1536"/>
      <c r="AG1021" s="1537"/>
      <c r="AH1021" s="1537"/>
      <c r="AI1021" s="1538"/>
      <c r="AJ1021" s="1560"/>
      <c r="AK1021" s="1561"/>
      <c r="AL1021" s="1561"/>
      <c r="AM1021" s="1561"/>
      <c r="AN1021" s="1561"/>
      <c r="AO1021" s="1561"/>
      <c r="AP1021" s="1561"/>
      <c r="AQ1021" s="1562"/>
      <c r="AR1021" s="68"/>
      <c r="AS1021" s="68"/>
      <c r="AT1021" s="68"/>
      <c r="AU1021" s="68"/>
      <c r="AV1021" s="68"/>
      <c r="AW1021" s="68"/>
      <c r="AX1021" s="68"/>
      <c r="AY1021" s="68"/>
    </row>
    <row r="1022" spans="1:51" ht="12.95" customHeight="1">
      <c r="A1022" s="14"/>
      <c r="B1022" s="81"/>
      <c r="C1022" s="84"/>
      <c r="D1022" s="1508"/>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39"/>
      <c r="AG1022" s="1539"/>
      <c r="AH1022" s="1539"/>
      <c r="AI1022" s="1539"/>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1" t="s">
        <v>600</v>
      </c>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39"/>
      <c r="AG1023" s="1539"/>
      <c r="AH1023" s="1539"/>
      <c r="AI1023" s="1539"/>
      <c r="AJ1023" s="1563"/>
      <c r="AK1023" s="1564"/>
      <c r="AL1023" s="1564"/>
      <c r="AM1023" s="1564"/>
      <c r="AN1023" s="1564"/>
      <c r="AO1023" s="1564"/>
      <c r="AP1023" s="1564"/>
      <c r="AQ1023" s="1565"/>
      <c r="AR1023" s="68"/>
      <c r="AS1023" s="68"/>
      <c r="AT1023" s="68"/>
      <c r="AU1023" s="68"/>
      <c r="AV1023" s="68"/>
      <c r="AW1023" s="68"/>
      <c r="AX1023" s="68"/>
      <c r="AY1023" s="68"/>
    </row>
    <row r="1024" spans="1:51" ht="12.95" customHeight="1">
      <c r="A1024" s="14"/>
      <c r="B1024" s="79"/>
      <c r="C1024" s="80" t="s">
        <v>230</v>
      </c>
      <c r="D1024" s="1520" t="s">
        <v>1406</v>
      </c>
      <c r="E1024" s="1521"/>
      <c r="F1024" s="1521"/>
      <c r="G1024" s="1521"/>
      <c r="H1024" s="1521"/>
      <c r="I1024" s="1521"/>
      <c r="J1024" s="1521"/>
      <c r="K1024" s="1521"/>
      <c r="L1024" s="1521"/>
      <c r="M1024" s="1521"/>
      <c r="N1024" s="1521"/>
      <c r="O1024" s="1521"/>
      <c r="P1024" s="1521"/>
      <c r="Q1024" s="1521"/>
      <c r="R1024" s="1521"/>
      <c r="S1024" s="1521"/>
      <c r="T1024" s="1521"/>
      <c r="U1024" s="1521"/>
      <c r="V1024" s="1521"/>
      <c r="W1024" s="1521"/>
      <c r="X1024" s="1521"/>
      <c r="Y1024" s="1521"/>
      <c r="Z1024" s="1521"/>
      <c r="AA1024" s="1521"/>
      <c r="AB1024" s="1521"/>
      <c r="AC1024" s="1521"/>
      <c r="AD1024" s="1521"/>
      <c r="AE1024" s="1522"/>
      <c r="AF1024" s="79"/>
      <c r="AG1024" s="1528" t="s">
        <v>554</v>
      </c>
      <c r="AH1024" s="1529"/>
      <c r="AI1024" s="87"/>
      <c r="AJ1024" s="1557">
        <f>ROUND(IF(AG1024="Yes",AF1026,0),0)</f>
        <v>728808</v>
      </c>
      <c r="AK1024" s="1558"/>
      <c r="AL1024" s="1558"/>
      <c r="AM1024" s="1558"/>
      <c r="AN1024" s="1558"/>
      <c r="AO1024" s="1558"/>
      <c r="AP1024" s="1558"/>
      <c r="AQ1024" s="1559"/>
      <c r="AR1024" s="68"/>
      <c r="AS1024" s="68"/>
      <c r="AT1024" s="68"/>
      <c r="AU1024" s="68"/>
      <c r="AV1024" s="68"/>
      <c r="AW1024" s="68"/>
      <c r="AX1024" s="68"/>
      <c r="AY1024" s="68"/>
    </row>
    <row r="1025" spans="1:51" ht="12.95" customHeight="1">
      <c r="A1025" s="14"/>
      <c r="B1025" s="73"/>
      <c r="C1025" s="74"/>
      <c r="D1025" s="1508" t="s">
        <v>1881</v>
      </c>
      <c r="E1025" s="1509"/>
      <c r="F1025" s="1509"/>
      <c r="G1025" s="1509"/>
      <c r="H1025" s="1509"/>
      <c r="I1025" s="1509"/>
      <c r="J1025" s="1509"/>
      <c r="K1025" s="1509"/>
      <c r="L1025" s="1509"/>
      <c r="M1025" s="1509"/>
      <c r="N1025" s="1509"/>
      <c r="O1025" s="1509"/>
      <c r="P1025" s="1509"/>
      <c r="Q1025" s="1509"/>
      <c r="R1025" s="1509"/>
      <c r="S1025" s="1509"/>
      <c r="T1025" s="1509"/>
      <c r="U1025" s="1509"/>
      <c r="V1025" s="1509"/>
      <c r="W1025" s="1509"/>
      <c r="X1025" s="1509"/>
      <c r="Y1025" s="1509"/>
      <c r="Z1025" s="1509"/>
      <c r="AA1025" s="1509"/>
      <c r="AB1025" s="1509"/>
      <c r="AC1025" s="1509"/>
      <c r="AD1025" s="1509"/>
      <c r="AE1025" s="1510"/>
      <c r="AF1025" s="1613" t="str">
        <f>IF(AG1024="yes","Enter Amount:","")</f>
        <v>Enter Amount:</v>
      </c>
      <c r="AG1025" s="1614"/>
      <c r="AH1025" s="1614"/>
      <c r="AI1025" s="1615"/>
      <c r="AJ1025" s="1560"/>
      <c r="AK1025" s="1561"/>
      <c r="AL1025" s="1561"/>
      <c r="AM1025" s="1561"/>
      <c r="AN1025" s="1561"/>
      <c r="AO1025" s="1561"/>
      <c r="AP1025" s="1561"/>
      <c r="AQ1025" s="1562"/>
      <c r="AR1025" s="68"/>
      <c r="AS1025" s="68"/>
      <c r="AT1025" s="68"/>
      <c r="AU1025" s="68"/>
      <c r="AV1025" s="68"/>
      <c r="AW1025" s="68"/>
      <c r="AX1025" s="68"/>
      <c r="AY1025" s="68"/>
    </row>
    <row r="1026" spans="1:51" ht="12.95" customHeight="1">
      <c r="A1026" s="14"/>
      <c r="B1026" s="73"/>
      <c r="C1026" s="74"/>
      <c r="D1026" s="1508"/>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39">
        <v>728808</v>
      </c>
      <c r="AG1026" s="1539"/>
      <c r="AH1026" s="1539"/>
      <c r="AI1026" s="1539"/>
      <c r="AJ1026" s="1560"/>
      <c r="AK1026" s="1561"/>
      <c r="AL1026" s="1561"/>
      <c r="AM1026" s="1561"/>
      <c r="AN1026" s="1561"/>
      <c r="AO1026" s="1561"/>
      <c r="AP1026" s="1561"/>
      <c r="AQ1026" s="1562"/>
      <c r="AR1026" s="68"/>
      <c r="AS1026" s="68"/>
      <c r="AT1026" s="68"/>
      <c r="AU1026" s="68"/>
      <c r="AV1026" s="68"/>
      <c r="AW1026" s="68"/>
      <c r="AX1026" s="68"/>
      <c r="AY1026" s="68"/>
    </row>
    <row r="1027" spans="1:51" ht="12.95" customHeight="1">
      <c r="A1027" s="14"/>
      <c r="B1027" s="85"/>
      <c r="C1027" s="84"/>
      <c r="D1027" s="1533"/>
      <c r="E1027" s="1534"/>
      <c r="F1027" s="1534"/>
      <c r="G1027" s="1534"/>
      <c r="H1027" s="1534"/>
      <c r="I1027" s="1534"/>
      <c r="J1027" s="1534"/>
      <c r="K1027" s="1534"/>
      <c r="L1027" s="1534"/>
      <c r="M1027" s="1534"/>
      <c r="N1027" s="1534"/>
      <c r="O1027" s="1534"/>
      <c r="P1027" s="1534"/>
      <c r="Q1027" s="1534"/>
      <c r="R1027" s="1534"/>
      <c r="S1027" s="1534"/>
      <c r="T1027" s="1534"/>
      <c r="U1027" s="1534"/>
      <c r="V1027" s="1534"/>
      <c r="W1027" s="1534"/>
      <c r="X1027" s="1534"/>
      <c r="Y1027" s="1534"/>
      <c r="Z1027" s="1534"/>
      <c r="AA1027" s="1534"/>
      <c r="AB1027" s="1534"/>
      <c r="AC1027" s="1534"/>
      <c r="AD1027" s="1534"/>
      <c r="AE1027" s="1535"/>
      <c r="AF1027" s="1539"/>
      <c r="AG1027" s="1539"/>
      <c r="AH1027" s="1539"/>
      <c r="AI1027" s="1539"/>
      <c r="AJ1027" s="1563"/>
      <c r="AK1027" s="1564"/>
      <c r="AL1027" s="1564"/>
      <c r="AM1027" s="1564"/>
      <c r="AN1027" s="1564"/>
      <c r="AO1027" s="1564"/>
      <c r="AP1027" s="1564"/>
      <c r="AQ1027" s="1565"/>
      <c r="AR1027" s="68"/>
      <c r="AS1027" s="68"/>
      <c r="AT1027" s="68"/>
      <c r="AU1027" s="68"/>
      <c r="AV1027" s="68"/>
      <c r="AW1027" s="68"/>
      <c r="AX1027" s="68"/>
      <c r="AY1027" s="68"/>
    </row>
    <row r="1028" spans="1:51" ht="12.95" customHeight="1">
      <c r="A1028" s="14"/>
      <c r="B1028" s="79"/>
      <c r="C1028" s="80" t="s">
        <v>235</v>
      </c>
      <c r="D1028" s="1530" t="s">
        <v>1407</v>
      </c>
      <c r="E1028" s="1531"/>
      <c r="F1028" s="1531"/>
      <c r="G1028" s="1531"/>
      <c r="H1028" s="1531"/>
      <c r="I1028" s="1531"/>
      <c r="J1028" s="1531"/>
      <c r="K1028" s="1531"/>
      <c r="L1028" s="1531"/>
      <c r="M1028" s="1531"/>
      <c r="N1028" s="1531"/>
      <c r="O1028" s="1531"/>
      <c r="P1028" s="1531"/>
      <c r="Q1028" s="1531"/>
      <c r="R1028" s="1531"/>
      <c r="S1028" s="1531"/>
      <c r="T1028" s="1531"/>
      <c r="U1028" s="1531"/>
      <c r="V1028" s="1531"/>
      <c r="W1028" s="1531"/>
      <c r="X1028" s="1531"/>
      <c r="Y1028" s="1531"/>
      <c r="Z1028" s="1531"/>
      <c r="AA1028" s="1531"/>
      <c r="AB1028" s="1531"/>
      <c r="AC1028" s="1531"/>
      <c r="AD1028" s="1531"/>
      <c r="AE1028" s="1532"/>
      <c r="AF1028" s="79"/>
      <c r="AG1028" s="1528" t="s">
        <v>554</v>
      </c>
      <c r="AH1028" s="1529"/>
      <c r="AI1028" s="87"/>
      <c r="AJ1028" s="1557">
        <f>ROUND(IF(AG1028="yes",(AJ991*0.1),0),0)</f>
        <v>1399626</v>
      </c>
      <c r="AK1028" s="1558"/>
      <c r="AL1028" s="1558"/>
      <c r="AM1028" s="1558"/>
      <c r="AN1028" s="1558"/>
      <c r="AO1028" s="1558"/>
      <c r="AP1028" s="1558"/>
      <c r="AQ1028" s="1559"/>
      <c r="AR1028" s="68"/>
      <c r="AS1028" s="68"/>
      <c r="AT1028" s="68"/>
      <c r="AU1028" s="68"/>
      <c r="AV1028" s="68"/>
      <c r="AW1028" s="68"/>
      <c r="AX1028" s="68"/>
      <c r="AY1028" s="68"/>
    </row>
    <row r="1029" spans="1:51" ht="12.95" customHeight="1">
      <c r="A1029" s="14"/>
      <c r="B1029" s="73"/>
      <c r="C1029" s="74"/>
      <c r="D1029" s="1508" t="s">
        <v>1408</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2.95" customHeight="1">
      <c r="A1030" s="14"/>
      <c r="B1030" s="77"/>
      <c r="C1030" s="74"/>
      <c r="D1030" s="1533"/>
      <c r="E1030" s="1534"/>
      <c r="F1030" s="1534"/>
      <c r="G1030" s="1534"/>
      <c r="H1030" s="1534"/>
      <c r="I1030" s="1534"/>
      <c r="J1030" s="1534"/>
      <c r="K1030" s="1534"/>
      <c r="L1030" s="1534"/>
      <c r="M1030" s="1534"/>
      <c r="N1030" s="1534"/>
      <c r="O1030" s="1534"/>
      <c r="P1030" s="1534"/>
      <c r="Q1030" s="1534"/>
      <c r="R1030" s="1534"/>
      <c r="S1030" s="1534"/>
      <c r="T1030" s="1534"/>
      <c r="U1030" s="1534"/>
      <c r="V1030" s="1534"/>
      <c r="W1030" s="1534"/>
      <c r="X1030" s="1534"/>
      <c r="Y1030" s="1534"/>
      <c r="Z1030" s="1534"/>
      <c r="AA1030" s="1534"/>
      <c r="AB1030" s="1534"/>
      <c r="AC1030" s="1534"/>
      <c r="AD1030" s="1534"/>
      <c r="AE1030" s="1535"/>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2.95" customHeight="1">
      <c r="A1031" s="14"/>
      <c r="B1031" s="73"/>
      <c r="C1031" s="367" t="s">
        <v>697</v>
      </c>
      <c r="D1031" s="1520" t="s">
        <v>1877</v>
      </c>
      <c r="E1031" s="1521"/>
      <c r="F1031" s="1521"/>
      <c r="G1031" s="1521"/>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521"/>
      <c r="AD1031" s="1521"/>
      <c r="AE1031" s="1522"/>
      <c r="AF1031" s="79"/>
      <c r="AG1031" s="1528" t="s">
        <v>678</v>
      </c>
      <c r="AH1031" s="1529"/>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2.95" customHeight="1">
      <c r="A1032" s="14"/>
      <c r="B1032" s="73"/>
      <c r="C1032" s="74"/>
      <c r="D1032" s="1566"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2.95" customHeight="1">
      <c r="A1033" s="14"/>
      <c r="B1033" s="73"/>
      <c r="C1033" s="74"/>
      <c r="D1033" s="156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2.9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2.95" customHeight="1">
      <c r="A1035" s="14"/>
      <c r="B1035" s="73"/>
      <c r="C1035" s="367" t="s">
        <v>697</v>
      </c>
      <c r="D1035" s="1530" t="s">
        <v>1879</v>
      </c>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73"/>
      <c r="AG1035" s="1728" t="s">
        <v>678</v>
      </c>
      <c r="AH1035" s="1729"/>
      <c r="AI1035" s="83"/>
      <c r="AJ1035" s="1557">
        <f>ROUND(IF(AND(AG1035="yes",AJ1031=0),(AJ991*0.1),0),0)</f>
        <v>0</v>
      </c>
      <c r="AK1035" s="1558"/>
      <c r="AL1035" s="1558"/>
      <c r="AM1035" s="1558"/>
      <c r="AN1035" s="1558"/>
      <c r="AO1035" s="1558"/>
      <c r="AP1035" s="1558"/>
      <c r="AQ1035" s="1559"/>
      <c r="AR1035" s="68"/>
      <c r="AS1035" s="68"/>
      <c r="AT1035" s="68"/>
      <c r="AU1035" s="68"/>
      <c r="AV1035" s="68"/>
      <c r="AW1035" s="68"/>
      <c r="AX1035" s="68"/>
      <c r="AY1035" s="68"/>
    </row>
    <row r="1036" spans="1:51" ht="12.95" customHeight="1">
      <c r="A1036" s="14"/>
      <c r="B1036" s="73"/>
      <c r="C1036" s="74"/>
      <c r="D1036" s="1566"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2.95" customHeight="1">
      <c r="A1037" s="14"/>
      <c r="B1037" s="73"/>
      <c r="C1037" s="74"/>
      <c r="D1037" s="156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2.95" customHeight="1">
      <c r="A1038" s="14"/>
      <c r="B1038" s="73"/>
      <c r="C1038" s="74"/>
      <c r="D1038" s="156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2.9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2.95" customHeight="1">
      <c r="A1040" s="14"/>
      <c r="B1040" s="79"/>
      <c r="C1040" s="131" t="s">
        <v>1035</v>
      </c>
      <c r="D1040" s="1520" t="s">
        <v>1409</v>
      </c>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9"/>
      <c r="AG1040" s="1528" t="s">
        <v>678</v>
      </c>
      <c r="AH1040" s="1529"/>
      <c r="AI1040" s="87"/>
      <c r="AJ1040" s="1557">
        <f>ROUND(IF(AG1040="yes",(AJ991*0.1),0),0)</f>
        <v>0</v>
      </c>
      <c r="AK1040" s="1558"/>
      <c r="AL1040" s="1558"/>
      <c r="AM1040" s="1558"/>
      <c r="AN1040" s="1558"/>
      <c r="AO1040" s="1558"/>
      <c r="AP1040" s="1558"/>
      <c r="AQ1040" s="1559"/>
      <c r="AR1040" s="68"/>
      <c r="AS1040" s="68"/>
      <c r="AT1040" s="68"/>
      <c r="AU1040" s="68"/>
      <c r="AV1040" s="68"/>
      <c r="AW1040" s="68"/>
      <c r="AX1040" s="68"/>
      <c r="AY1040" s="68"/>
    </row>
    <row r="1041" spans="1:51" ht="12.95" customHeight="1">
      <c r="A1041" s="14"/>
      <c r="B1041" s="73"/>
      <c r="C1041" s="74"/>
      <c r="D1041" s="1508" t="s">
        <v>2505</v>
      </c>
      <c r="E1041" s="1509"/>
      <c r="F1041" s="1509"/>
      <c r="G1041" s="1509"/>
      <c r="H1041" s="1509"/>
      <c r="I1041" s="1509"/>
      <c r="J1041" s="1509"/>
      <c r="K1041" s="1509"/>
      <c r="L1041" s="1509"/>
      <c r="M1041" s="1509"/>
      <c r="N1041" s="1509"/>
      <c r="O1041" s="1509"/>
      <c r="P1041" s="1509"/>
      <c r="Q1041" s="1509"/>
      <c r="R1041" s="1509"/>
      <c r="S1041" s="1509"/>
      <c r="T1041" s="1509"/>
      <c r="U1041" s="1509"/>
      <c r="V1041" s="1509"/>
      <c r="W1041" s="1509"/>
      <c r="X1041" s="1509"/>
      <c r="Y1041" s="1509"/>
      <c r="Z1041" s="1509"/>
      <c r="AA1041" s="1509"/>
      <c r="AB1041" s="1509"/>
      <c r="AC1041" s="1509"/>
      <c r="AD1041" s="1509"/>
      <c r="AE1041" s="1510"/>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2.95" customHeight="1">
      <c r="A1042" s="14"/>
      <c r="B1042" s="73"/>
      <c r="C1042" s="74"/>
      <c r="D1042" s="1508"/>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2.95" customHeight="1">
      <c r="A1043" s="14"/>
      <c r="B1043" s="73"/>
      <c r="C1043" s="74"/>
      <c r="D1043" s="1533"/>
      <c r="E1043" s="1534"/>
      <c r="F1043" s="1534"/>
      <c r="G1043" s="1534"/>
      <c r="H1043" s="1534"/>
      <c r="I1043" s="1534"/>
      <c r="J1043" s="1534"/>
      <c r="K1043" s="1534"/>
      <c r="L1043" s="1534"/>
      <c r="M1043" s="1534"/>
      <c r="N1043" s="1534"/>
      <c r="O1043" s="1534"/>
      <c r="P1043" s="1534"/>
      <c r="Q1043" s="1534"/>
      <c r="R1043" s="1534"/>
      <c r="S1043" s="1534"/>
      <c r="T1043" s="1534"/>
      <c r="U1043" s="1534"/>
      <c r="V1043" s="1534"/>
      <c r="W1043" s="1534"/>
      <c r="X1043" s="1534"/>
      <c r="Y1043" s="1534"/>
      <c r="Z1043" s="1534"/>
      <c r="AA1043" s="1534"/>
      <c r="AB1043" s="1534"/>
      <c r="AC1043" s="1534"/>
      <c r="AD1043" s="1534"/>
      <c r="AE1043" s="1535"/>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2.95" customHeight="1">
      <c r="A1044" s="14"/>
      <c r="B1044" s="79"/>
      <c r="C1044" s="131" t="s">
        <v>1875</v>
      </c>
      <c r="D1044" s="1530" t="s">
        <v>2057</v>
      </c>
      <c r="E1044" s="1531"/>
      <c r="F1044" s="1531"/>
      <c r="G1044" s="1531"/>
      <c r="H1044" s="1531"/>
      <c r="I1044" s="1531"/>
      <c r="J1044" s="1531"/>
      <c r="K1044" s="1531"/>
      <c r="L1044" s="1531"/>
      <c r="M1044" s="1531"/>
      <c r="N1044" s="1531"/>
      <c r="O1044" s="1531"/>
      <c r="P1044" s="1531"/>
      <c r="Q1044" s="1531"/>
      <c r="R1044" s="1531"/>
      <c r="S1044" s="1531"/>
      <c r="T1044" s="1531"/>
      <c r="U1044" s="1531"/>
      <c r="V1044" s="1531"/>
      <c r="W1044" s="1531"/>
      <c r="X1044" s="1531"/>
      <c r="Y1044" s="1531"/>
      <c r="Z1044" s="1531"/>
      <c r="AA1044" s="1531"/>
      <c r="AB1044" s="1531"/>
      <c r="AC1044" s="1531"/>
      <c r="AD1044" s="1531"/>
      <c r="AE1044" s="1532"/>
      <c r="AF1044" s="79"/>
      <c r="AG1044" s="1605" t="str">
        <f>IF(X1047&gt;0,"Yes","No")</f>
        <v>Yes</v>
      </c>
      <c r="AH1044" s="1606"/>
      <c r="AI1044" s="87"/>
      <c r="AJ1044" s="1557">
        <f>IF((X1047=0),0,AY1004*AJ991)</f>
        <v>1119700.8</v>
      </c>
      <c r="AK1044" s="1558"/>
      <c r="AL1044" s="1558"/>
      <c r="AM1044" s="1558"/>
      <c r="AN1044" s="1558"/>
      <c r="AO1044" s="1558"/>
      <c r="AP1044" s="1558"/>
      <c r="AQ1044" s="1559"/>
      <c r="AR1044" s="68"/>
      <c r="AS1044" s="68"/>
      <c r="AT1044" s="68"/>
      <c r="AU1044" s="68"/>
      <c r="AV1044" s="68"/>
      <c r="AW1044" s="68"/>
      <c r="AX1044" s="68"/>
      <c r="AY1044" s="68"/>
    </row>
    <row r="1045" spans="1:51" ht="12.95" customHeight="1">
      <c r="A1045" s="14"/>
      <c r="B1045" s="73"/>
      <c r="C1045" s="476"/>
      <c r="D1045" s="1508" t="s">
        <v>1411</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2.95" customHeight="1">
      <c r="A1046" s="14"/>
      <c r="B1046" s="73"/>
      <c r="C1046" s="476"/>
      <c r="D1046" s="1508"/>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03">
        <f>AY1002</f>
        <v>34</v>
      </c>
      <c r="J1047" s="1604"/>
      <c r="K1047" s="7"/>
      <c r="L1047" s="133"/>
      <c r="M1047" s="133"/>
      <c r="N1047" s="133"/>
      <c r="O1047" s="133"/>
      <c r="P1047" s="133"/>
      <c r="Q1047" s="133"/>
      <c r="R1047" s="133"/>
      <c r="S1047" s="133"/>
      <c r="T1047" s="133"/>
      <c r="U1047" s="133"/>
      <c r="V1047" s="134" t="s">
        <v>993</v>
      </c>
      <c r="W1047" s="48"/>
      <c r="X1047" s="1601">
        <f>BG632</f>
        <v>3</v>
      </c>
      <c r="Y1047" s="1602"/>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2.95" customHeight="1">
      <c r="A1048" s="14"/>
      <c r="B1048" s="79"/>
      <c r="C1048" s="131" t="s">
        <v>1876</v>
      </c>
      <c r="D1048" s="1520" t="s">
        <v>2536</v>
      </c>
      <c r="E1048" s="1521"/>
      <c r="F1048" s="1521"/>
      <c r="G1048" s="1521"/>
      <c r="H1048" s="1521"/>
      <c r="I1048" s="1521"/>
      <c r="J1048" s="1521"/>
      <c r="K1048" s="1521"/>
      <c r="L1048" s="1521"/>
      <c r="M1048" s="1521"/>
      <c r="N1048" s="1521"/>
      <c r="O1048" s="1521"/>
      <c r="P1048" s="1521"/>
      <c r="Q1048" s="1521"/>
      <c r="R1048" s="1521"/>
      <c r="S1048" s="1521"/>
      <c r="T1048" s="1521"/>
      <c r="U1048" s="1521"/>
      <c r="V1048" s="1521"/>
      <c r="W1048" s="1521"/>
      <c r="X1048" s="1521"/>
      <c r="Y1048" s="1521"/>
      <c r="Z1048" s="1521"/>
      <c r="AA1048" s="1521"/>
      <c r="AB1048" s="1521"/>
      <c r="AC1048" s="1521"/>
      <c r="AD1048" s="1521"/>
      <c r="AE1048" s="1522"/>
      <c r="AF1048" s="73"/>
      <c r="AG1048" s="1605" t="str">
        <f>IF(X1051&gt;0,"Yes","No")</f>
        <v>Yes</v>
      </c>
      <c r="AH1048" s="1606"/>
      <c r="AI1048" s="83"/>
      <c r="AJ1048" s="1557">
        <f>IF((X1051=0),0,(2*AY1005)*AJ991)</f>
        <v>23793642</v>
      </c>
      <c r="AK1048" s="1558"/>
      <c r="AL1048" s="1558"/>
      <c r="AM1048" s="1558"/>
      <c r="AN1048" s="1558"/>
      <c r="AO1048" s="1558"/>
      <c r="AP1048" s="1558"/>
      <c r="AQ1048" s="1559"/>
      <c r="AR1048" s="68"/>
      <c r="AS1048" s="68"/>
      <c r="AT1048" s="68"/>
      <c r="AU1048" s="14"/>
      <c r="AV1048" s="68"/>
      <c r="AW1048" s="68"/>
      <c r="AX1048" s="68"/>
      <c r="AY1048" s="68"/>
    </row>
    <row r="1049" spans="1:51" ht="12.95" customHeight="1">
      <c r="A1049" s="14"/>
      <c r="B1049" s="73"/>
      <c r="C1049" s="476"/>
      <c r="D1049" s="1508" t="s">
        <v>1410</v>
      </c>
      <c r="E1049" s="1509"/>
      <c r="F1049" s="1509"/>
      <c r="G1049" s="1509"/>
      <c r="H1049" s="1509"/>
      <c r="I1049" s="1509"/>
      <c r="J1049" s="1509"/>
      <c r="K1049" s="1509"/>
      <c r="L1049" s="1509"/>
      <c r="M1049" s="1509"/>
      <c r="N1049" s="1509"/>
      <c r="O1049" s="1509"/>
      <c r="P1049" s="1509"/>
      <c r="Q1049" s="1509"/>
      <c r="R1049" s="1509"/>
      <c r="S1049" s="1509"/>
      <c r="T1049" s="1509"/>
      <c r="U1049" s="1509"/>
      <c r="V1049" s="1509"/>
      <c r="W1049" s="1509"/>
      <c r="X1049" s="1509"/>
      <c r="Y1049" s="1509"/>
      <c r="Z1049" s="1509"/>
      <c r="AA1049" s="1509"/>
      <c r="AB1049" s="1509"/>
      <c r="AC1049" s="1509"/>
      <c r="AD1049" s="1509"/>
      <c r="AE1049" s="1510"/>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2.95" customHeight="1">
      <c r="A1050" s="14"/>
      <c r="B1050" s="73"/>
      <c r="C1050" s="83"/>
      <c r="D1050" s="1508"/>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03">
        <f>AY1002</f>
        <v>34</v>
      </c>
      <c r="J1051" s="1604"/>
      <c r="K1051" s="14"/>
      <c r="L1051" s="133"/>
      <c r="M1051" s="133"/>
      <c r="N1051" s="133"/>
      <c r="O1051" s="133"/>
      <c r="P1051" s="133"/>
      <c r="Q1051" s="133"/>
      <c r="R1051" s="133"/>
      <c r="S1051" s="133"/>
      <c r="T1051" s="133"/>
      <c r="U1051" s="133"/>
      <c r="V1051" s="134" t="s">
        <v>994</v>
      </c>
      <c r="X1051" s="1601">
        <f>BK632</f>
        <v>29</v>
      </c>
      <c r="Y1051" s="1602"/>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2.95" customHeight="1">
      <c r="A1052" s="14"/>
      <c r="B1052" s="102"/>
      <c r="C1052" s="103"/>
      <c r="D1052" s="1599" t="s">
        <v>522</v>
      </c>
      <c r="E1052" s="1599"/>
      <c r="F1052" s="1599"/>
      <c r="G1052" s="1599"/>
      <c r="H1052" s="1599"/>
      <c r="I1052" s="1599"/>
      <c r="J1052" s="1599"/>
      <c r="K1052" s="1599"/>
      <c r="L1052" s="1599"/>
      <c r="M1052" s="1599"/>
      <c r="N1052" s="1599"/>
      <c r="O1052" s="1599"/>
      <c r="P1052" s="1599"/>
      <c r="Q1052" s="1599"/>
      <c r="R1052" s="1599"/>
      <c r="S1052" s="1599"/>
      <c r="T1052" s="1599"/>
      <c r="U1052" s="1599"/>
      <c r="V1052" s="1599"/>
      <c r="W1052" s="1599"/>
      <c r="X1052" s="1599"/>
      <c r="Y1052" s="1599"/>
      <c r="Z1052" s="1599"/>
      <c r="AA1052" s="1599"/>
      <c r="AB1052" s="1599"/>
      <c r="AC1052" s="1599"/>
      <c r="AD1052" s="1599"/>
      <c r="AE1052" s="1599"/>
      <c r="AF1052" s="1599"/>
      <c r="AG1052" s="1599"/>
      <c r="AH1052" s="1599"/>
      <c r="AI1052" s="1600"/>
      <c r="AJ1052" s="1717">
        <f>SUM(AJ991:AQ1051)</f>
        <v>44117213.799999997</v>
      </c>
      <c r="AK1052" s="1718"/>
      <c r="AL1052" s="1718"/>
      <c r="AM1052" s="1718"/>
      <c r="AN1052" s="1718"/>
      <c r="AO1052" s="1718"/>
      <c r="AP1052" s="1718"/>
      <c r="AQ1052" s="171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600</v>
      </c>
      <c r="B1064" s="140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600</v>
      </c>
      <c r="B1070" s="140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600</v>
      </c>
      <c r="B1076" s="140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600</v>
      </c>
      <c r="B1083" s="140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600</v>
      </c>
      <c r="B1086" s="140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600</v>
      </c>
      <c r="B1091" s="140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600</v>
      </c>
      <c r="B1094" s="140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600</v>
      </c>
      <c r="B1098" s="140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600</v>
      </c>
      <c r="B1103" s="140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4" manualBreakCount="14">
    <brk id="66"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4" workbookViewId="0">
      <selection activeCell="B75" sqref="B7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1)Banc of California</v>
      </c>
      <c r="G2" s="139" t="str">
        <f>Application!B628&amp;Application!C628</f>
        <v>2)NPLH</v>
      </c>
      <c r="H2" s="139" t="str">
        <f>Application!B629&amp;Application!C629</f>
        <v>3)County of SB</v>
      </c>
      <c r="I2" s="139" t="str">
        <f>Application!B630&amp;Application!C630</f>
        <v>4)HASBARCO Loan</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v>4000000</v>
      </c>
      <c r="D4" s="147"/>
      <c r="E4" s="147"/>
      <c r="F4" s="147"/>
      <c r="G4" s="147"/>
      <c r="H4" s="147"/>
      <c r="I4" s="147">
        <v>4000000</v>
      </c>
      <c r="J4" s="147"/>
      <c r="K4" s="147"/>
      <c r="L4" s="147"/>
      <c r="M4" s="147"/>
      <c r="N4" s="147"/>
      <c r="O4" s="147"/>
      <c r="P4" s="147"/>
      <c r="Q4" s="147"/>
      <c r="R4" s="550">
        <f>SUM(E4:Q4)</f>
        <v>4000000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4000000</v>
      </c>
      <c r="C8" s="146">
        <f t="shared" ref="C8:Q8" si="0">SUM(C4:C7)</f>
        <v>4000000</v>
      </c>
      <c r="D8" s="146">
        <f t="shared" si="0"/>
        <v>0</v>
      </c>
      <c r="E8" s="146">
        <f t="shared" si="0"/>
        <v>0</v>
      </c>
      <c r="F8" s="146">
        <f t="shared" si="0"/>
        <v>0</v>
      </c>
      <c r="G8" s="146">
        <f t="shared" si="0"/>
        <v>0</v>
      </c>
      <c r="H8" s="146">
        <f t="shared" si="0"/>
        <v>0</v>
      </c>
      <c r="I8" s="146">
        <f t="shared" si="0"/>
        <v>4000000</v>
      </c>
      <c r="J8" s="146">
        <f t="shared" si="0"/>
        <v>0</v>
      </c>
      <c r="K8" s="146">
        <f t="shared" si="0"/>
        <v>0</v>
      </c>
      <c r="L8" s="146">
        <f t="shared" si="0"/>
        <v>0</v>
      </c>
      <c r="M8" s="146">
        <f t="shared" si="0"/>
        <v>0</v>
      </c>
      <c r="N8" s="146">
        <f t="shared" si="0"/>
        <v>0</v>
      </c>
      <c r="O8" s="146">
        <f t="shared" si="0"/>
        <v>0</v>
      </c>
      <c r="P8" s="146"/>
      <c r="Q8" s="146">
        <f t="shared" si="0"/>
        <v>0</v>
      </c>
      <c r="R8" s="370">
        <f>SUM(R4:R7)</f>
        <v>4000000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4000000</v>
      </c>
      <c r="C12" s="146">
        <f t="shared" si="2"/>
        <v>4000000</v>
      </c>
      <c r="D12" s="146">
        <f t="shared" si="2"/>
        <v>0</v>
      </c>
      <c r="E12" s="146">
        <f t="shared" si="2"/>
        <v>0</v>
      </c>
      <c r="F12" s="146">
        <f t="shared" si="2"/>
        <v>0</v>
      </c>
      <c r="G12" s="146">
        <f t="shared" si="2"/>
        <v>0</v>
      </c>
      <c r="H12" s="146">
        <f t="shared" si="2"/>
        <v>0</v>
      </c>
      <c r="I12" s="146">
        <f t="shared" si="2"/>
        <v>4000000</v>
      </c>
      <c r="J12" s="146">
        <f t="shared" si="2"/>
        <v>0</v>
      </c>
      <c r="K12" s="146">
        <f t="shared" si="2"/>
        <v>0</v>
      </c>
      <c r="L12" s="146">
        <f t="shared" si="2"/>
        <v>0</v>
      </c>
      <c r="M12" s="146">
        <f t="shared" si="2"/>
        <v>0</v>
      </c>
      <c r="N12" s="146">
        <f t="shared" si="2"/>
        <v>0</v>
      </c>
      <c r="O12" s="146">
        <f t="shared" si="2"/>
        <v>0</v>
      </c>
      <c r="P12" s="146"/>
      <c r="Q12" s="146">
        <f t="shared" si="2"/>
        <v>0</v>
      </c>
      <c r="R12" s="370">
        <f>SUM(R8+R11)</f>
        <v>4000000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250000</v>
      </c>
      <c r="C29" s="147">
        <v>250000</v>
      </c>
      <c r="D29" s="147"/>
      <c r="E29" s="147">
        <v>250000</v>
      </c>
      <c r="F29" s="147"/>
      <c r="G29" s="147"/>
      <c r="H29" s="147"/>
      <c r="I29" s="147"/>
      <c r="J29" s="147"/>
      <c r="K29" s="147"/>
      <c r="L29" s="147"/>
      <c r="M29" s="147"/>
      <c r="N29" s="147"/>
      <c r="O29" s="147"/>
      <c r="P29" s="147"/>
      <c r="Q29" s="147"/>
      <c r="R29" s="550">
        <f t="shared" ref="R29:R37" si="7">SUM(E29:Q29)</f>
        <v>250000</v>
      </c>
      <c r="S29" s="147">
        <v>250000</v>
      </c>
      <c r="T29" s="147"/>
      <c r="U29" s="143"/>
    </row>
    <row r="30" spans="1:21" s="144" customFormat="1">
      <c r="A30" s="145" t="s">
        <v>608</v>
      </c>
      <c r="B30" s="146">
        <f t="shared" si="6"/>
        <v>10855748</v>
      </c>
      <c r="C30" s="147">
        <f>13655000-2799252</f>
        <v>10855748</v>
      </c>
      <c r="D30" s="147"/>
      <c r="E30" s="147">
        <f>9204218-2799252</f>
        <v>6404966</v>
      </c>
      <c r="F30" s="147">
        <v>2008716</v>
      </c>
      <c r="G30" s="147">
        <v>1234216</v>
      </c>
      <c r="H30" s="147">
        <v>1207850</v>
      </c>
      <c r="I30" s="147"/>
      <c r="J30" s="147"/>
      <c r="K30" s="147"/>
      <c r="L30" s="147"/>
      <c r="M30" s="147"/>
      <c r="N30" s="147"/>
      <c r="O30" s="147"/>
      <c r="P30" s="147"/>
      <c r="Q30" s="147"/>
      <c r="R30" s="550">
        <f t="shared" si="7"/>
        <v>10855748</v>
      </c>
      <c r="S30" s="147">
        <f>13655000-2799252</f>
        <v>10855748</v>
      </c>
      <c r="T30" s="147"/>
      <c r="U30" s="143"/>
    </row>
    <row r="31" spans="1:21" s="144" customFormat="1">
      <c r="A31" s="145" t="s">
        <v>609</v>
      </c>
      <c r="B31" s="146">
        <f t="shared" si="6"/>
        <v>834300</v>
      </c>
      <c r="C31" s="147">
        <v>834300</v>
      </c>
      <c r="D31" s="147"/>
      <c r="E31" s="147"/>
      <c r="F31" s="147"/>
      <c r="G31" s="147">
        <v>834300</v>
      </c>
      <c r="H31" s="147"/>
      <c r="I31" s="147"/>
      <c r="J31" s="147"/>
      <c r="K31" s="147"/>
      <c r="L31" s="147"/>
      <c r="M31" s="147"/>
      <c r="N31" s="147"/>
      <c r="O31" s="147"/>
      <c r="P31" s="147"/>
      <c r="Q31" s="147"/>
      <c r="R31" s="550">
        <f t="shared" si="7"/>
        <v>834300</v>
      </c>
      <c r="S31" s="147">
        <v>834300</v>
      </c>
      <c r="T31" s="147"/>
      <c r="U31" s="143"/>
    </row>
    <row r="32" spans="1:21" s="144" customFormat="1">
      <c r="A32" s="145" t="s">
        <v>137</v>
      </c>
      <c r="B32" s="146">
        <f t="shared" si="6"/>
        <v>589572</v>
      </c>
      <c r="C32" s="147">
        <v>589572</v>
      </c>
      <c r="D32" s="147"/>
      <c r="E32" s="147"/>
      <c r="F32" s="147"/>
      <c r="G32" s="147">
        <v>589572</v>
      </c>
      <c r="H32" s="147"/>
      <c r="I32" s="147"/>
      <c r="J32" s="147"/>
      <c r="K32" s="147"/>
      <c r="L32" s="147"/>
      <c r="M32" s="147"/>
      <c r="N32" s="147"/>
      <c r="O32" s="147"/>
      <c r="P32" s="147"/>
      <c r="Q32" s="147"/>
      <c r="R32" s="550">
        <f t="shared" si="7"/>
        <v>589572</v>
      </c>
      <c r="S32" s="147">
        <v>589572</v>
      </c>
      <c r="T32" s="147"/>
      <c r="U32" s="143"/>
    </row>
    <row r="33" spans="1:21" s="144" customFormat="1">
      <c r="A33" s="145" t="s">
        <v>138</v>
      </c>
      <c r="B33" s="146">
        <f t="shared" si="6"/>
        <v>589572</v>
      </c>
      <c r="C33" s="147">
        <v>589572</v>
      </c>
      <c r="D33" s="147"/>
      <c r="E33" s="147"/>
      <c r="F33" s="147"/>
      <c r="G33" s="147">
        <v>589572</v>
      </c>
      <c r="H33" s="147"/>
      <c r="I33" s="147"/>
      <c r="J33" s="147"/>
      <c r="K33" s="147"/>
      <c r="L33" s="147"/>
      <c r="M33" s="147"/>
      <c r="N33" s="147"/>
      <c r="O33" s="147"/>
      <c r="P33" s="147"/>
      <c r="Q33" s="147"/>
      <c r="R33" s="550">
        <f t="shared" si="7"/>
        <v>589572</v>
      </c>
      <c r="S33" s="147">
        <v>589572</v>
      </c>
      <c r="T33" s="147"/>
      <c r="U33" s="143"/>
    </row>
    <row r="34" spans="1:21" s="144" customFormat="1">
      <c r="A34" s="145" t="s">
        <v>139</v>
      </c>
      <c r="B34" s="146">
        <f t="shared" si="6"/>
        <v>2799252</v>
      </c>
      <c r="C34" s="147">
        <v>2799252</v>
      </c>
      <c r="D34" s="147"/>
      <c r="E34" s="147">
        <v>2799252</v>
      </c>
      <c r="F34" s="147"/>
      <c r="G34" s="147"/>
      <c r="H34" s="147"/>
      <c r="I34" s="147"/>
      <c r="J34" s="147"/>
      <c r="K34" s="147"/>
      <c r="L34" s="147"/>
      <c r="M34" s="147"/>
      <c r="N34" s="147"/>
      <c r="O34" s="147"/>
      <c r="P34" s="147"/>
      <c r="Q34" s="147"/>
      <c r="R34" s="550">
        <f t="shared" si="7"/>
        <v>2799252</v>
      </c>
      <c r="S34" s="147">
        <v>2799252</v>
      </c>
      <c r="T34" s="147"/>
      <c r="U34" s="143"/>
    </row>
    <row r="35" spans="1:21" s="144" customFormat="1">
      <c r="A35" s="145" t="s">
        <v>140</v>
      </c>
      <c r="B35" s="146">
        <f t="shared" si="6"/>
        <v>318369</v>
      </c>
      <c r="C35" s="147">
        <v>318369</v>
      </c>
      <c r="D35" s="147"/>
      <c r="E35" s="147"/>
      <c r="F35" s="147"/>
      <c r="G35" s="147">
        <v>318369</v>
      </c>
      <c r="H35" s="147"/>
      <c r="I35" s="147"/>
      <c r="J35" s="147"/>
      <c r="K35" s="147"/>
      <c r="L35" s="147"/>
      <c r="M35" s="147"/>
      <c r="N35" s="147"/>
      <c r="O35" s="147"/>
      <c r="P35" s="147"/>
      <c r="Q35" s="147"/>
      <c r="R35" s="550">
        <f t="shared" si="7"/>
        <v>318369</v>
      </c>
      <c r="S35" s="147">
        <v>318369</v>
      </c>
      <c r="T35" s="147"/>
      <c r="U35" s="143"/>
    </row>
    <row r="36" spans="1:21" s="144" customFormat="1">
      <c r="A36" s="304" t="s">
        <v>1754</v>
      </c>
      <c r="B36" s="146">
        <f t="shared" si="6"/>
        <v>250000</v>
      </c>
      <c r="C36" s="147">
        <v>250000</v>
      </c>
      <c r="D36" s="147"/>
      <c r="E36" s="147"/>
      <c r="F36" s="147">
        <v>250000</v>
      </c>
      <c r="G36" s="147"/>
      <c r="H36" s="147"/>
      <c r="I36" s="147"/>
      <c r="J36" s="147"/>
      <c r="K36" s="147"/>
      <c r="L36" s="147"/>
      <c r="M36" s="147"/>
      <c r="N36" s="147"/>
      <c r="O36" s="147"/>
      <c r="P36" s="147"/>
      <c r="Q36" s="147"/>
      <c r="R36" s="550">
        <f t="shared" si="7"/>
        <v>250000</v>
      </c>
      <c r="S36" s="147">
        <v>250000</v>
      </c>
      <c r="T36" s="147"/>
      <c r="U36" s="143"/>
    </row>
    <row r="37" spans="1:21" s="144" customFormat="1">
      <c r="A37" s="1193" t="s">
        <v>2693</v>
      </c>
      <c r="B37" s="146">
        <f t="shared" si="6"/>
        <v>238777</v>
      </c>
      <c r="C37" s="147">
        <v>238777</v>
      </c>
      <c r="D37" s="147"/>
      <c r="E37" s="147"/>
      <c r="F37" s="147"/>
      <c r="G37" s="147">
        <v>238777</v>
      </c>
      <c r="H37" s="147"/>
      <c r="I37" s="147"/>
      <c r="J37" s="147"/>
      <c r="K37" s="147"/>
      <c r="L37" s="147"/>
      <c r="M37" s="147"/>
      <c r="N37" s="147"/>
      <c r="O37" s="147"/>
      <c r="P37" s="147"/>
      <c r="Q37" s="147"/>
      <c r="R37" s="550">
        <f t="shared" si="7"/>
        <v>238777</v>
      </c>
      <c r="S37" s="147">
        <v>238777</v>
      </c>
      <c r="T37" s="147"/>
      <c r="U37" s="143"/>
    </row>
    <row r="38" spans="1:21" s="144" customFormat="1">
      <c r="A38" s="149" t="s">
        <v>143</v>
      </c>
      <c r="B38" s="146">
        <f t="shared" si="6"/>
        <v>16725590</v>
      </c>
      <c r="C38" s="146">
        <f>SUM(C29:C37)</f>
        <v>16725590</v>
      </c>
      <c r="D38" s="146">
        <f t="shared" ref="D38:Q38" si="8">SUM(D29:D37)</f>
        <v>0</v>
      </c>
      <c r="E38" s="146">
        <f t="shared" si="8"/>
        <v>9454218</v>
      </c>
      <c r="F38" s="146">
        <f t="shared" si="8"/>
        <v>2258716</v>
      </c>
      <c r="G38" s="146">
        <f t="shared" si="8"/>
        <v>3804806</v>
      </c>
      <c r="H38" s="146">
        <f t="shared" si="8"/>
        <v>1207850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16725590</v>
      </c>
      <c r="S38" s="150">
        <f>SUM(S29:S37)</f>
        <v>16725590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c r="F40" s="147">
        <v>150000</v>
      </c>
      <c r="G40" s="147"/>
      <c r="H40" s="147">
        <v>450000</v>
      </c>
      <c r="I40" s="147"/>
      <c r="J40" s="147"/>
      <c r="K40" s="147"/>
      <c r="L40" s="147"/>
      <c r="M40" s="147"/>
      <c r="N40" s="147"/>
      <c r="O40" s="147"/>
      <c r="P40" s="147"/>
      <c r="Q40" s="147"/>
      <c r="R40" s="550">
        <f>SUM(E40:Q40)</f>
        <v>600000</v>
      </c>
      <c r="S40" s="147">
        <v>600000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600000</v>
      </c>
      <c r="C42" s="146">
        <f>SUM(C39:C41)</f>
        <v>600000</v>
      </c>
      <c r="D42" s="146">
        <f>SUM(D39:D41)</f>
        <v>0</v>
      </c>
      <c r="E42" s="146">
        <f t="shared" ref="E42:T42" si="9">SUM(E40:E41)</f>
        <v>0</v>
      </c>
      <c r="F42" s="146">
        <f t="shared" si="9"/>
        <v>150000</v>
      </c>
      <c r="G42" s="146">
        <f t="shared" si="9"/>
        <v>0</v>
      </c>
      <c r="H42" s="146">
        <f t="shared" si="9"/>
        <v>450000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600000</v>
      </c>
      <c r="S42" s="150">
        <f t="shared" si="9"/>
        <v>600000</v>
      </c>
      <c r="T42" s="150">
        <f t="shared" si="9"/>
        <v>0</v>
      </c>
      <c r="U42" s="143"/>
    </row>
    <row r="43" spans="1:21" s="144" customFormat="1">
      <c r="A43" s="149" t="s">
        <v>148</v>
      </c>
      <c r="B43" s="146">
        <f>SUM(C43:D43)</f>
        <v>150000</v>
      </c>
      <c r="C43" s="147">
        <v>150000</v>
      </c>
      <c r="D43" s="147"/>
      <c r="E43" s="147"/>
      <c r="F43" s="147"/>
      <c r="G43" s="147"/>
      <c r="H43" s="147">
        <v>150000</v>
      </c>
      <c r="I43" s="147"/>
      <c r="J43" s="147"/>
      <c r="K43" s="147"/>
      <c r="L43" s="147"/>
      <c r="M43" s="147"/>
      <c r="N43" s="147"/>
      <c r="O43" s="147"/>
      <c r="P43" s="147"/>
      <c r="Q43" s="147"/>
      <c r="R43" s="550">
        <f>SUM(E43:Q43)</f>
        <v>150000</v>
      </c>
      <c r="S43" s="147">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1114068</v>
      </c>
      <c r="C45" s="147">
        <v>1114068</v>
      </c>
      <c r="D45" s="147"/>
      <c r="E45" s="147">
        <v>1114068</v>
      </c>
      <c r="F45" s="147"/>
      <c r="G45" s="147"/>
      <c r="H45" s="147"/>
      <c r="I45" s="147"/>
      <c r="J45" s="147"/>
      <c r="K45" s="147"/>
      <c r="L45" s="147"/>
      <c r="M45" s="147"/>
      <c r="N45" s="147"/>
      <c r="O45" s="147"/>
      <c r="P45" s="147"/>
      <c r="Q45" s="147"/>
      <c r="R45" s="550">
        <f t="shared" ref="R45:R53" si="11">SUM(E45:Q45)</f>
        <v>1114068</v>
      </c>
      <c r="S45" s="147">
        <v>741545</v>
      </c>
      <c r="T45" s="147"/>
      <c r="U45" s="143"/>
    </row>
    <row r="46" spans="1:21" s="144" customFormat="1">
      <c r="A46" s="145" t="s">
        <v>151</v>
      </c>
      <c r="B46" s="146">
        <f t="shared" si="10"/>
        <v>168725</v>
      </c>
      <c r="C46" s="147">
        <f>228725-10000-50000</f>
        <v>168725</v>
      </c>
      <c r="D46" s="147"/>
      <c r="E46" s="147">
        <v>168725</v>
      </c>
      <c r="F46" s="147"/>
      <c r="G46" s="147"/>
      <c r="H46" s="147"/>
      <c r="I46" s="147"/>
      <c r="J46" s="147"/>
      <c r="K46" s="147"/>
      <c r="L46" s="147"/>
      <c r="M46" s="147"/>
      <c r="N46" s="147"/>
      <c r="O46" s="147"/>
      <c r="P46" s="147"/>
      <c r="Q46" s="147"/>
      <c r="R46" s="550">
        <f t="shared" si="11"/>
        <v>168725</v>
      </c>
      <c r="S46" s="147">
        <f>152244</f>
        <v>152244</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115000</v>
      </c>
      <c r="C49" s="147">
        <v>115000</v>
      </c>
      <c r="D49" s="147"/>
      <c r="E49" s="147"/>
      <c r="F49" s="147"/>
      <c r="G49" s="147">
        <v>115000</v>
      </c>
      <c r="H49" s="147"/>
      <c r="I49" s="147"/>
      <c r="J49" s="147"/>
      <c r="K49" s="147"/>
      <c r="L49" s="147"/>
      <c r="M49" s="147"/>
      <c r="N49" s="147"/>
      <c r="O49" s="147"/>
      <c r="P49" s="147"/>
      <c r="Q49" s="147"/>
      <c r="R49" s="550">
        <f t="shared" si="11"/>
        <v>115000</v>
      </c>
      <c r="S49" s="147">
        <v>115000</v>
      </c>
      <c r="T49" s="147"/>
      <c r="U49" s="143"/>
    </row>
    <row r="50" spans="1:21" s="144" customFormat="1">
      <c r="A50" s="145" t="s">
        <v>156</v>
      </c>
      <c r="B50" s="146">
        <f t="shared" si="10"/>
        <v>60000</v>
      </c>
      <c r="C50" s="147">
        <v>60000</v>
      </c>
      <c r="D50" s="147"/>
      <c r="E50" s="147"/>
      <c r="F50" s="147"/>
      <c r="G50" s="147">
        <v>60000</v>
      </c>
      <c r="H50" s="147"/>
      <c r="I50" s="147"/>
      <c r="J50" s="147"/>
      <c r="K50" s="147"/>
      <c r="L50" s="147"/>
      <c r="M50" s="147"/>
      <c r="N50" s="147"/>
      <c r="O50" s="147"/>
      <c r="P50" s="147"/>
      <c r="Q50" s="147"/>
      <c r="R50" s="550">
        <f t="shared" si="11"/>
        <v>60000</v>
      </c>
      <c r="S50" s="147">
        <v>25000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1457793</v>
      </c>
      <c r="C54" s="150">
        <f t="shared" ref="C54:T54" si="12">SUM(C45:C53)</f>
        <v>1457793</v>
      </c>
      <c r="D54" s="150">
        <f t="shared" si="12"/>
        <v>0</v>
      </c>
      <c r="E54" s="150">
        <f t="shared" si="12"/>
        <v>1282793</v>
      </c>
      <c r="F54" s="150">
        <f t="shared" si="12"/>
        <v>0</v>
      </c>
      <c r="G54" s="150">
        <f t="shared" si="12"/>
        <v>175000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1457793</v>
      </c>
      <c r="S54" s="150">
        <f t="shared" si="12"/>
        <v>1033789</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50032</v>
      </c>
      <c r="C56" s="147">
        <v>50032</v>
      </c>
      <c r="D56" s="147"/>
      <c r="E56" s="147">
        <v>50032</v>
      </c>
      <c r="F56" s="147"/>
      <c r="G56" s="147"/>
      <c r="H56" s="147"/>
      <c r="I56" s="147"/>
      <c r="J56" s="147"/>
      <c r="K56" s="147"/>
      <c r="L56" s="147"/>
      <c r="M56" s="147"/>
      <c r="N56" s="147"/>
      <c r="O56" s="147"/>
      <c r="P56" s="147"/>
      <c r="Q56" s="147"/>
      <c r="R56" s="550">
        <f t="shared" ref="R56:R61" si="14">SUM(E56:Q56)</f>
        <v>50032</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v>10000</v>
      </c>
      <c r="D58" s="147"/>
      <c r="E58" s="147"/>
      <c r="F58" s="147"/>
      <c r="G58" s="147">
        <v>10000</v>
      </c>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60032</v>
      </c>
      <c r="C62" s="146">
        <f t="shared" ref="C62:R62" si="15">SUM(C56:C61)</f>
        <v>60032</v>
      </c>
      <c r="D62" s="146">
        <f t="shared" si="15"/>
        <v>0</v>
      </c>
      <c r="E62" s="146">
        <f t="shared" si="15"/>
        <v>50032</v>
      </c>
      <c r="F62" s="146">
        <f t="shared" si="15"/>
        <v>0</v>
      </c>
      <c r="G62" s="146">
        <f t="shared" si="15"/>
        <v>10000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60032</v>
      </c>
      <c r="S62" s="148"/>
      <c r="T62" s="148"/>
      <c r="U62" s="143"/>
    </row>
    <row r="63" spans="1:21" s="144" customFormat="1">
      <c r="A63" s="154" t="s">
        <v>303</v>
      </c>
      <c r="B63" s="146">
        <f t="shared" ref="B63:R63" si="16">SUM(B8+B11+B13+B14+B15+B26+B27+B38+B42+B43+B54+B62)</f>
        <v>22993415</v>
      </c>
      <c r="C63" s="146">
        <f t="shared" si="16"/>
        <v>22993415</v>
      </c>
      <c r="D63" s="146">
        <f t="shared" si="16"/>
        <v>0</v>
      </c>
      <c r="E63" s="146">
        <f t="shared" si="16"/>
        <v>10787043</v>
      </c>
      <c r="F63" s="146">
        <f t="shared" si="16"/>
        <v>2408716</v>
      </c>
      <c r="G63" s="146">
        <f t="shared" si="16"/>
        <v>3989806</v>
      </c>
      <c r="H63" s="146">
        <f t="shared" si="16"/>
        <v>1807850</v>
      </c>
      <c r="I63" s="146">
        <f t="shared" si="16"/>
        <v>4000000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22993415</v>
      </c>
      <c r="S63" s="146">
        <f>SUM(S10+S13+S14+S15+S26+S27+S38+S42+S43+S54)</f>
        <v>18509379</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f>100000+50000</f>
        <v>150000</v>
      </c>
      <c r="D65" s="147"/>
      <c r="E65" s="147">
        <v>150000</v>
      </c>
      <c r="F65" s="147"/>
      <c r="G65" s="147"/>
      <c r="H65" s="147"/>
      <c r="I65" s="147"/>
      <c r="J65" s="147"/>
      <c r="K65" s="147"/>
      <c r="L65" s="147"/>
      <c r="M65" s="147"/>
      <c r="N65" s="147"/>
      <c r="O65" s="147"/>
      <c r="P65" s="147"/>
      <c r="Q65" s="147"/>
      <c r="R65" s="550">
        <f>SUM(E65:Q65)</f>
        <v>150000</v>
      </c>
      <c r="S65" s="147">
        <v>55000</v>
      </c>
      <c r="T65" s="147"/>
      <c r="U65" s="143"/>
    </row>
    <row r="66" spans="1:21" s="144" customFormat="1" ht="24" customHeight="1">
      <c r="A66" s="304" t="s">
        <v>1755</v>
      </c>
      <c r="B66" s="146">
        <f>SUM(C66+D66)</f>
        <v>250000</v>
      </c>
      <c r="C66" s="147">
        <v>250000</v>
      </c>
      <c r="D66" s="147"/>
      <c r="E66" s="147"/>
      <c r="F66" s="147"/>
      <c r="G66" s="147"/>
      <c r="H66" s="147">
        <v>250000</v>
      </c>
      <c r="I66" s="147"/>
      <c r="J66" s="147"/>
      <c r="K66" s="147"/>
      <c r="L66" s="147"/>
      <c r="M66" s="147"/>
      <c r="N66" s="147"/>
      <c r="O66" s="147"/>
      <c r="P66" s="147"/>
      <c r="Q66" s="147"/>
      <c r="R66" s="550">
        <f>SUM(E66:Q66)</f>
        <v>250000</v>
      </c>
      <c r="S66" s="147">
        <v>250000</v>
      </c>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1759</v>
      </c>
      <c r="B70" s="146">
        <f>SUM(C70:D70)</f>
        <v>400000</v>
      </c>
      <c r="C70" s="146">
        <f>SUM(C65:C69)</f>
        <v>400000</v>
      </c>
      <c r="D70" s="146">
        <f>SUM(D65:D69)</f>
        <v>0</v>
      </c>
      <c r="E70" s="146">
        <f t="shared" ref="E70:T70" si="17">SUM(E65:E69)</f>
        <v>150000</v>
      </c>
      <c r="F70" s="146">
        <f t="shared" si="17"/>
        <v>0</v>
      </c>
      <c r="G70" s="146">
        <f t="shared" si="17"/>
        <v>0</v>
      </c>
      <c r="H70" s="146">
        <f t="shared" si="17"/>
        <v>250000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400000</v>
      </c>
      <c r="S70" s="150">
        <f t="shared" si="17"/>
        <v>305000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481988</v>
      </c>
      <c r="C75" s="147">
        <v>481988</v>
      </c>
      <c r="D75" s="147"/>
      <c r="E75" s="147">
        <v>481988</v>
      </c>
      <c r="F75" s="147"/>
      <c r="G75" s="147"/>
      <c r="H75" s="147"/>
      <c r="I75" s="147"/>
      <c r="J75" s="147"/>
      <c r="K75" s="147"/>
      <c r="L75" s="147"/>
      <c r="M75" s="147"/>
      <c r="N75" s="147"/>
      <c r="O75" s="147"/>
      <c r="P75" s="147"/>
      <c r="Q75" s="147"/>
      <c r="R75" s="550">
        <f>SUM(E75:Q75)</f>
        <v>481988</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481988</v>
      </c>
      <c r="C77" s="146">
        <f>SUM(C72:C76)</f>
        <v>481988</v>
      </c>
      <c r="D77" s="146">
        <f>SUM(D72:D76)</f>
        <v>0</v>
      </c>
      <c r="E77" s="146">
        <f t="shared" ref="E77:Q77" si="18">SUM(E72:E76)</f>
        <v>481988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481988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1615722</v>
      </c>
      <c r="C79" s="147">
        <v>1615722</v>
      </c>
      <c r="D79" s="147"/>
      <c r="E79" s="147"/>
      <c r="F79" s="147">
        <v>1615722</v>
      </c>
      <c r="G79" s="147"/>
      <c r="H79" s="147"/>
      <c r="I79" s="147"/>
      <c r="J79" s="147"/>
      <c r="K79" s="147"/>
      <c r="L79" s="147"/>
      <c r="M79" s="147"/>
      <c r="N79" s="147"/>
      <c r="O79" s="147"/>
      <c r="P79" s="147"/>
      <c r="Q79" s="147"/>
      <c r="R79" s="550">
        <f>SUM(E79:Q79)</f>
        <v>1615722</v>
      </c>
      <c r="S79" s="147">
        <v>1615722</v>
      </c>
      <c r="T79" s="147"/>
      <c r="U79" s="143"/>
    </row>
    <row r="80" spans="1:21" s="144" customFormat="1">
      <c r="A80" s="304" t="s">
        <v>58</v>
      </c>
      <c r="B80" s="146">
        <f>SUM(C80:D80)</f>
        <v>250000</v>
      </c>
      <c r="C80" s="147">
        <v>250000</v>
      </c>
      <c r="D80" s="147"/>
      <c r="E80" s="147"/>
      <c r="F80" s="147">
        <v>250000</v>
      </c>
      <c r="G80" s="147"/>
      <c r="H80" s="147"/>
      <c r="I80" s="147"/>
      <c r="J80" s="147"/>
      <c r="K80" s="147"/>
      <c r="L80" s="147"/>
      <c r="M80" s="147"/>
      <c r="N80" s="147"/>
      <c r="O80" s="147"/>
      <c r="P80" s="147"/>
      <c r="Q80" s="147"/>
      <c r="R80" s="550">
        <f>SUM(E80:Q80)</f>
        <v>250000</v>
      </c>
      <c r="S80" s="147">
        <v>125000</v>
      </c>
      <c r="T80" s="147"/>
      <c r="U80" s="143"/>
    </row>
    <row r="81" spans="1:21" s="144" customFormat="1">
      <c r="A81" s="149" t="s">
        <v>1316</v>
      </c>
      <c r="B81" s="146">
        <f>SUM(C81:D81)</f>
        <v>1865722</v>
      </c>
      <c r="C81" s="543">
        <f>SUM(C79:C80)</f>
        <v>1865722</v>
      </c>
      <c r="D81" s="543">
        <f t="shared" ref="D81:T81" si="19">SUM(D79:D80)</f>
        <v>0</v>
      </c>
      <c r="E81" s="543">
        <f t="shared" si="19"/>
        <v>0</v>
      </c>
      <c r="F81" s="543">
        <f t="shared" si="19"/>
        <v>1865722</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1865722</v>
      </c>
      <c r="S81" s="543">
        <f t="shared" si="19"/>
        <v>1740722</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0">SUM(C83+D83)</f>
        <v>28116</v>
      </c>
      <c r="C83" s="147">
        <f>46122-18006</f>
        <v>28116</v>
      </c>
      <c r="D83" s="147"/>
      <c r="E83" s="147">
        <v>28116</v>
      </c>
      <c r="F83" s="147"/>
      <c r="G83" s="147"/>
      <c r="H83" s="147"/>
      <c r="I83" s="147"/>
      <c r="J83" s="147"/>
      <c r="K83" s="147"/>
      <c r="L83" s="147"/>
      <c r="M83" s="147"/>
      <c r="N83" s="147"/>
      <c r="O83" s="147"/>
      <c r="P83" s="147"/>
      <c r="Q83" s="147"/>
      <c r="R83" s="550">
        <f t="shared" ref="R83:R95" si="21">SUM(E83:Q83)</f>
        <v>28116</v>
      </c>
      <c r="S83" s="148"/>
      <c r="T83" s="148"/>
      <c r="U83" s="143"/>
    </row>
    <row r="84" spans="1:21" s="144" customFormat="1">
      <c r="A84" s="145" t="s">
        <v>777</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728808</v>
      </c>
      <c r="C85" s="147">
        <v>728808</v>
      </c>
      <c r="D85" s="147"/>
      <c r="E85" s="147"/>
      <c r="F85" s="147">
        <v>728808</v>
      </c>
      <c r="G85" s="147"/>
      <c r="H85" s="147"/>
      <c r="I85" s="147"/>
      <c r="J85" s="147"/>
      <c r="K85" s="147"/>
      <c r="L85" s="147"/>
      <c r="M85" s="147"/>
      <c r="N85" s="147"/>
      <c r="O85" s="147"/>
      <c r="P85" s="147"/>
      <c r="Q85" s="147"/>
      <c r="R85" s="550">
        <f t="shared" si="21"/>
        <v>728808</v>
      </c>
      <c r="S85" s="147">
        <v>728808</v>
      </c>
      <c r="T85" s="147"/>
      <c r="U85" s="143"/>
    </row>
    <row r="86" spans="1:21" s="144" customFormat="1">
      <c r="A86" s="145" t="s">
        <v>779</v>
      </c>
      <c r="B86" s="146">
        <f t="shared" si="20"/>
        <v>603192</v>
      </c>
      <c r="C86" s="147">
        <v>603192</v>
      </c>
      <c r="D86" s="147"/>
      <c r="E86" s="147"/>
      <c r="F86" s="147"/>
      <c r="G86" s="147">
        <v>603192</v>
      </c>
      <c r="H86" s="147"/>
      <c r="I86" s="147"/>
      <c r="J86" s="147"/>
      <c r="K86" s="147"/>
      <c r="L86" s="147"/>
      <c r="M86" s="147"/>
      <c r="N86" s="147"/>
      <c r="O86" s="147"/>
      <c r="P86" s="147"/>
      <c r="Q86" s="147"/>
      <c r="R86" s="550">
        <f t="shared" si="21"/>
        <v>603192</v>
      </c>
      <c r="S86" s="147">
        <v>603192</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50000</v>
      </c>
      <c r="C88" s="147">
        <v>50000</v>
      </c>
      <c r="D88" s="147"/>
      <c r="E88" s="147"/>
      <c r="F88" s="147"/>
      <c r="G88" s="147">
        <v>50000</v>
      </c>
      <c r="H88" s="147"/>
      <c r="I88" s="147"/>
      <c r="J88" s="147"/>
      <c r="K88" s="147"/>
      <c r="L88" s="147"/>
      <c r="M88" s="147"/>
      <c r="N88" s="147"/>
      <c r="O88" s="147"/>
      <c r="P88" s="147"/>
      <c r="Q88" s="147"/>
      <c r="R88" s="550">
        <f t="shared" si="21"/>
        <v>50000</v>
      </c>
      <c r="S88" s="148"/>
      <c r="T88" s="148"/>
      <c r="U88" s="143"/>
    </row>
    <row r="89" spans="1:21" s="144" customFormat="1">
      <c r="A89" s="145" t="s">
        <v>782</v>
      </c>
      <c r="B89" s="146">
        <f t="shared" si="20"/>
        <v>95000</v>
      </c>
      <c r="C89" s="147">
        <v>95000</v>
      </c>
      <c r="D89" s="147"/>
      <c r="E89" s="147"/>
      <c r="F89" s="147"/>
      <c r="G89" s="147">
        <v>95000</v>
      </c>
      <c r="H89" s="147"/>
      <c r="I89" s="147"/>
      <c r="J89" s="147"/>
      <c r="K89" s="147"/>
      <c r="L89" s="147"/>
      <c r="M89" s="147"/>
      <c r="N89" s="147"/>
      <c r="O89" s="147"/>
      <c r="P89" s="147"/>
      <c r="Q89" s="147"/>
      <c r="R89" s="550">
        <f t="shared" si="21"/>
        <v>95000</v>
      </c>
      <c r="S89" s="147">
        <v>95000</v>
      </c>
      <c r="T89" s="147"/>
      <c r="U89" s="143"/>
    </row>
    <row r="90" spans="1:21" s="144" customFormat="1">
      <c r="A90" s="145" t="s">
        <v>783</v>
      </c>
      <c r="B90" s="146">
        <f t="shared" si="20"/>
        <v>15000</v>
      </c>
      <c r="C90" s="147">
        <v>15000</v>
      </c>
      <c r="D90" s="147"/>
      <c r="E90" s="147"/>
      <c r="F90" s="147"/>
      <c r="G90" s="147">
        <v>15000</v>
      </c>
      <c r="H90" s="147"/>
      <c r="I90" s="147"/>
      <c r="J90" s="147"/>
      <c r="K90" s="147"/>
      <c r="L90" s="147"/>
      <c r="M90" s="147"/>
      <c r="N90" s="147"/>
      <c r="O90" s="147"/>
      <c r="P90" s="147"/>
      <c r="Q90" s="147"/>
      <c r="R90" s="550">
        <f t="shared" si="21"/>
        <v>15000</v>
      </c>
      <c r="S90" s="147">
        <v>15000</v>
      </c>
      <c r="T90" s="147"/>
      <c r="U90" s="143"/>
    </row>
    <row r="91" spans="1:21" s="144" customFormat="1">
      <c r="A91" s="145" t="s">
        <v>373</v>
      </c>
      <c r="B91" s="146">
        <f t="shared" si="20"/>
        <v>55000</v>
      </c>
      <c r="C91" s="147">
        <v>55000</v>
      </c>
      <c r="D91" s="147"/>
      <c r="E91" s="147"/>
      <c r="F91" s="147"/>
      <c r="G91" s="147">
        <v>55000</v>
      </c>
      <c r="H91" s="147"/>
      <c r="I91" s="147"/>
      <c r="J91" s="147"/>
      <c r="K91" s="147"/>
      <c r="L91" s="147"/>
      <c r="M91" s="147"/>
      <c r="N91" s="147"/>
      <c r="O91" s="147"/>
      <c r="P91" s="147"/>
      <c r="Q91" s="147"/>
      <c r="R91" s="550">
        <f t="shared" si="21"/>
        <v>55000</v>
      </c>
      <c r="S91" s="147">
        <v>35000</v>
      </c>
      <c r="T91" s="147"/>
      <c r="U91" s="143"/>
    </row>
    <row r="92" spans="1:21" s="144" customFormat="1">
      <c r="A92" s="304" t="s">
        <v>1318</v>
      </c>
      <c r="B92" s="146">
        <f t="shared" si="20"/>
        <v>15000</v>
      </c>
      <c r="C92" s="147">
        <v>15000</v>
      </c>
      <c r="D92" s="147"/>
      <c r="E92" s="147"/>
      <c r="F92" s="147"/>
      <c r="G92" s="147">
        <v>15000</v>
      </c>
      <c r="H92" s="147"/>
      <c r="I92" s="147"/>
      <c r="J92" s="147"/>
      <c r="K92" s="147"/>
      <c r="L92" s="147"/>
      <c r="M92" s="147"/>
      <c r="N92" s="147"/>
      <c r="O92" s="147"/>
      <c r="P92" s="147"/>
      <c r="Q92" s="147"/>
      <c r="R92" s="550">
        <f t="shared" si="21"/>
        <v>15000</v>
      </c>
      <c r="S92" s="147"/>
      <c r="T92" s="147"/>
      <c r="U92" s="143"/>
    </row>
    <row r="93" spans="1:21" s="144" customFormat="1">
      <c r="A93" s="1193" t="s">
        <v>2673</v>
      </c>
      <c r="B93" s="146">
        <f t="shared" si="20"/>
        <v>83265</v>
      </c>
      <c r="C93" s="147">
        <v>83265</v>
      </c>
      <c r="D93" s="147"/>
      <c r="E93" s="147">
        <v>83265</v>
      </c>
      <c r="F93" s="147"/>
      <c r="G93" s="147"/>
      <c r="H93" s="147"/>
      <c r="I93" s="147"/>
      <c r="J93" s="147"/>
      <c r="K93" s="147"/>
      <c r="L93" s="147"/>
      <c r="M93" s="147"/>
      <c r="N93" s="147"/>
      <c r="O93" s="147"/>
      <c r="P93" s="147"/>
      <c r="Q93" s="147"/>
      <c r="R93" s="550">
        <f t="shared" si="21"/>
        <v>83265</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1673381</v>
      </c>
      <c r="C96" s="146">
        <f t="shared" ref="C96:R96" si="22">SUM(C83:C95)</f>
        <v>1673381</v>
      </c>
      <c r="D96" s="146">
        <f t="shared" si="22"/>
        <v>0</v>
      </c>
      <c r="E96" s="146">
        <f t="shared" si="22"/>
        <v>111381</v>
      </c>
      <c r="F96" s="146">
        <f t="shared" si="22"/>
        <v>728808</v>
      </c>
      <c r="G96" s="146">
        <f t="shared" si="22"/>
        <v>833192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1673381</v>
      </c>
      <c r="S96" s="150">
        <f>SUM(S84:S87,S89:S95)</f>
        <v>1477000</v>
      </c>
      <c r="T96" s="146">
        <f>SUM(T84:T87,T89:T95)</f>
        <v>0</v>
      </c>
      <c r="U96" s="143"/>
    </row>
    <row r="97" spans="1:21" s="144" customFormat="1">
      <c r="A97" s="149" t="s">
        <v>785</v>
      </c>
      <c r="B97" s="146">
        <f>SUM(C97:D97)</f>
        <v>27414506</v>
      </c>
      <c r="C97" s="146">
        <f t="shared" ref="C97:R97" si="23">SUM(C63+C70+C77+C81+C96)</f>
        <v>27414506</v>
      </c>
      <c r="D97" s="146">
        <f t="shared" si="23"/>
        <v>0</v>
      </c>
      <c r="E97" s="146">
        <f t="shared" si="23"/>
        <v>11530412</v>
      </c>
      <c r="F97" s="146">
        <f t="shared" si="23"/>
        <v>5003246</v>
      </c>
      <c r="G97" s="146">
        <f t="shared" si="23"/>
        <v>4822998</v>
      </c>
      <c r="H97" s="146">
        <f t="shared" si="23"/>
        <v>2057850</v>
      </c>
      <c r="I97" s="146">
        <f t="shared" si="23"/>
        <v>4000000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27414506</v>
      </c>
      <c r="S97" s="146">
        <f>SUM(S63+S70+S81+S96)</f>
        <v>22032101</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3304814</v>
      </c>
      <c r="C99" s="1014">
        <v>3304814</v>
      </c>
      <c r="D99" s="1014"/>
      <c r="E99" s="1014">
        <v>2139722</v>
      </c>
      <c r="F99" s="147"/>
      <c r="G99" s="147"/>
      <c r="H99" s="147"/>
      <c r="I99" s="147"/>
      <c r="J99" s="147">
        <v>1165092</v>
      </c>
      <c r="K99" s="147"/>
      <c r="L99" s="147"/>
      <c r="M99" s="147"/>
      <c r="N99" s="147"/>
      <c r="O99" s="147"/>
      <c r="P99" s="147"/>
      <c r="Q99" s="147"/>
      <c r="R99" s="550">
        <f>SUM(E99:Q99)</f>
        <v>3304814</v>
      </c>
      <c r="S99" s="147">
        <v>3304814</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3304814</v>
      </c>
      <c r="C104" s="146">
        <f>SUM(C99:C103)</f>
        <v>3304814</v>
      </c>
      <c r="D104" s="146">
        <f t="shared" ref="D104:T104" si="24">SUM(D99:D103)</f>
        <v>0</v>
      </c>
      <c r="E104" s="146">
        <f t="shared" si="24"/>
        <v>2139722</v>
      </c>
      <c r="F104" s="146">
        <f t="shared" si="24"/>
        <v>0</v>
      </c>
      <c r="G104" s="146">
        <f t="shared" si="24"/>
        <v>0</v>
      </c>
      <c r="H104" s="146">
        <f t="shared" si="24"/>
        <v>0</v>
      </c>
      <c r="I104" s="146">
        <f t="shared" si="24"/>
        <v>0</v>
      </c>
      <c r="J104" s="146">
        <f t="shared" si="24"/>
        <v>1165092</v>
      </c>
      <c r="K104" s="146">
        <f t="shared" si="24"/>
        <v>0</v>
      </c>
      <c r="L104" s="146">
        <f t="shared" si="24"/>
        <v>0</v>
      </c>
      <c r="M104" s="146">
        <f t="shared" si="24"/>
        <v>0</v>
      </c>
      <c r="N104" s="146">
        <f t="shared" si="24"/>
        <v>0</v>
      </c>
      <c r="O104" s="146">
        <f t="shared" si="24"/>
        <v>0</v>
      </c>
      <c r="P104" s="146">
        <f t="shared" si="24"/>
        <v>0</v>
      </c>
      <c r="Q104" s="146">
        <f t="shared" si="24"/>
        <v>0</v>
      </c>
      <c r="R104" s="370">
        <f t="shared" si="24"/>
        <v>3304814</v>
      </c>
      <c r="S104" s="150">
        <f t="shared" si="24"/>
        <v>3304814</v>
      </c>
      <c r="T104" s="150">
        <f t="shared" si="24"/>
        <v>0</v>
      </c>
      <c r="U104" s="143"/>
    </row>
    <row r="105" spans="1:21" s="144" customFormat="1">
      <c r="A105" s="149" t="s">
        <v>790</v>
      </c>
      <c r="B105" s="150">
        <f>SUM(C105:D105)</f>
        <v>30719320</v>
      </c>
      <c r="C105" s="150">
        <f t="shared" ref="C105:R105" si="25">SUM(C97+C104)</f>
        <v>30719320</v>
      </c>
      <c r="D105" s="150">
        <f t="shared" si="25"/>
        <v>0</v>
      </c>
      <c r="E105" s="150">
        <f t="shared" si="25"/>
        <v>13670134</v>
      </c>
      <c r="F105" s="150">
        <f t="shared" si="25"/>
        <v>5003246</v>
      </c>
      <c r="G105" s="150">
        <f t="shared" si="25"/>
        <v>4822998</v>
      </c>
      <c r="H105" s="150">
        <f t="shared" si="25"/>
        <v>2057850</v>
      </c>
      <c r="I105" s="150">
        <f t="shared" si="25"/>
        <v>4000000</v>
      </c>
      <c r="J105" s="150">
        <f t="shared" si="25"/>
        <v>1165092</v>
      </c>
      <c r="K105" s="150">
        <f t="shared" si="25"/>
        <v>0</v>
      </c>
      <c r="L105" s="150">
        <f t="shared" si="25"/>
        <v>0</v>
      </c>
      <c r="M105" s="150">
        <f t="shared" si="25"/>
        <v>0</v>
      </c>
      <c r="N105" s="150">
        <f t="shared" si="25"/>
        <v>0</v>
      </c>
      <c r="O105" s="150">
        <f t="shared" si="25"/>
        <v>0</v>
      </c>
      <c r="P105" s="150">
        <f t="shared" si="25"/>
        <v>0</v>
      </c>
      <c r="Q105" s="150">
        <f t="shared" si="25"/>
        <v>0</v>
      </c>
      <c r="R105" s="370">
        <f t="shared" si="25"/>
        <v>30719320</v>
      </c>
      <c r="S105" s="150">
        <f>S97+S104</f>
        <v>25336915</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25336915</v>
      </c>
      <c r="T107" s="150">
        <f>T105+T106</f>
        <v>0</v>
      </c>
    </row>
    <row r="108" spans="1:21" s="201" customFormat="1">
      <c r="A108" s="162" t="s">
        <v>892</v>
      </c>
      <c r="B108" s="157"/>
      <c r="C108" s="157"/>
      <c r="D108" s="157"/>
      <c r="E108" s="323">
        <f>Application!AO640</f>
        <v>13670134</v>
      </c>
      <c r="F108" s="323">
        <f>Application!AO627</f>
        <v>5003246</v>
      </c>
      <c r="G108" s="323">
        <f>Application!AO628</f>
        <v>4822998</v>
      </c>
      <c r="H108" s="323">
        <f>Application!AO629</f>
        <v>2057850</v>
      </c>
      <c r="I108" s="323">
        <f>Application!AO630</f>
        <v>4000000</v>
      </c>
      <c r="J108" s="323">
        <f>Application!AO631</f>
        <v>1165092</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0" t="s">
        <v>1015</v>
      </c>
      <c r="E122" s="1880"/>
      <c r="F122" s="188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2" t="s">
        <v>1332</v>
      </c>
      <c r="E123" s="1807"/>
      <c r="F123" s="1807"/>
      <c r="G123" s="1807"/>
      <c r="H123" s="1807"/>
      <c r="I123" s="1807"/>
      <c r="J123" s="1807"/>
      <c r="K123" s="1807"/>
      <c r="L123" s="1807"/>
      <c r="M123" s="1807"/>
      <c r="N123" s="1807"/>
      <c r="O123" s="1807"/>
      <c r="P123" s="1807"/>
      <c r="Q123" s="1807"/>
      <c r="R123" s="1807"/>
      <c r="S123" s="1807"/>
      <c r="T123" s="352"/>
      <c r="U123" s="354"/>
    </row>
    <row r="124" spans="1:21" ht="12.75">
      <c r="A124" s="117" t="s">
        <v>1017</v>
      </c>
      <c r="B124" s="361"/>
      <c r="C124" s="117"/>
      <c r="D124" s="1807"/>
      <c r="E124" s="1807"/>
      <c r="F124" s="1807"/>
      <c r="G124" s="1807"/>
      <c r="H124" s="1807"/>
      <c r="I124" s="1807"/>
      <c r="J124" s="1807"/>
      <c r="K124" s="1807"/>
      <c r="L124" s="1807"/>
      <c r="M124" s="1807"/>
      <c r="N124" s="1807"/>
      <c r="O124" s="1807"/>
      <c r="P124" s="1807"/>
      <c r="Q124" s="1807"/>
      <c r="R124" s="1807"/>
      <c r="S124" s="1807"/>
      <c r="T124" s="352"/>
      <c r="U124" s="354"/>
    </row>
    <row r="125" spans="1:21" ht="12.75">
      <c r="A125" s="117" t="s">
        <v>1018</v>
      </c>
      <c r="B125" s="361"/>
      <c r="C125" s="117"/>
      <c r="D125" s="1807"/>
      <c r="E125" s="1807"/>
      <c r="F125" s="1807"/>
      <c r="G125" s="1807"/>
      <c r="H125" s="1807"/>
      <c r="I125" s="1807"/>
      <c r="J125" s="1807"/>
      <c r="K125" s="1807"/>
      <c r="L125" s="1807"/>
      <c r="M125" s="1807"/>
      <c r="N125" s="1807"/>
      <c r="O125" s="1807"/>
      <c r="P125" s="1807"/>
      <c r="Q125" s="1807"/>
      <c r="R125" s="1807"/>
      <c r="S125" s="180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75">
      <c r="A129" s="117" t="s">
        <v>301</v>
      </c>
      <c r="B129" s="361"/>
      <c r="C129" s="117"/>
      <c r="D129" s="1879" t="s">
        <v>1022</v>
      </c>
      <c r="E129" s="1879"/>
      <c r="F129" s="1879"/>
      <c r="G129" s="1879"/>
      <c r="H129" s="187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4"/>
      <c r="E131" s="1854"/>
      <c r="F131" s="1854"/>
      <c r="G131" s="1854"/>
      <c r="H131" s="1854"/>
      <c r="I131" s="117"/>
      <c r="J131" s="1854"/>
      <c r="K131" s="1854"/>
      <c r="L131" s="1854"/>
      <c r="M131" s="1854"/>
      <c r="N131" s="117"/>
      <c r="O131" s="117"/>
      <c r="P131" s="117"/>
      <c r="Q131" s="117"/>
      <c r="R131" s="117"/>
      <c r="S131" s="117"/>
      <c r="T131" s="352"/>
      <c r="U131" s="354"/>
    </row>
    <row r="132" spans="1:21" ht="12" customHeight="1">
      <c r="A132" s="364"/>
      <c r="B132" s="117"/>
      <c r="C132" s="117"/>
      <c r="D132" s="1883" t="s">
        <v>1025</v>
      </c>
      <c r="E132" s="1883"/>
      <c r="F132" s="1883"/>
      <c r="G132" s="1883"/>
      <c r="H132" s="1883"/>
      <c r="I132" s="117"/>
      <c r="J132" s="1883" t="s">
        <v>1026</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2.75">
      <c r="A139" s="1881" t="s">
        <v>1029</v>
      </c>
      <c r="B139" s="1881"/>
      <c r="C139" s="188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2" workbookViewId="0">
      <selection activeCell="F35" sqref="F35"/>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7" t="s">
        <v>1335</v>
      </c>
      <c r="B1" s="1888"/>
      <c r="C1" s="1888"/>
      <c r="D1" s="1888"/>
      <c r="E1" s="1888"/>
      <c r="F1" s="1888"/>
      <c r="G1" s="1888"/>
      <c r="H1" s="1888"/>
      <c r="I1" s="1888"/>
      <c r="J1" s="188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4000000</v>
      </c>
      <c r="C4" s="393">
        <v>4000000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4000000</v>
      </c>
      <c r="C8" s="392">
        <f>SUM(C4:C7)</f>
        <v>4000000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4000000</v>
      </c>
      <c r="C12" s="392">
        <f>SUM(C8+C11)</f>
        <v>4000000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250000</v>
      </c>
      <c r="C29" s="393">
        <v>250000</v>
      </c>
      <c r="D29" s="393"/>
      <c r="E29" s="392">
        <f>'Sources and Uses Budget'!S29</f>
        <v>250000</v>
      </c>
      <c r="F29" s="393">
        <v>250000</v>
      </c>
      <c r="G29" s="393"/>
      <c r="H29" s="392">
        <f>'Sources and Uses Budget'!T29</f>
        <v>0</v>
      </c>
      <c r="I29" s="393"/>
      <c r="J29" s="393"/>
      <c r="K29" s="390"/>
    </row>
    <row r="30" spans="1:11" s="391" customFormat="1">
      <c r="A30" s="145" t="s">
        <v>608</v>
      </c>
      <c r="B30" s="392">
        <f>'Sources and Uses Budget'!C30</f>
        <v>10855748</v>
      </c>
      <c r="C30" s="393">
        <v>10855748</v>
      </c>
      <c r="D30" s="393"/>
      <c r="E30" s="392">
        <f>'Sources and Uses Budget'!S30</f>
        <v>10855748</v>
      </c>
      <c r="F30" s="393">
        <v>10855748</v>
      </c>
      <c r="G30" s="393"/>
      <c r="H30" s="392">
        <f>'Sources and Uses Budget'!T30</f>
        <v>0</v>
      </c>
      <c r="I30" s="393"/>
      <c r="J30" s="393"/>
      <c r="K30" s="390"/>
    </row>
    <row r="31" spans="1:11" s="391" customFormat="1">
      <c r="A31" s="145" t="s">
        <v>609</v>
      </c>
      <c r="B31" s="392">
        <f>'Sources and Uses Budget'!C31</f>
        <v>834300</v>
      </c>
      <c r="C31" s="393">
        <v>834300</v>
      </c>
      <c r="D31" s="393"/>
      <c r="E31" s="392">
        <f>'Sources and Uses Budget'!S31</f>
        <v>834300</v>
      </c>
      <c r="F31" s="393">
        <v>834300</v>
      </c>
      <c r="G31" s="393"/>
      <c r="H31" s="392">
        <f>'Sources and Uses Budget'!T31</f>
        <v>0</v>
      </c>
      <c r="I31" s="393"/>
      <c r="J31" s="393"/>
      <c r="K31" s="390"/>
    </row>
    <row r="32" spans="1:11" s="391" customFormat="1">
      <c r="A32" s="145" t="s">
        <v>137</v>
      </c>
      <c r="B32" s="392">
        <f>'Sources and Uses Budget'!C32</f>
        <v>589572</v>
      </c>
      <c r="C32" s="393">
        <v>589572</v>
      </c>
      <c r="D32" s="393"/>
      <c r="E32" s="392">
        <f>'Sources and Uses Budget'!S32</f>
        <v>589572</v>
      </c>
      <c r="F32" s="393">
        <v>589572</v>
      </c>
      <c r="G32" s="393"/>
      <c r="H32" s="392">
        <f>'Sources and Uses Budget'!T32</f>
        <v>0</v>
      </c>
      <c r="I32" s="393"/>
      <c r="J32" s="393"/>
      <c r="K32" s="390"/>
    </row>
    <row r="33" spans="1:11" s="391" customFormat="1">
      <c r="A33" s="145" t="s">
        <v>138</v>
      </c>
      <c r="B33" s="392">
        <f>'Sources and Uses Budget'!C33</f>
        <v>589572</v>
      </c>
      <c r="C33" s="393">
        <v>589572</v>
      </c>
      <c r="D33" s="393"/>
      <c r="E33" s="392">
        <f>'Sources and Uses Budget'!S33</f>
        <v>589572</v>
      </c>
      <c r="F33" s="393">
        <v>589572</v>
      </c>
      <c r="G33" s="393"/>
      <c r="H33" s="392">
        <f>'Sources and Uses Budget'!T33</f>
        <v>0</v>
      </c>
      <c r="I33" s="393"/>
      <c r="J33" s="393"/>
      <c r="K33" s="390"/>
    </row>
    <row r="34" spans="1:11" s="391" customFormat="1">
      <c r="A34" s="145" t="s">
        <v>139</v>
      </c>
      <c r="B34" s="392">
        <f>'Sources and Uses Budget'!C34</f>
        <v>2799252</v>
      </c>
      <c r="C34" s="393">
        <v>2799252</v>
      </c>
      <c r="D34" s="393"/>
      <c r="E34" s="392">
        <f>'Sources and Uses Budget'!S34</f>
        <v>2799252</v>
      </c>
      <c r="F34" s="393">
        <v>2799252</v>
      </c>
      <c r="G34" s="393"/>
      <c r="H34" s="392">
        <f>'Sources and Uses Budget'!T34</f>
        <v>0</v>
      </c>
      <c r="I34" s="393"/>
      <c r="J34" s="393"/>
      <c r="K34" s="390"/>
    </row>
    <row r="35" spans="1:11" s="391" customFormat="1">
      <c r="A35" s="145" t="s">
        <v>140</v>
      </c>
      <c r="B35" s="392">
        <f>'Sources and Uses Budget'!C35</f>
        <v>318369</v>
      </c>
      <c r="C35" s="393">
        <v>318369</v>
      </c>
      <c r="D35" s="393"/>
      <c r="E35" s="392">
        <f>'Sources and Uses Budget'!S35</f>
        <v>318369</v>
      </c>
      <c r="F35" s="393">
        <v>318369</v>
      </c>
      <c r="G35" s="393"/>
      <c r="H35" s="392">
        <f>'Sources and Uses Budget'!T35</f>
        <v>0</v>
      </c>
      <c r="I35" s="393"/>
      <c r="J35" s="393"/>
      <c r="K35" s="390"/>
    </row>
    <row r="36" spans="1:11" s="391" customFormat="1">
      <c r="A36" s="542" t="s">
        <v>1754</v>
      </c>
      <c r="B36" s="392">
        <f>'Sources and Uses Budget'!C36</f>
        <v>250000</v>
      </c>
      <c r="C36" s="393">
        <v>250000</v>
      </c>
      <c r="D36" s="393"/>
      <c r="E36" s="392">
        <f>'Sources and Uses Budget'!S36</f>
        <v>250000</v>
      </c>
      <c r="F36" s="393">
        <v>250000</v>
      </c>
      <c r="G36" s="393"/>
      <c r="H36" s="392">
        <f>'Sources and Uses Budget'!T36</f>
        <v>0</v>
      </c>
      <c r="I36" s="393"/>
      <c r="J36" s="393"/>
      <c r="K36" s="390"/>
    </row>
    <row r="37" spans="1:11" s="391" customFormat="1">
      <c r="A37" s="395" t="str">
        <f>'Sources and Uses Budget'!$A37</f>
        <v>Other: P&amp;P Bond</v>
      </c>
      <c r="B37" s="392">
        <f>'Sources and Uses Budget'!C37</f>
        <v>238777</v>
      </c>
      <c r="C37" s="393">
        <v>238777</v>
      </c>
      <c r="D37" s="393"/>
      <c r="E37" s="392">
        <f>'Sources and Uses Budget'!S37</f>
        <v>238777</v>
      </c>
      <c r="F37" s="393">
        <v>238777</v>
      </c>
      <c r="G37" s="393"/>
      <c r="H37" s="392">
        <f>'Sources and Uses Budget'!T37</f>
        <v>0</v>
      </c>
      <c r="I37" s="393"/>
      <c r="J37" s="393"/>
      <c r="K37" s="390"/>
    </row>
    <row r="38" spans="1:11" s="391" customFormat="1">
      <c r="A38" s="396" t="s">
        <v>143</v>
      </c>
      <c r="B38" s="392">
        <f>'Sources and Uses Budget'!C38</f>
        <v>16725590</v>
      </c>
      <c r="C38" s="392">
        <f>SUM(C29:C37)</f>
        <v>16725590</v>
      </c>
      <c r="D38" s="392">
        <f>SUM(D29:D37)</f>
        <v>0</v>
      </c>
      <c r="E38" s="392">
        <f>'Sources and Uses Budget'!S38</f>
        <v>16725590</v>
      </c>
      <c r="F38" s="398">
        <f>SUM(F29:F37)</f>
        <v>16725590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v>600000</v>
      </c>
      <c r="D40" s="393"/>
      <c r="E40" s="392">
        <f>'Sources and Uses Budget'!S40</f>
        <v>600000</v>
      </c>
      <c r="F40" s="393">
        <v>600000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600000</v>
      </c>
      <c r="C42" s="392">
        <f>SUM(C39:C41)</f>
        <v>600000</v>
      </c>
      <c r="D42" s="392">
        <f>SUM(D39:D41)</f>
        <v>0</v>
      </c>
      <c r="E42" s="392">
        <f>'Sources and Uses Budget'!S42</f>
        <v>600000</v>
      </c>
      <c r="F42" s="398">
        <f>SUM(F40:F41)</f>
        <v>600000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v>150000</v>
      </c>
      <c r="D43" s="393"/>
      <c r="E43" s="392">
        <f>'Sources and Uses Budget'!S43</f>
        <v>150000</v>
      </c>
      <c r="F43" s="393">
        <v>150000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1114068</v>
      </c>
      <c r="C45" s="393">
        <v>1114068</v>
      </c>
      <c r="D45" s="393"/>
      <c r="E45" s="392">
        <f>'Sources and Uses Budget'!S45</f>
        <v>741545</v>
      </c>
      <c r="F45" s="393">
        <v>741545</v>
      </c>
      <c r="G45" s="393"/>
      <c r="H45" s="392">
        <f>'Sources and Uses Budget'!T45</f>
        <v>0</v>
      </c>
      <c r="I45" s="393"/>
      <c r="J45" s="393"/>
      <c r="K45" s="390"/>
    </row>
    <row r="46" spans="1:11" s="391" customFormat="1">
      <c r="A46" s="395" t="s">
        <v>151</v>
      </c>
      <c r="B46" s="392">
        <f>'Sources and Uses Budget'!C46</f>
        <v>168725</v>
      </c>
      <c r="C46" s="393">
        <v>168725</v>
      </c>
      <c r="D46" s="393"/>
      <c r="E46" s="392">
        <f>'Sources and Uses Budget'!S46</f>
        <v>152244</v>
      </c>
      <c r="F46" s="393">
        <v>152244</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115000</v>
      </c>
      <c r="C49" s="393">
        <v>115000</v>
      </c>
      <c r="D49" s="393"/>
      <c r="E49" s="392">
        <f>'Sources and Uses Budget'!S49</f>
        <v>115000</v>
      </c>
      <c r="F49" s="393">
        <v>115000</v>
      </c>
      <c r="G49" s="393"/>
      <c r="H49" s="392">
        <f>'Sources and Uses Budget'!T49</f>
        <v>0</v>
      </c>
      <c r="I49" s="393"/>
      <c r="J49" s="393"/>
      <c r="K49" s="390"/>
    </row>
    <row r="50" spans="1:11" s="391" customFormat="1">
      <c r="A50" s="395" t="s">
        <v>156</v>
      </c>
      <c r="B50" s="392">
        <f>'Sources and Uses Budget'!C50</f>
        <v>60000</v>
      </c>
      <c r="C50" s="393">
        <v>60000</v>
      </c>
      <c r="D50" s="393"/>
      <c r="E50" s="392">
        <f>'Sources and Uses Budget'!S50</f>
        <v>25000</v>
      </c>
      <c r="F50" s="393">
        <v>25000</v>
      </c>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1457793</v>
      </c>
      <c r="C54" s="398">
        <f>SUM(C45:C53)</f>
        <v>1457793</v>
      </c>
      <c r="D54" s="398">
        <f>SUM(D45:D53)</f>
        <v>0</v>
      </c>
      <c r="E54" s="392">
        <f>'Sources and Uses Budget'!S54</f>
        <v>1033789</v>
      </c>
      <c r="F54" s="398">
        <f>SUM(F45:F53)</f>
        <v>1033789</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50032</v>
      </c>
      <c r="C56" s="393">
        <v>50032</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v>10000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60032</v>
      </c>
      <c r="C62" s="392">
        <f>SUM(C56:C61)</f>
        <v>60032</v>
      </c>
      <c r="D62" s="392">
        <f>SUM(D56:D61)</f>
        <v>0</v>
      </c>
      <c r="E62" s="394"/>
      <c r="F62" s="394"/>
      <c r="G62" s="394"/>
      <c r="H62" s="394"/>
      <c r="I62" s="394"/>
      <c r="J62" s="394"/>
      <c r="K62" s="390"/>
    </row>
    <row r="63" spans="1:11" s="391" customFormat="1">
      <c r="A63" s="401" t="s">
        <v>303</v>
      </c>
      <c r="B63" s="392">
        <f>'Sources and Uses Budget'!C63</f>
        <v>22993415</v>
      </c>
      <c r="C63" s="392">
        <f>SUM(C8+C11+C13+C14+C15+C26+C27+C38+C42+C43+C54+C62)</f>
        <v>22993415</v>
      </c>
      <c r="D63" s="392">
        <f>SUM(D8+D11+D13+D14+D15+D26+D27+D38+D42+D43+D54+D62)</f>
        <v>0</v>
      </c>
      <c r="E63" s="392">
        <f>'Sources and Uses Budget'!S63</f>
        <v>18509379</v>
      </c>
      <c r="F63" s="392">
        <f>SUM(F10+F13+F14+F15+F26+F27+F38+F42+F43+F54)</f>
        <v>18509379</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150000</v>
      </c>
      <c r="C65" s="393">
        <v>150000</v>
      </c>
      <c r="D65" s="393"/>
      <c r="E65" s="392">
        <f>'Sources and Uses Budget'!S65</f>
        <v>55000</v>
      </c>
      <c r="F65" s="393">
        <v>55000</v>
      </c>
      <c r="G65" s="393"/>
      <c r="H65" s="392">
        <f>'Sources and Uses Budget'!T65</f>
        <v>0</v>
      </c>
      <c r="I65" s="393"/>
      <c r="J65" s="393"/>
      <c r="K65" s="390"/>
    </row>
    <row r="66" spans="1:11" s="391" customFormat="1" ht="24">
      <c r="A66" s="304" t="s">
        <v>1755</v>
      </c>
      <c r="B66" s="392">
        <f>'Sources and Uses Budget'!C66</f>
        <v>250000</v>
      </c>
      <c r="C66" s="393">
        <v>250000</v>
      </c>
      <c r="D66" s="393"/>
      <c r="E66" s="392">
        <f>'Sources and Uses Budget'!S66</f>
        <v>250000</v>
      </c>
      <c r="F66" s="393">
        <v>250000</v>
      </c>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400000</v>
      </c>
      <c r="C70" s="392">
        <f>SUM(C64:C69)</f>
        <v>400000</v>
      </c>
      <c r="D70" s="392">
        <f>SUM(D64:D69)</f>
        <v>0</v>
      </c>
      <c r="E70" s="392">
        <f>'Sources and Uses Budget'!S70</f>
        <v>305000</v>
      </c>
      <c r="F70" s="398">
        <f>SUM(F65:F69)</f>
        <v>305000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481988</v>
      </c>
      <c r="C75" s="393">
        <v>481988</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481988</v>
      </c>
      <c r="C77" s="392">
        <f>SUM(C72:C76)</f>
        <v>481988</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1615722</v>
      </c>
      <c r="C79" s="393">
        <v>1615722</v>
      </c>
      <c r="D79" s="393"/>
      <c r="E79" s="392">
        <f>'Sources and Uses Budget'!S79</f>
        <v>1615722</v>
      </c>
      <c r="F79" s="393">
        <v>1615722</v>
      </c>
      <c r="G79" s="393"/>
      <c r="H79" s="392">
        <f>'Sources and Uses Budget'!T79</f>
        <v>0</v>
      </c>
      <c r="I79" s="393"/>
      <c r="J79" s="393"/>
      <c r="K79" s="390"/>
    </row>
    <row r="80" spans="1:11" s="391" customFormat="1">
      <c r="A80" s="395" t="s">
        <v>58</v>
      </c>
      <c r="B80" s="392">
        <f>'Sources and Uses Budget'!C80</f>
        <v>250000</v>
      </c>
      <c r="C80" s="393">
        <v>250000</v>
      </c>
      <c r="D80" s="393"/>
      <c r="E80" s="392">
        <f>'Sources and Uses Budget'!S80</f>
        <v>125000</v>
      </c>
      <c r="F80" s="393">
        <v>125000</v>
      </c>
      <c r="G80" s="393"/>
      <c r="H80" s="392">
        <f>'Sources and Uses Budget'!T80</f>
        <v>0</v>
      </c>
      <c r="I80" s="393"/>
      <c r="J80" s="393"/>
      <c r="K80" s="390"/>
    </row>
    <row r="81" spans="1:11" s="391" customFormat="1">
      <c r="A81" s="396" t="s">
        <v>1316</v>
      </c>
      <c r="B81" s="392">
        <f>'Sources and Uses Budget'!C81</f>
        <v>1865722</v>
      </c>
      <c r="C81" s="392">
        <f>SUM(C79:C80)</f>
        <v>1865722</v>
      </c>
      <c r="D81" s="392">
        <f>SUM(D79:D80)</f>
        <v>0</v>
      </c>
      <c r="E81" s="392">
        <f>'Sources and Uses Budget'!S81</f>
        <v>1740722</v>
      </c>
      <c r="F81" s="392">
        <f>SUM(F79:F80)</f>
        <v>1740722</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28116</v>
      </c>
      <c r="C83" s="393">
        <v>28116</v>
      </c>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728808</v>
      </c>
      <c r="C85" s="393">
        <v>728808</v>
      </c>
      <c r="D85" s="393"/>
      <c r="E85" s="392">
        <f>'Sources and Uses Budget'!S85</f>
        <v>728808</v>
      </c>
      <c r="F85" s="393">
        <v>728808</v>
      </c>
      <c r="G85" s="393"/>
      <c r="H85" s="392">
        <f>'Sources and Uses Budget'!T85</f>
        <v>0</v>
      </c>
      <c r="I85" s="393"/>
      <c r="J85" s="393"/>
      <c r="K85" s="390"/>
    </row>
    <row r="86" spans="1:11" s="391" customFormat="1">
      <c r="A86" s="145" t="s">
        <v>779</v>
      </c>
      <c r="B86" s="392">
        <f>'Sources and Uses Budget'!C86</f>
        <v>603192</v>
      </c>
      <c r="C86" s="393">
        <v>603192</v>
      </c>
      <c r="D86" s="393"/>
      <c r="E86" s="392">
        <f>'Sources and Uses Budget'!S86</f>
        <v>603192</v>
      </c>
      <c r="F86" s="393">
        <v>603192</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50000</v>
      </c>
      <c r="C88" s="393">
        <v>50000</v>
      </c>
      <c r="D88" s="393"/>
      <c r="E88" s="394"/>
      <c r="F88" s="394"/>
      <c r="G88" s="394"/>
      <c r="H88" s="394"/>
      <c r="I88" s="394"/>
      <c r="J88" s="394"/>
      <c r="K88" s="390"/>
    </row>
    <row r="89" spans="1:11" s="391" customFormat="1">
      <c r="A89" s="145" t="s">
        <v>782</v>
      </c>
      <c r="B89" s="392">
        <f>'Sources and Uses Budget'!C89</f>
        <v>95000</v>
      </c>
      <c r="C89" s="393">
        <v>95000</v>
      </c>
      <c r="D89" s="393"/>
      <c r="E89" s="392">
        <f>'Sources and Uses Budget'!S89</f>
        <v>95000</v>
      </c>
      <c r="F89" s="393">
        <v>95000</v>
      </c>
      <c r="G89" s="393"/>
      <c r="H89" s="392">
        <f>'Sources and Uses Budget'!T89</f>
        <v>0</v>
      </c>
      <c r="I89" s="393"/>
      <c r="J89" s="393"/>
      <c r="K89" s="390"/>
    </row>
    <row r="90" spans="1:11" s="391" customFormat="1">
      <c r="A90" s="145" t="s">
        <v>783</v>
      </c>
      <c r="B90" s="392">
        <f>'Sources and Uses Budget'!C90</f>
        <v>15000</v>
      </c>
      <c r="C90" s="393">
        <v>15000</v>
      </c>
      <c r="D90" s="393"/>
      <c r="E90" s="392">
        <f>'Sources and Uses Budget'!S90</f>
        <v>15000</v>
      </c>
      <c r="F90" s="393">
        <v>15000</v>
      </c>
      <c r="G90" s="393"/>
      <c r="H90" s="392">
        <f>'Sources and Uses Budget'!T90</f>
        <v>0</v>
      </c>
      <c r="I90" s="393"/>
      <c r="J90" s="393"/>
      <c r="K90" s="390"/>
    </row>
    <row r="91" spans="1:11" s="391" customFormat="1">
      <c r="A91" s="155" t="s">
        <v>373</v>
      </c>
      <c r="B91" s="392">
        <f>'Sources and Uses Budget'!C91</f>
        <v>55000</v>
      </c>
      <c r="C91" s="393">
        <v>55000</v>
      </c>
      <c r="D91" s="393"/>
      <c r="E91" s="392">
        <f>'Sources and Uses Budget'!S91</f>
        <v>35000</v>
      </c>
      <c r="F91" s="393">
        <v>35000</v>
      </c>
      <c r="G91" s="393"/>
      <c r="H91" s="392">
        <f>'Sources and Uses Budget'!T91</f>
        <v>0</v>
      </c>
      <c r="I91" s="393"/>
      <c r="J91" s="393"/>
      <c r="K91" s="390"/>
    </row>
    <row r="92" spans="1:11" s="391" customFormat="1">
      <c r="A92" s="542" t="s">
        <v>1318</v>
      </c>
      <c r="B92" s="392">
        <f>'Sources and Uses Budget'!C92</f>
        <v>15000</v>
      </c>
      <c r="C92" s="393">
        <v>15000</v>
      </c>
      <c r="D92" s="393"/>
      <c r="E92" s="392">
        <f>'Sources and Uses Budget'!S92</f>
        <v>0</v>
      </c>
      <c r="F92" s="393"/>
      <c r="G92" s="393"/>
      <c r="H92" s="392">
        <f>'Sources and Uses Budget'!T92</f>
        <v>0</v>
      </c>
      <c r="I92" s="393"/>
      <c r="J92" s="393"/>
      <c r="K92" s="390"/>
    </row>
    <row r="93" spans="1:11" s="391" customFormat="1">
      <c r="A93" s="395" t="str">
        <f>'Sources and Uses Budget'!$A93</f>
        <v>Other: CDLAC Fees</v>
      </c>
      <c r="B93" s="392">
        <f>'Sources and Uses Budget'!C93</f>
        <v>83265</v>
      </c>
      <c r="C93" s="393">
        <v>83265</v>
      </c>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1673381</v>
      </c>
      <c r="C96" s="392">
        <f>SUM(C83:C95)</f>
        <v>1673381</v>
      </c>
      <c r="D96" s="392">
        <f>SUM(D83:D95)</f>
        <v>0</v>
      </c>
      <c r="E96" s="392">
        <f>'Sources and Uses Budget'!S96</f>
        <v>1477000</v>
      </c>
      <c r="F96" s="398">
        <f>SUM(F84:F87,F89:F95)</f>
        <v>1477000</v>
      </c>
      <c r="G96" s="398">
        <f>SUM(G84:G87,G89:G95)</f>
        <v>0</v>
      </c>
      <c r="H96" s="392">
        <f>'Sources and Uses Budget'!T96</f>
        <v>0</v>
      </c>
      <c r="I96" s="392">
        <f>SUM(I84:I87,I89:I95)</f>
        <v>0</v>
      </c>
      <c r="J96" s="392">
        <f>SUM(J84:J87,J89:J95)</f>
        <v>0</v>
      </c>
      <c r="K96" s="390"/>
    </row>
    <row r="97" spans="1:11" s="391" customFormat="1">
      <c r="A97" s="396" t="s">
        <v>1054</v>
      </c>
      <c r="B97" s="392">
        <f>'Sources and Uses Budget'!C97</f>
        <v>27414506</v>
      </c>
      <c r="C97" s="392">
        <f>SUM(C63+C70+C77+C81+C96)</f>
        <v>27414506</v>
      </c>
      <c r="D97" s="392">
        <f>SUM(D63+D70+D77+D81+D96)</f>
        <v>0</v>
      </c>
      <c r="E97" s="392">
        <f>'Sources and Uses Budget'!S97</f>
        <v>22032101</v>
      </c>
      <c r="F97" s="398">
        <f>SUM(+F63+F70+F81+F96)</f>
        <v>22032101</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3304814</v>
      </c>
      <c r="C99" s="393">
        <v>3304814</v>
      </c>
      <c r="D99" s="393"/>
      <c r="E99" s="392">
        <f>'Sources and Uses Budget'!S99</f>
        <v>3304814</v>
      </c>
      <c r="F99" s="393">
        <v>3304814</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3304814</v>
      </c>
      <c r="C104" s="392">
        <f>SUM(C99:C103)</f>
        <v>3304814</v>
      </c>
      <c r="D104" s="392">
        <f>SUM(D99:D103)</f>
        <v>0</v>
      </c>
      <c r="E104" s="392">
        <f>'Sources and Uses Budget'!S104</f>
        <v>3304814</v>
      </c>
      <c r="F104" s="398">
        <f>SUM(F99:F103)</f>
        <v>3304814</v>
      </c>
      <c r="G104" s="398">
        <f>SUM(G99:G103)</f>
        <v>0</v>
      </c>
      <c r="H104" s="392">
        <f>'Sources and Uses Budget'!T104</f>
        <v>0</v>
      </c>
      <c r="I104" s="398">
        <f>SUM(I99:I103)</f>
        <v>0</v>
      </c>
      <c r="J104" s="398">
        <f>SUM(J99:J103)</f>
        <v>0</v>
      </c>
      <c r="K104" s="390"/>
    </row>
    <row r="105" spans="1:11" s="391" customFormat="1">
      <c r="A105" s="396" t="s">
        <v>1055</v>
      </c>
      <c r="B105" s="392">
        <f>'Sources and Uses Budget'!C105</f>
        <v>30719320</v>
      </c>
      <c r="C105" s="398">
        <f>SUM(C97+C104)</f>
        <v>30719320</v>
      </c>
      <c r="D105" s="398">
        <f>SUM(D97+D104)</f>
        <v>0</v>
      </c>
      <c r="E105" s="392">
        <f>'Sources and Uses Budget'!S105</f>
        <v>25336915</v>
      </c>
      <c r="F105" s="398">
        <f>F97+F104</f>
        <v>25336915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25336915</v>
      </c>
      <c r="F107" s="398">
        <f>F105+F106</f>
        <v>25336915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4" zoomScale="160" zoomScaleNormal="160" workbookViewId="0">
      <selection activeCell="E758" sqref="E758:AD76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2" t="s">
        <v>1412</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1417</v>
      </c>
      <c r="AF7" s="1906"/>
      <c r="AG7" s="1906"/>
      <c r="AH7" s="1906"/>
      <c r="AI7" s="1906"/>
      <c r="AJ7" s="1906"/>
      <c r="AK7" s="1906"/>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600</v>
      </c>
      <c r="C13" s="1896"/>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600</v>
      </c>
      <c r="C16" s="1896"/>
      <c r="D16" s="581"/>
      <c r="E16" s="1907" t="s">
        <v>1419</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1420</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600</v>
      </c>
      <c r="C22" s="1896"/>
      <c r="D22" s="581"/>
      <c r="E22" s="1929" t="s">
        <v>1422</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1420</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600</v>
      </c>
      <c r="C25" s="1896"/>
      <c r="D25" s="581"/>
      <c r="E25" s="1897" t="s">
        <v>2349</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1420</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6" t="s">
        <v>600</v>
      </c>
      <c r="C30" s="1896"/>
      <c r="D30" s="581"/>
      <c r="E30" s="1929" t="s">
        <v>2321</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600</v>
      </c>
      <c r="C33" s="1896"/>
      <c r="D33" s="581"/>
      <c r="E33" s="1897" t="s">
        <v>2322</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600</v>
      </c>
      <c r="C39" s="1896"/>
      <c r="D39" s="1186"/>
      <c r="E39" s="1897" t="s">
        <v>2323</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600</v>
      </c>
      <c r="C46" s="1896"/>
      <c r="D46" s="574"/>
      <c r="E46" s="1897" t="s">
        <v>2328</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600</v>
      </c>
      <c r="C50" s="1896"/>
      <c r="D50" s="574"/>
      <c r="E50" s="1917" t="s">
        <v>2329</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600</v>
      </c>
      <c r="C52" s="1896"/>
      <c r="D52" s="574"/>
      <c r="E52" s="1897" t="s">
        <v>2330</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6">
        <f>AO36</f>
        <v>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1426</v>
      </c>
      <c r="AF59" s="1906"/>
      <c r="AG59" s="1906"/>
      <c r="AH59" s="1906"/>
      <c r="AI59" s="1906"/>
      <c r="AJ59" s="1906"/>
      <c r="AK59" s="1906"/>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554</v>
      </c>
      <c r="C62" s="1896"/>
      <c r="D62" s="581" t="s">
        <v>1427</v>
      </c>
      <c r="E62" s="1907" t="s">
        <v>2331</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10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1428</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600</v>
      </c>
      <c r="C68" s="1896"/>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600</v>
      </c>
      <c r="F69" s="1896"/>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600</v>
      </c>
      <c r="F70" s="1895"/>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600</v>
      </c>
      <c r="F71" s="1895"/>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600</v>
      </c>
      <c r="F73" s="1896"/>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600</v>
      </c>
      <c r="C75" s="1896"/>
      <c r="D75" s="581" t="s">
        <v>1432</v>
      </c>
      <c r="E75" s="1897" t="s">
        <v>1931</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6">
        <f>IF(AK56&gt;0,0,AO65)</f>
        <v>10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1417</v>
      </c>
      <c r="AF81" s="1906"/>
      <c r="AG81" s="1906"/>
      <c r="AH81" s="1906"/>
      <c r="AI81" s="1906"/>
      <c r="AJ81" s="1906"/>
      <c r="AK81" s="1906"/>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554</v>
      </c>
      <c r="C84" s="1896"/>
      <c r="D84" s="581" t="s">
        <v>1427</v>
      </c>
      <c r="E84" s="1907" t="s">
        <v>1437</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0.26029411764705879</v>
      </c>
      <c r="F87" s="1891"/>
      <c r="G87" s="1891"/>
      <c r="H87" s="1891"/>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0.32999999999999996</v>
      </c>
      <c r="F88" s="1893"/>
      <c r="G88" s="1893"/>
      <c r="H88" s="1893"/>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20</v>
      </c>
      <c r="F89" s="1921"/>
      <c r="G89" s="1921"/>
      <c r="H89" s="1921"/>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554</v>
      </c>
      <c r="C92" s="1896"/>
      <c r="D92" s="581" t="s">
        <v>1429</v>
      </c>
      <c r="E92" s="1907" t="s">
        <v>1916</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0.26029411764705879</v>
      </c>
      <c r="F97" s="1891"/>
      <c r="G97" s="1891"/>
      <c r="H97" s="1891"/>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0.35294117647058826</v>
      </c>
      <c r="F98" s="1891"/>
      <c r="G98" s="1891"/>
      <c r="H98" s="1891"/>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8.8235294117647065E-2</v>
      </c>
      <c r="F99" s="1891"/>
      <c r="G99" s="1891"/>
      <c r="H99" s="1891"/>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6">
        <f ca="1">MAX(AP89,AP100)</f>
        <v>20</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1426</v>
      </c>
      <c r="AF106" s="1906"/>
      <c r="AG106" s="1906"/>
      <c r="AH106" s="1906"/>
      <c r="AI106" s="1906"/>
      <c r="AJ106" s="1906"/>
      <c r="AK106" s="1906"/>
      <c r="AL106" s="574"/>
      <c r="AM106" s="574"/>
      <c r="AN106" s="569"/>
      <c r="AO106" s="570" t="str">
        <f>Application!B718</f>
        <v>SRO/Studio</v>
      </c>
      <c r="AQ106" s="570">
        <f>Application!O718</f>
        <v>389</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777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1554</v>
      </c>
    </row>
    <row r="109" spans="1:49" s="570" customFormat="1" ht="12.75" customHeight="1">
      <c r="A109" s="574"/>
      <c r="B109" s="1896" t="s">
        <v>554</v>
      </c>
      <c r="C109" s="1896"/>
      <c r="D109" s="581" t="s">
        <v>1427</v>
      </c>
      <c r="E109" s="1907" t="s">
        <v>2050</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1 Bedroom</v>
      </c>
      <c r="AQ109" s="570">
        <f>Application!O721</f>
        <v>416</v>
      </c>
      <c r="AU109" s="570" t="s">
        <v>2032</v>
      </c>
      <c r="AV109" s="629" t="s">
        <v>2033</v>
      </c>
      <c r="AW109" s="570" t="s">
        <v>2034</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1 Bedroom</v>
      </c>
      <c r="AQ110" s="570">
        <f>Application!O722</f>
        <v>1387</v>
      </c>
      <c r="AU110" s="890" t="str">
        <f>E118</f>
        <v>Studio/SRO</v>
      </c>
      <c r="AV110" s="570">
        <f t="array" ref="AV110">SUM(IF(Application!B718:F752="SRO/Studio",Application!G718:J752))</f>
        <v>29</v>
      </c>
      <c r="AW110" s="1046">
        <f>AV110/AV116</f>
        <v>0.8529411764705882</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f>Application!B723</f>
        <v>0</v>
      </c>
      <c r="AQ111" s="570">
        <f>Application!O723</f>
        <v>0</v>
      </c>
      <c r="AU111" s="890" t="str">
        <f>J118</f>
        <v>1-bedroom</v>
      </c>
      <c r="AV111" s="570">
        <f t="array" ref="AV111">SUM(IF(Application!B718:F752="1 Bedroom",Application!G718:J752))</f>
        <v>5</v>
      </c>
      <c r="AW111" s="1046">
        <f>AV111/AV116</f>
        <v>0.14705882352941177</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f>Application!B728</f>
        <v>0</v>
      </c>
      <c r="AQ116" s="570">
        <f>Application!O728</f>
        <v>0</v>
      </c>
      <c r="AV116" s="570">
        <f>SUM(AV110:AV115)</f>
        <v>34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0" t="s">
        <v>1701</v>
      </c>
      <c r="F118" s="1891"/>
      <c r="G118" s="1891"/>
      <c r="H118" s="1891"/>
      <c r="I118" s="611"/>
      <c r="J118" s="1891" t="s">
        <v>1745</v>
      </c>
      <c r="K118" s="1891"/>
      <c r="L118" s="1891"/>
      <c r="M118" s="1891"/>
      <c r="N118" s="611"/>
      <c r="O118" s="1891" t="s">
        <v>1746</v>
      </c>
      <c r="P118" s="1891"/>
      <c r="Q118" s="1891"/>
      <c r="R118" s="1891"/>
      <c r="S118" s="611"/>
      <c r="T118" s="1891" t="s">
        <v>1446</v>
      </c>
      <c r="U118" s="1891"/>
      <c r="V118" s="1891"/>
      <c r="W118" s="1891"/>
      <c r="X118" s="611"/>
      <c r="Y118" s="1891" t="s">
        <v>1747</v>
      </c>
      <c r="Z118" s="1891"/>
      <c r="AA118" s="1891"/>
      <c r="AB118" s="1891"/>
      <c r="AC118" s="611"/>
      <c r="AD118" s="1891" t="s">
        <v>1748</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v>1554</v>
      </c>
      <c r="F121" s="1948"/>
      <c r="G121" s="1948"/>
      <c r="H121" s="1948"/>
      <c r="I121" s="898"/>
      <c r="J121" s="1948">
        <v>1664</v>
      </c>
      <c r="K121" s="1948"/>
      <c r="L121" s="1948"/>
      <c r="M121" s="1948"/>
      <c r="N121" s="898"/>
      <c r="O121" s="1948">
        <v>1998</v>
      </c>
      <c r="P121" s="1948"/>
      <c r="Q121" s="1948"/>
      <c r="R121" s="1948"/>
      <c r="S121" s="898"/>
      <c r="T121" s="1948">
        <v>2308</v>
      </c>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629.89655172413802</v>
      </c>
      <c r="F124" s="1941"/>
      <c r="G124" s="1941"/>
      <c r="H124" s="1941"/>
      <c r="I124" s="898"/>
      <c r="J124" s="1941">
        <f>Application!EC670</f>
        <v>998.59999999999991</v>
      </c>
      <c r="K124" s="1941"/>
      <c r="L124" s="1941"/>
      <c r="M124" s="1941"/>
      <c r="N124" s="898"/>
      <c r="O124" s="1941">
        <f>Application!EH670</f>
        <v>0</v>
      </c>
      <c r="P124" s="1941"/>
      <c r="Q124" s="1941"/>
      <c r="R124" s="1941"/>
      <c r="S124" s="902"/>
      <c r="T124" s="1941">
        <f>Application!EM670</f>
        <v>0</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f>(E121-E124)/E121</f>
        <v>0.59466116362668076</v>
      </c>
      <c r="F127" s="1893"/>
      <c r="G127" s="1893"/>
      <c r="H127" s="2138"/>
      <c r="I127" s="611"/>
      <c r="J127" s="2137">
        <f>(J121-J124)/J121</f>
        <v>0.39987980769230774</v>
      </c>
      <c r="K127" s="1893"/>
      <c r="L127" s="1893"/>
      <c r="M127" s="2138"/>
      <c r="N127" s="611"/>
      <c r="O127" s="2137">
        <f>(O121-O124)/O121</f>
        <v>1</v>
      </c>
      <c r="P127" s="1893"/>
      <c r="Q127" s="1893"/>
      <c r="R127" s="2138"/>
      <c r="S127" s="611"/>
      <c r="T127" s="2137">
        <f>(T121-T124)/T121</f>
        <v>1</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f>IF(((E127-0.1)*AW110)&gt;0,((E127-0.1)*AW110),0)</f>
        <v>0.42191687485805124</v>
      </c>
      <c r="F130" s="1943"/>
      <c r="G130" s="1943"/>
      <c r="H130" s="1944"/>
      <c r="I130" s="611"/>
      <c r="J130" s="1942">
        <f>IF(((J127-0.1)*AW111)&gt;0,((J127-0.1)*AW111),0)</f>
        <v>4.4099971719457016E-2</v>
      </c>
      <c r="K130" s="1943"/>
      <c r="L130" s="1943"/>
      <c r="M130" s="1944"/>
      <c r="N130" s="611"/>
      <c r="O130" s="1942">
        <f>IF(((O127-0.1)*AW112)&gt;0,((O127-0.1)*AW112),0)</f>
        <v>0</v>
      </c>
      <c r="P130" s="1943"/>
      <c r="Q130" s="1943"/>
      <c r="R130" s="1944"/>
      <c r="S130" s="611"/>
      <c r="T130" s="1942">
        <f>IF(((T127-0.1)*AW113)&gt;0,((T127-0.1)*AW113),0)</f>
        <v>0</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0.46</v>
      </c>
      <c r="F132" s="1893"/>
      <c r="G132" s="1893"/>
      <c r="H132" s="2138"/>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6" t="s">
        <v>1426</v>
      </c>
      <c r="AF140" s="1906"/>
      <c r="AG140" s="1906"/>
      <c r="AH140" s="1906"/>
      <c r="AI140" s="1906"/>
      <c r="AJ140" s="1906"/>
      <c r="AK140" s="190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1450</v>
      </c>
      <c r="AG142" s="1938"/>
      <c r="AH142" s="1938"/>
      <c r="AI142" s="1938"/>
      <c r="AJ142" s="1938"/>
      <c r="AK142" s="1938"/>
      <c r="AL142" s="193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2655</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4" t="s">
        <v>1453</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5" t="s">
        <v>600</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4"/>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1464</v>
      </c>
      <c r="AG157" s="1938"/>
      <c r="AH157" s="1938"/>
      <c r="AI157" s="1938"/>
      <c r="AJ157" s="1938"/>
      <c r="AK157" s="1938"/>
      <c r="AL157" s="1938"/>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1462</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600</v>
      </c>
      <c r="AG161" s="1965"/>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4" t="s">
        <v>1455</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9"/>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1426</v>
      </c>
      <c r="AF175" s="1906"/>
      <c r="AG175" s="1906"/>
      <c r="AH175" s="1906"/>
      <c r="AI175" s="1906"/>
      <c r="AJ175" s="1906"/>
      <c r="AK175" s="190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2" t="s">
        <v>1068</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1475</v>
      </c>
      <c r="AG177" s="1938"/>
      <c r="AH177" s="1938"/>
      <c r="AI177" s="1938"/>
      <c r="AJ177" s="1938"/>
      <c r="AK177" s="1938"/>
      <c r="AL177" s="1938"/>
      <c r="AN177" s="631"/>
      <c r="AP177" s="584" t="s">
        <v>1068</v>
      </c>
      <c r="AQ177" s="584">
        <v>10</v>
      </c>
    </row>
    <row r="178" spans="1:45" s="584" customFormat="1" ht="12.75" customHeight="1">
      <c r="A178" s="570"/>
      <c r="B178" s="1963" t="s">
        <v>1917</v>
      </c>
      <c r="C178" s="1963"/>
      <c r="D178" s="1963"/>
      <c r="E178" s="1963"/>
      <c r="F178" s="1963"/>
      <c r="G178" s="1963"/>
      <c r="H178" s="1963"/>
      <c r="I178" s="1963"/>
      <c r="J178" s="1963"/>
      <c r="K178" s="1963"/>
      <c r="L178" s="1963"/>
      <c r="M178" s="1963"/>
      <c r="N178" s="1963"/>
      <c r="O178" s="1963"/>
      <c r="P178" s="1963"/>
      <c r="Q178" s="1963"/>
      <c r="R178" s="1963"/>
      <c r="S178" s="1963"/>
      <c r="T178" s="1939" t="s">
        <v>600</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1">
        <f>IF(AK78&gt;0,VLOOKUP($B$177,AP174:AQ180,2,FALSE),0)</f>
        <v>10</v>
      </c>
      <c r="AL180" s="1972"/>
      <c r="AM180" s="1973"/>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1484</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2565</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4822998</v>
      </c>
      <c r="AE188" s="1951"/>
      <c r="AF188" s="1951"/>
      <c r="AG188" s="1951"/>
      <c r="AH188" s="1951"/>
      <c r="AI188" s="1951"/>
      <c r="AJ188" s="1951"/>
      <c r="AK188" s="644"/>
    </row>
    <row r="189" spans="1:45">
      <c r="A189" s="639"/>
      <c r="B189" s="1950" t="s">
        <v>2751</v>
      </c>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v>2057850</v>
      </c>
      <c r="AE189" s="1951"/>
      <c r="AF189" s="1951"/>
      <c r="AG189" s="1951"/>
      <c r="AH189" s="1951"/>
      <c r="AI189" s="1951"/>
      <c r="AJ189" s="1951"/>
      <c r="AK189" s="644"/>
    </row>
    <row r="190" spans="1:45">
      <c r="A190" s="639"/>
      <c r="B190" s="1950" t="s">
        <v>2754</v>
      </c>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v>4000000</v>
      </c>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1740</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9978985.0922994893</v>
      </c>
      <c r="AE198" s="1978"/>
      <c r="AF198" s="1978"/>
      <c r="AG198" s="1978"/>
      <c r="AH198" s="1978"/>
      <c r="AI198" s="1978"/>
      <c r="AJ198" s="1978"/>
      <c r="AK198" s="644"/>
    </row>
    <row r="199" spans="1:37">
      <c r="A199" s="639"/>
      <c r="B199" s="2112" t="s">
        <v>1703</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3">
        <f>SUM(AD188:AJ198)-AD199</f>
        <v>20859833.092299491</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1720</v>
      </c>
      <c r="J211" s="1954"/>
      <c r="K211" s="1954"/>
      <c r="L211" s="570"/>
      <c r="M211" s="570"/>
      <c r="N211" s="570"/>
      <c r="O211" s="570"/>
      <c r="P211" s="570"/>
      <c r="Q211" s="570"/>
      <c r="R211" s="570"/>
      <c r="S211" s="570"/>
      <c r="T211" s="2140" t="s">
        <v>1714</v>
      </c>
      <c r="U211" s="2140"/>
      <c r="V211" s="2140"/>
      <c r="W211" s="2140"/>
      <c r="X211" s="2140"/>
      <c r="Y211" s="2140"/>
      <c r="Z211" s="883"/>
      <c r="AA211" s="523"/>
      <c r="AB211" s="1949" t="s">
        <v>1715</v>
      </c>
      <c r="AC211" s="1949"/>
      <c r="AD211" s="1949"/>
      <c r="AE211" s="1949"/>
      <c r="AF211" s="1949"/>
      <c r="AG211" s="1949"/>
      <c r="AH211" s="861"/>
      <c r="AI211" s="861"/>
      <c r="AJ211" s="861"/>
      <c r="AK211" s="644"/>
    </row>
    <row r="212" spans="1:37">
      <c r="A212" s="639"/>
      <c r="B212" s="1952" t="s">
        <v>1700</v>
      </c>
      <c r="C212" s="1952"/>
      <c r="D212" s="1952"/>
      <c r="E212" s="1952"/>
      <c r="F212" s="1952"/>
      <c r="G212" s="1952"/>
      <c r="I212" s="1953" t="s">
        <v>1721</v>
      </c>
      <c r="J212" s="1953"/>
      <c r="K212" s="1953"/>
      <c r="L212" s="1043"/>
      <c r="N212" s="1959" t="s">
        <v>1716</v>
      </c>
      <c r="O212" s="1959"/>
      <c r="P212" s="1959"/>
      <c r="Q212" s="1959"/>
      <c r="R212" s="1959"/>
      <c r="T212" s="1959" t="s">
        <v>1717</v>
      </c>
      <c r="U212" s="1959"/>
      <c r="V212" s="1959"/>
      <c r="W212" s="1959"/>
      <c r="X212" s="1959"/>
      <c r="Y212" s="1959"/>
      <c r="Z212" s="884"/>
      <c r="AA212" s="523"/>
      <c r="AB212" s="2115" t="s">
        <v>1718</v>
      </c>
      <c r="AC212" s="2115"/>
      <c r="AD212" s="2115"/>
      <c r="AE212" s="2115"/>
      <c r="AF212" s="2115"/>
      <c r="AG212" s="2115"/>
      <c r="AH212" s="861"/>
      <c r="AI212" s="861"/>
      <c r="AJ212" s="861"/>
      <c r="AK212" s="644"/>
    </row>
    <row r="213" spans="1:37">
      <c r="A213" s="639"/>
      <c r="B213" s="1956" t="s">
        <v>325</v>
      </c>
      <c r="C213" s="1956"/>
      <c r="D213" s="1956"/>
      <c r="E213" s="1956"/>
      <c r="F213" s="1956"/>
      <c r="G213" s="1956"/>
      <c r="H213" s="886"/>
      <c r="I213" s="1955">
        <v>29</v>
      </c>
      <c r="J213" s="1955"/>
      <c r="K213" s="1955"/>
      <c r="L213" s="1043"/>
      <c r="N213" s="1960">
        <v>1036</v>
      </c>
      <c r="O213" s="1960"/>
      <c r="P213" s="1960"/>
      <c r="Q213" s="1960"/>
      <c r="R213" s="1960"/>
      <c r="T213" s="2113">
        <v>1700</v>
      </c>
      <c r="U213" s="2113"/>
      <c r="V213" s="2113"/>
      <c r="W213" s="2113"/>
      <c r="X213" s="2113"/>
      <c r="Y213" s="2113"/>
      <c r="Z213" s="885"/>
      <c r="AA213" s="885"/>
      <c r="AB213" s="1957">
        <f t="shared" ref="AB213:AB222" si="0">MAX(($T213-$N213)*$I213*12,0)</f>
        <v>231072</v>
      </c>
      <c r="AC213" s="1957"/>
      <c r="AD213" s="1957"/>
      <c r="AE213" s="1957"/>
      <c r="AF213" s="1957"/>
      <c r="AG213" s="1957"/>
      <c r="AH213" s="861"/>
      <c r="AI213" s="861"/>
      <c r="AJ213" s="861"/>
      <c r="AK213" s="644"/>
    </row>
    <row r="214" spans="1:37">
      <c r="A214" s="639"/>
      <c r="B214" s="1956" t="s">
        <v>2678</v>
      </c>
      <c r="C214" s="1956"/>
      <c r="D214" s="1956"/>
      <c r="E214" s="1956"/>
      <c r="F214" s="1956"/>
      <c r="G214" s="1956"/>
      <c r="I214" s="1955">
        <v>5</v>
      </c>
      <c r="J214" s="1955"/>
      <c r="K214" s="1955"/>
      <c r="L214" s="1043"/>
      <c r="N214" s="1960">
        <v>1110</v>
      </c>
      <c r="O214" s="1960"/>
      <c r="P214" s="1960"/>
      <c r="Q214" s="1960"/>
      <c r="R214" s="1960"/>
      <c r="T214" s="2113">
        <v>2000</v>
      </c>
      <c r="U214" s="2113"/>
      <c r="V214" s="2113"/>
      <c r="W214" s="2113"/>
      <c r="X214" s="2113"/>
      <c r="Y214" s="2113"/>
      <c r="Z214" s="885"/>
      <c r="AA214" s="885"/>
      <c r="AB214" s="1957">
        <f t="shared" si="0"/>
        <v>53400</v>
      </c>
      <c r="AC214" s="1957"/>
      <c r="AD214" s="1957"/>
      <c r="AE214" s="1957"/>
      <c r="AF214" s="1957"/>
      <c r="AG214" s="1957"/>
      <c r="AH214" s="861"/>
      <c r="AI214" s="861"/>
      <c r="AJ214" s="861"/>
      <c r="AK214" s="644"/>
    </row>
    <row r="215" spans="1:37">
      <c r="A215" s="639"/>
      <c r="B215" s="1956" t="s">
        <v>1291</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1291</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1291</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1291</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1291</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1291</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1291</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1291</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7">
        <f>SUM(AB213:AB222)</f>
        <v>284472</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v>787764</v>
      </c>
      <c r="AC229" s="2116"/>
      <c r="AD229" s="2116"/>
      <c r="AE229" s="2116"/>
      <c r="AF229" s="2116"/>
      <c r="AG229" s="2116"/>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787764</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1072236</v>
      </c>
      <c r="AC239" s="1957"/>
      <c r="AD239" s="1957"/>
      <c r="AE239" s="1957"/>
      <c r="AF239" s="1957"/>
      <c r="AG239" s="195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1018624.2</v>
      </c>
      <c r="AC241" s="1988"/>
      <c r="AD241" s="1988"/>
      <c r="AE241" s="1988"/>
      <c r="AF241" s="1988"/>
      <c r="AG241" s="1988"/>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885760.17391304346</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9978985.0922994893</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20859833.092299491</v>
      </c>
      <c r="AH257" s="1974"/>
      <c r="AI257" s="1974"/>
      <c r="AJ257" s="1974"/>
      <c r="AK257" s="1974"/>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30719320</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1.35</v>
      </c>
      <c r="AH259" s="1975"/>
      <c r="AI259" s="1975"/>
      <c r="AJ259" s="1975"/>
      <c r="AK259" s="1975"/>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6">
        <f>IFERROR(IF(AG259=0,0,IF((AG259*100)&gt;8,8,(AG259*100))),0)</f>
        <v>8</v>
      </c>
      <c r="AL262" s="1976"/>
      <c r="AM262" s="197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8" t="s">
        <v>554</v>
      </c>
      <c r="D267" s="1968"/>
      <c r="E267" s="581"/>
      <c r="F267" s="2125" t="s">
        <v>2340</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1475</v>
      </c>
      <c r="AH267" s="1969"/>
      <c r="AI267" s="1969"/>
      <c r="AJ267" s="1969"/>
      <c r="AK267" s="584"/>
      <c r="AL267" s="584"/>
      <c r="AM267" s="584"/>
      <c r="AO267" s="584"/>
    </row>
    <row r="268" spans="1:52" ht="13.7"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6">
        <f>IF($C$267="yes",10,0)</f>
        <v>10</v>
      </c>
      <c r="AL274" s="1976"/>
      <c r="AM274" s="197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5" t="s">
        <v>1494</v>
      </c>
      <c r="B281" s="1665"/>
      <c r="C281" s="1965" t="s">
        <v>554</v>
      </c>
      <c r="D281" s="1968"/>
      <c r="E281" s="581"/>
      <c r="F281" s="1996" t="s">
        <v>1495</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2333</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0" t="s">
        <v>2341</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1496</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1497</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5" t="s">
        <v>1498</v>
      </c>
      <c r="B291" s="1665"/>
      <c r="C291" s="1968" t="s">
        <v>600</v>
      </c>
      <c r="D291" s="1968"/>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3" t="s">
        <v>2335</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5" t="s">
        <v>1501</v>
      </c>
      <c r="B299" s="1665"/>
      <c r="C299" s="1968" t="s">
        <v>600</v>
      </c>
      <c r="D299" s="1968"/>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0" t="s">
        <v>2342</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1291</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1291</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6" t="s">
        <v>1291</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6" t="s">
        <v>1291</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65" t="s">
        <v>1504</v>
      </c>
      <c r="B322" s="1665"/>
      <c r="C322" s="1968" t="s">
        <v>600</v>
      </c>
      <c r="D322" s="1968"/>
      <c r="E322" s="581"/>
      <c r="F322" s="1897" t="s">
        <v>2343</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1">
        <f>IF(NOT(OR(Application!M355="Yes",Application!M356="Yes")),0,AP284)</f>
        <v>10</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6" t="s">
        <v>1426</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1566</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4"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2410</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2574</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1567</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8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1568</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0</v>
      </c>
      <c r="AS348" s="573" t="s">
        <v>1569</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0</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590</v>
      </c>
      <c r="AP350" s="730">
        <f>IF(C396="Yes",5,0)</f>
        <v>0</v>
      </c>
      <c r="AS350" s="573" t="s">
        <v>2071</v>
      </c>
    </row>
    <row r="351" spans="1:46" s="584" customFormat="1" ht="12.75" customHeight="1">
      <c r="A351" s="637"/>
      <c r="B351" s="645"/>
      <c r="C351" s="2032" t="s">
        <v>1570</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773</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593</v>
      </c>
      <c r="AP353" s="730">
        <f>IF(C410="Yes",5,0)</f>
        <v>0</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0</v>
      </c>
      <c r="AQ355" s="2033">
        <f>IF(AP355&gt;0,AP355,0)</f>
        <v>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2010" t="s">
        <v>1571</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465</v>
      </c>
      <c r="AP358" s="730">
        <f>IF(C431="Yes",5,0)</f>
        <v>5</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470</v>
      </c>
      <c r="AP359" s="730">
        <f>IF(C438="Yes",5,0)</f>
        <v>0</v>
      </c>
    </row>
    <row r="360" spans="1:81" s="584" customFormat="1" ht="68.099999999999994"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9">
        <f>Application!CS660-U363</f>
        <v>0</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0">
        <f>Application!AG756</f>
        <v>34</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33">
        <f>IF(AP364&gt;0,AP364,0)</f>
        <v>10</v>
      </c>
      <c r="AR364" s="2033"/>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4" t="s">
        <v>1573</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600</v>
      </c>
      <c r="D370" s="1968"/>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1575</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4" t="s">
        <v>1576</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600</v>
      </c>
      <c r="D378" s="1968"/>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1575</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4" t="s">
        <v>1578</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600</v>
      </c>
      <c r="D386" s="1968"/>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1580</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600</v>
      </c>
      <c r="D388" s="1968"/>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1575</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4" t="s">
        <v>1584</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600</v>
      </c>
      <c r="D396" s="1968"/>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1575</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600</v>
      </c>
      <c r="D398" s="1968"/>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1587</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600</v>
      </c>
      <c r="D401" s="1968"/>
      <c r="E401" s="749" t="s">
        <v>1588</v>
      </c>
      <c r="F401" s="2014" t="s">
        <v>1589</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1575</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4" t="s">
        <v>1591</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600</v>
      </c>
      <c r="D410" s="1968"/>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1575</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600</v>
      </c>
      <c r="D412" s="1968"/>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1587</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4" t="s">
        <v>1595</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4"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554</v>
      </c>
      <c r="D419" s="1968"/>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1575</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4" t="s">
        <v>1598</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554</v>
      </c>
      <c r="D431" s="1968"/>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1575</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4" t="s">
        <v>1601</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600</v>
      </c>
      <c r="D438" s="1968"/>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1575</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600</v>
      </c>
      <c r="D442" s="2018"/>
      <c r="E442" s="749" t="s">
        <v>1610</v>
      </c>
      <c r="F442" s="2014" t="s">
        <v>1611</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1575</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600</v>
      </c>
      <c r="D446" s="1968"/>
      <c r="E446" s="749" t="s">
        <v>1616</v>
      </c>
      <c r="F446" s="2014" t="s">
        <v>1617</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1575</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4" t="s">
        <v>1620</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600</v>
      </c>
      <c r="D455" s="1968"/>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1575</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2" t="s">
        <v>1624</v>
      </c>
      <c r="AF461" s="2012"/>
      <c r="AG461" s="2012"/>
      <c r="AH461" s="2012"/>
      <c r="AI461" s="2012"/>
      <c r="AJ461" s="2012"/>
      <c r="AK461" s="2012"/>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7" t="s">
        <v>600</v>
      </c>
      <c r="D467" s="2038"/>
      <c r="E467" s="795" t="s">
        <v>516</v>
      </c>
      <c r="F467" s="2039" t="s">
        <v>1630</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1" t="s">
        <v>600</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2" t="s">
        <v>554</v>
      </c>
      <c r="D471" s="2043"/>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9" t="s">
        <v>600</v>
      </c>
      <c r="W474" s="2049"/>
      <c r="X474" s="2049"/>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9" t="s">
        <v>600</v>
      </c>
      <c r="W476" s="2049"/>
      <c r="X476" s="2049"/>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9" t="s">
        <v>600</v>
      </c>
      <c r="W481" s="2049"/>
      <c r="X481" s="2049"/>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8"/>
      <c r="E484" s="2048"/>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9" t="s">
        <v>600</v>
      </c>
      <c r="W485" s="2049"/>
      <c r="X485" s="2049"/>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9" t="s">
        <v>600</v>
      </c>
      <c r="W487" s="2049"/>
      <c r="X487" s="2049"/>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600</v>
      </c>
      <c r="D490" s="2038"/>
      <c r="E490" s="795" t="s">
        <v>516</v>
      </c>
      <c r="F490" s="2039" t="s">
        <v>1630</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600</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600</v>
      </c>
      <c r="D494" s="2038"/>
      <c r="E494" s="795" t="s">
        <v>767</v>
      </c>
      <c r="F494" s="2045" t="s">
        <v>1652</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600</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600</v>
      </c>
      <c r="D499" s="2038"/>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600</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600</v>
      </c>
      <c r="D504" s="2063"/>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600</v>
      </c>
      <c r="D508" s="2063"/>
      <c r="F508" s="829" t="s">
        <v>1660</v>
      </c>
      <c r="G508" s="2015" t="s">
        <v>1661</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600</v>
      </c>
      <c r="D512" s="2051"/>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600</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1673</v>
      </c>
      <c r="AF527" s="1906"/>
      <c r="AG527" s="1906"/>
      <c r="AH527" s="1906"/>
      <c r="AI527" s="1906"/>
      <c r="AJ527" s="1906"/>
      <c r="AK527" s="1906"/>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600</v>
      </c>
      <c r="D530" s="1968"/>
      <c r="E530" s="585"/>
      <c r="F530" s="2054" t="s">
        <v>1674</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554</v>
      </c>
      <c r="D533" s="1968"/>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1676</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1677</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13996260</v>
      </c>
      <c r="AQ539" s="2118"/>
      <c r="AR539" s="2118"/>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25336915</v>
      </c>
      <c r="AG540" s="1974"/>
      <c r="AH540" s="1974"/>
      <c r="AI540" s="1974"/>
      <c r="AJ540" s="1974"/>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30400879</v>
      </c>
      <c r="AG541" s="2123"/>
      <c r="AH541" s="2123"/>
      <c r="AI541" s="2123"/>
      <c r="AJ541" s="2123"/>
      <c r="AK541" s="629"/>
      <c r="AL541" s="629"/>
      <c r="AM541" s="629"/>
      <c r="AN541" s="631"/>
      <c r="AP541" s="2118">
        <f>Application!AJ1044</f>
        <v>1119700.8</v>
      </c>
      <c r="AQ541" s="2118"/>
      <c r="AR541" s="2118"/>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0.33</v>
      </c>
      <c r="AG542" s="2124"/>
      <c r="AH542" s="2124"/>
      <c r="AI542" s="2124"/>
      <c r="AJ542" s="2124"/>
      <c r="AK542" s="629"/>
      <c r="AL542" s="629"/>
      <c r="AM542" s="629"/>
      <c r="AN542" s="631"/>
      <c r="AP542" s="2121">
        <f>Application!AJ1048</f>
        <v>23793642</v>
      </c>
      <c r="AQ542" s="2121"/>
      <c r="AR542" s="2121"/>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0.8</v>
      </c>
      <c r="AQ543" s="2117"/>
      <c r="AR543" s="2117"/>
      <c r="AS543" s="584" t="s">
        <v>2537</v>
      </c>
    </row>
    <row r="544" spans="1:49" s="584" customFormat="1" ht="12.75" customHeight="1">
      <c r="A544" s="658"/>
      <c r="B544" s="2070" t="s">
        <v>2347</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19203871</v>
      </c>
      <c r="AQ545" s="2026"/>
      <c r="AR545" s="2026"/>
      <c r="AS545" s="584" t="s">
        <v>2539</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44117213.799999997</v>
      </c>
      <c r="AQ546" s="2118"/>
      <c r="AR546" s="2118"/>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9">
        <f>IFERROR(IF(AND(C530="N/A",C533="N/A"),0,IF(AF542=0,0,IF((AF542*100)&gt;12,12,(AF542*100)))),0)</f>
        <v>12</v>
      </c>
      <c r="AL548" s="2079"/>
      <c r="AM548" s="2080"/>
      <c r="AN548" s="631"/>
      <c r="AP548" s="2134">
        <f>AP545+(AP539*AP543)</f>
        <v>30400879</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1426</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2338</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1450</v>
      </c>
      <c r="AG567" s="1938"/>
      <c r="AH567" s="1938"/>
      <c r="AI567" s="1938"/>
      <c r="AJ567" s="1938"/>
      <c r="AK567" s="1938"/>
      <c r="AL567" s="1938"/>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1508</v>
      </c>
      <c r="AG574" s="1938"/>
      <c r="AH574" s="1938"/>
      <c r="AI574" s="1938"/>
      <c r="AJ574" s="1938"/>
      <c r="AK574" s="1938"/>
      <c r="AL574" s="1938"/>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1490</v>
      </c>
      <c r="AG580" s="1938"/>
      <c r="AH580" s="1938"/>
      <c r="AI580" s="1938"/>
      <c r="AJ580" s="1938"/>
      <c r="AK580" s="1938"/>
      <c r="AL580" s="1938"/>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1511</v>
      </c>
      <c r="AG586" s="1938"/>
      <c r="AH586" s="1938"/>
      <c r="AI586" s="1938"/>
      <c r="AJ586" s="1938"/>
      <c r="AK586" s="1938"/>
      <c r="AL586" s="1938"/>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2" t="s">
        <v>1291</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1464</v>
      </c>
      <c r="AG592" s="1938"/>
      <c r="AH592" s="1938"/>
      <c r="AI592" s="1938"/>
      <c r="AJ592" s="1938"/>
      <c r="AK592" s="1938"/>
      <c r="AL592" s="1938"/>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0" t="s">
        <v>279</v>
      </c>
      <c r="I595" s="2020"/>
      <c r="J595" s="971"/>
      <c r="K595" s="971"/>
      <c r="L595" s="971"/>
      <c r="N595" s="22"/>
      <c r="O595" s="22"/>
      <c r="P595" s="22"/>
      <c r="Q595" s="1195" t="s">
        <v>2542</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5" t="s">
        <v>600</v>
      </c>
      <c r="C605" s="1965"/>
      <c r="D605" s="676"/>
      <c r="E605" s="1991" t="s">
        <v>1515</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1">
        <f>VLOOKUP($H$595,$AO$575:$AP$580,2,FALSE)+IF(R595=AO583,0,VLOOKUP($I$603,$AO$602:$AP$604,2,FALSE))</f>
        <v>5</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9" t="s">
        <v>1885</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1464</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5" t="s">
        <v>600</v>
      </c>
      <c r="Y623" s="196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1520</v>
      </c>
      <c r="AG625" s="1938"/>
      <c r="AH625" s="1938"/>
      <c r="AI625" s="1938"/>
      <c r="AJ625" s="1938"/>
      <c r="AK625" s="1938"/>
      <c r="AL625" s="193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0" t="s">
        <v>600</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1">
        <f>VLOOKUP($H$627,$AO$594:$AP$596,2,FALSE)</f>
        <v>0</v>
      </c>
      <c r="AK629" s="1973"/>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1" t="s">
        <v>2417</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1464</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1520</v>
      </c>
      <c r="AG636" s="1938"/>
      <c r="AH636" s="1938"/>
      <c r="AI636" s="1938"/>
      <c r="AJ636" s="1938"/>
      <c r="AK636" s="1938"/>
      <c r="AL636" s="1938"/>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0" t="s">
        <v>600</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1">
        <f>VLOOKUP(H639,AT594:AU596,2,FALSE)</f>
        <v>0</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1" t="s">
        <v>1530</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1490</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1" t="s">
        <v>1531</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1511</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1532</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1464</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600</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1" t="s">
        <v>1533</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1511</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1" t="s">
        <v>1534</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1464</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1" t="s">
        <v>1535</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1520</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1" t="s">
        <v>1536</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1537</v>
      </c>
      <c r="AG670" s="1938"/>
      <c r="AH670" s="1938"/>
      <c r="AI670" s="1938"/>
      <c r="AJ670" s="1938"/>
      <c r="AK670" s="1938"/>
      <c r="AL670" s="1938"/>
      <c r="AM670" s="630"/>
      <c r="AN670" s="631"/>
      <c r="AO670" s="645" t="s">
        <v>697</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0" t="s">
        <v>279</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1">
        <f>VLOOKUP($H$674,$AO$622:$AP$629,2,FALSE)</f>
        <v>3</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34</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34</v>
      </c>
    </row>
    <row r="680" spans="1:51" s="584" customFormat="1" ht="12.75" customHeight="1">
      <c r="A680" s="713"/>
      <c r="B680" s="570"/>
      <c r="C680" s="983"/>
      <c r="D680" s="697" t="s">
        <v>697</v>
      </c>
      <c r="E680" s="2027" t="s">
        <v>2555</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1464</v>
      </c>
      <c r="AG680" s="1938"/>
      <c r="AH680" s="1938"/>
      <c r="AI680" s="1938"/>
      <c r="AJ680" s="1938"/>
      <c r="AK680" s="1938"/>
      <c r="AL680" s="1938"/>
      <c r="AN680" s="631"/>
      <c r="AW680" s="22" t="s">
        <v>2550</v>
      </c>
      <c r="AX680" s="584">
        <f>Application!CC632</f>
        <v>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1" t="s">
        <v>2454</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1464</v>
      </c>
      <c r="AG683" s="1938"/>
      <c r="AH683" s="1938"/>
      <c r="AI683" s="1938"/>
      <c r="AJ683" s="1938"/>
      <c r="AK683" s="1938"/>
      <c r="AL683" s="1938"/>
      <c r="AN683" s="631"/>
      <c r="AW683" s="22" t="s">
        <v>2553</v>
      </c>
      <c r="AX683" s="584">
        <f>AX680+AX681+AX682</f>
        <v>0</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0</v>
      </c>
      <c r="AP684" s="2026"/>
      <c r="AW684" s="22" t="s">
        <v>2554</v>
      </c>
      <c r="AX684" s="584">
        <f>IFERROR(AX683/AX679,0)</f>
        <v>0</v>
      </c>
      <c r="AY684" s="584">
        <f>IFERROR(AX683/(AX679-AX678),0)</f>
        <v>0</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1" t="s">
        <v>2455</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1520</v>
      </c>
      <c r="AG688" s="1938"/>
      <c r="AH688" s="1938"/>
      <c r="AI688" s="1938"/>
      <c r="AJ688" s="1938"/>
      <c r="AK688" s="1938"/>
      <c r="AL688" s="1938"/>
      <c r="AN688" s="631"/>
      <c r="AO688" s="645" t="s">
        <v>518</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1" t="s">
        <v>1884</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0" t="s">
        <v>600</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1">
        <f>VLOOKUP($H$698,$AO$692:$AP$694,2,FALSE)</f>
        <v>0</v>
      </c>
      <c r="AK700" s="1973"/>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8" t="s">
        <v>1886</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1464</v>
      </c>
      <c r="AG704" s="1938"/>
      <c r="AH704" s="1938"/>
      <c r="AI704" s="1938"/>
      <c r="AJ704" s="1938"/>
      <c r="AK704" s="1938"/>
      <c r="AL704" s="1938"/>
      <c r="AM704" s="584"/>
      <c r="AN704" s="718"/>
      <c r="AP704" s="604" t="s">
        <v>1544</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9" t="s">
        <v>1547</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1520</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0" t="s">
        <v>600</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1" t="s">
        <v>1887</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1464</v>
      </c>
      <c r="AG718" s="1938"/>
      <c r="AH718" s="1938"/>
      <c r="AI718" s="1938"/>
      <c r="AJ718" s="1938"/>
      <c r="AK718" s="1938"/>
      <c r="AL718" s="1938"/>
      <c r="AM718" s="584"/>
      <c r="AN718" s="718"/>
      <c r="AT718" s="14"/>
      <c r="AU718" s="14"/>
      <c r="AV718" s="14"/>
      <c r="AW718" s="14"/>
      <c r="AX718" s="14"/>
      <c r="AY718" s="14"/>
      <c r="AZ718" s="14"/>
    </row>
    <row r="719" spans="1:52" s="604" customFormat="1">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1" t="s">
        <v>1551</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1520</v>
      </c>
      <c r="AG721" s="1938"/>
      <c r="AH721" s="1938"/>
      <c r="AI721" s="1938"/>
      <c r="AJ721" s="1938"/>
      <c r="AK721" s="1938"/>
      <c r="AL721" s="1938"/>
      <c r="AM721" s="584"/>
      <c r="AN721" s="718"/>
      <c r="AT721" s="14"/>
      <c r="AU721" s="14"/>
      <c r="AV721" s="14"/>
      <c r="AW721" s="14"/>
      <c r="AX721" s="14"/>
      <c r="AY721" s="14"/>
      <c r="AZ721" s="14"/>
    </row>
    <row r="722" spans="1:81" s="604" customFormat="1">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0" t="s">
        <v>600</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1" t="s">
        <v>1554</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1464</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1" t="s">
        <v>1555</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1520</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0" t="s">
        <v>600</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1" t="s">
        <v>1557</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1520</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1" t="s">
        <v>1558</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1537</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0" t="s">
        <v>518</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1">
        <f>VLOOKUP($H$752,$AO$686:$AP$688,2,FALSE)</f>
        <v>1</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1" t="s">
        <v>1883</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1520</v>
      </c>
      <c r="AG758" s="1938"/>
      <c r="AH758" s="1938"/>
      <c r="AI758" s="1938"/>
      <c r="AJ758" s="1938"/>
      <c r="AK758" s="1938"/>
      <c r="AL758" s="1938"/>
      <c r="AM758" s="647"/>
      <c r="AN758" s="718"/>
      <c r="AO758" s="584" t="s">
        <v>600</v>
      </c>
      <c r="AP758" s="707">
        <v>0</v>
      </c>
    </row>
    <row r="759" spans="1:74" s="604" customFormat="1" ht="13.7"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0" t="s">
        <v>1888</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1464</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0" t="s">
        <v>600</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1" t="s">
        <v>2348</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1464</v>
      </c>
      <c r="AG774" s="1938"/>
      <c r="AH774" s="1938"/>
      <c r="AI774" s="1938"/>
      <c r="AJ774" s="1938"/>
      <c r="AK774" s="1938"/>
      <c r="AL774" s="1938"/>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0" t="s">
        <v>554</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1">
        <f>VLOOKUP($H$779,$AO$773:$AP$774,2,FALSE)</f>
        <v>3</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1681</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1682</v>
      </c>
      <c r="U791" s="2085"/>
      <c r="V791" s="2085"/>
      <c r="W791" s="2085"/>
      <c r="X791" s="2085"/>
      <c r="Y791" s="2086"/>
      <c r="Z791" s="2084" t="s">
        <v>1683</v>
      </c>
      <c r="AA791" s="2085"/>
      <c r="AB791" s="2085"/>
      <c r="AC791" s="2085"/>
      <c r="AD791" s="2085"/>
      <c r="AE791" s="2086"/>
      <c r="AF791" s="2084" t="s">
        <v>1684</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767</v>
      </c>
      <c r="B793" s="2064" t="s">
        <v>1416</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1654</v>
      </c>
      <c r="B794" s="2064" t="s">
        <v>1425</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1663</v>
      </c>
      <c r="B795" s="2064" t="s">
        <v>1435</v>
      </c>
      <c r="C795" s="2064"/>
      <c r="D795" s="2064"/>
      <c r="E795" s="2064"/>
      <c r="F795" s="2064"/>
      <c r="G795" s="2064"/>
      <c r="H795" s="2064"/>
      <c r="I795" s="2064"/>
      <c r="J795" s="2064"/>
      <c r="K795" s="2064"/>
      <c r="L795" s="2064"/>
      <c r="M795" s="2064"/>
      <c r="N795" s="2064"/>
      <c r="O795" s="2064"/>
      <c r="P795" s="2064"/>
      <c r="Q795" s="2064"/>
      <c r="R795" s="2064"/>
      <c r="S795" s="2065"/>
      <c r="T795" s="2066">
        <f ca="1">AK103</f>
        <v>20</v>
      </c>
      <c r="U795" s="2067"/>
      <c r="V795" s="2067"/>
      <c r="W795" s="2067"/>
      <c r="X795" s="2067"/>
      <c r="Y795" s="2068"/>
      <c r="Z795" s="2069">
        <v>20</v>
      </c>
      <c r="AA795" s="2067"/>
      <c r="AB795" s="2067"/>
      <c r="AC795" s="2067"/>
      <c r="AD795" s="2067"/>
      <c r="AE795" s="2068"/>
      <c r="AF795" s="2033">
        <f ca="1">IF(T795&gt;Z795,Z795,T795)</f>
        <v>20</v>
      </c>
      <c r="AG795" s="2033"/>
      <c r="AH795" s="2033"/>
      <c r="AI795" s="2033"/>
      <c r="AJ795" s="2033"/>
      <c r="AK795" s="2033"/>
      <c r="AL795" s="852"/>
      <c r="AM795" s="630"/>
      <c r="AO795" s="850"/>
      <c r="AP795" s="850"/>
      <c r="AQ795" s="850"/>
    </row>
    <row r="796" spans="1:43">
      <c r="A796" s="853" t="s">
        <v>1685</v>
      </c>
      <c r="B796" s="2064" t="s">
        <v>1445</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1686</v>
      </c>
      <c r="B797" s="2064" t="s">
        <v>1687</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1688</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1689</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1473</v>
      </c>
      <c r="B800" s="2064" t="s">
        <v>1690</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1482</v>
      </c>
      <c r="B801" s="2064" t="s">
        <v>1483</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598</v>
      </c>
      <c r="B802" s="2064" t="s">
        <v>1691</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64" t="s">
        <v>1692</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64" t="s">
        <v>1493</v>
      </c>
      <c r="C804" s="2064"/>
      <c r="D804" s="2064"/>
      <c r="E804" s="2064"/>
      <c r="F804" s="2064"/>
      <c r="G804" s="2064"/>
      <c r="H804" s="2064"/>
      <c r="I804" s="2064"/>
      <c r="J804" s="2064"/>
      <c r="K804" s="2064"/>
      <c r="L804" s="2064"/>
      <c r="M804" s="2064"/>
      <c r="N804" s="2064"/>
      <c r="O804" s="2064"/>
      <c r="P804" s="2064"/>
      <c r="Q804" s="2064"/>
      <c r="R804" s="2064"/>
      <c r="S804" s="2065"/>
      <c r="T804" s="2090">
        <f>AK327</f>
        <v>10</v>
      </c>
      <c r="U804" s="2090"/>
      <c r="V804" s="2090"/>
      <c r="W804" s="2090"/>
      <c r="X804" s="2090"/>
      <c r="Y804" s="2090"/>
      <c r="Z804" s="2096">
        <v>10</v>
      </c>
      <c r="AA804" s="2097"/>
      <c r="AB804" s="2097"/>
      <c r="AC804" s="2097"/>
      <c r="AD804" s="2097"/>
      <c r="AE804" s="2098"/>
      <c r="AF804" s="2096">
        <f>IF(T804&gt;Z804,Z804,T804)</f>
        <v>10</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6">
        <f>AK327</f>
        <v>10</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64" t="s">
        <v>857</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64" t="s">
        <v>1672</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64" t="s">
        <v>1694</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1695</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1696</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9" t="s">
        <v>1697</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120</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L13" sqref="L1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5" t="s">
        <v>1698</v>
      </c>
      <c r="B1" s="2155"/>
      <c r="C1" s="2155"/>
      <c r="D1" s="2155"/>
      <c r="E1" s="2155"/>
      <c r="F1" s="2155"/>
      <c r="G1" s="2155"/>
      <c r="H1" s="2155"/>
      <c r="I1" s="2155"/>
      <c r="J1" s="2155"/>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11423380</v>
      </c>
      <c r="I3" s="1145"/>
    </row>
    <row r="4" spans="1:13" s="1086" customFormat="1" ht="20.100000000000001" customHeight="1">
      <c r="B4" s="1134"/>
      <c r="D4" s="1148"/>
      <c r="F4" s="1132" t="s">
        <v>2303</v>
      </c>
      <c r="G4" s="1131" t="s">
        <v>2302</v>
      </c>
      <c r="H4" s="1133">
        <f>I16</f>
        <v>15789075.279575163</v>
      </c>
      <c r="I4" s="1135"/>
      <c r="K4" s="1090"/>
    </row>
    <row r="5" spans="1:13" s="1086" customFormat="1" ht="20.100000000000001" customHeight="1" thickBot="1">
      <c r="B5" s="1136"/>
      <c r="C5" s="1137"/>
      <c r="D5" s="1149"/>
      <c r="E5" s="1138"/>
      <c r="F5" s="1149" t="s">
        <v>2243</v>
      </c>
      <c r="G5" s="1150"/>
      <c r="H5" s="1146">
        <f>H3/H4</f>
        <v>0.72349898887222031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2241</v>
      </c>
      <c r="C8" s="2158"/>
      <c r="D8" s="2158"/>
      <c r="E8" s="2159"/>
      <c r="G8" s="2160" t="s">
        <v>2242</v>
      </c>
      <c r="H8" s="2161"/>
      <c r="I8" s="2162"/>
      <c r="K8" s="1092"/>
    </row>
    <row r="9" spans="1:13" ht="15" customHeight="1">
      <c r="A9" s="1081"/>
      <c r="B9" s="2156" t="s">
        <v>2280</v>
      </c>
      <c r="C9" s="2156"/>
      <c r="D9" s="2156"/>
      <c r="E9" s="1094">
        <f>G31</f>
        <v>1555000</v>
      </c>
      <c r="G9" s="2165" t="s">
        <v>2278</v>
      </c>
      <c r="H9" s="2165"/>
      <c r="I9" s="1095">
        <f>Application!AM554</f>
        <v>16135303</v>
      </c>
      <c r="K9" s="1096"/>
      <c r="M9" s="1097"/>
    </row>
    <row r="10" spans="1:13" ht="15" customHeight="1" thickBot="1">
      <c r="A10" s="1081"/>
      <c r="B10" s="2156" t="s">
        <v>2281</v>
      </c>
      <c r="C10" s="2156"/>
      <c r="D10" s="2156"/>
      <c r="E10" s="1095">
        <f>G40</f>
        <v>7958880</v>
      </c>
      <c r="G10" s="2165" t="s">
        <v>2244</v>
      </c>
      <c r="H10" s="2165"/>
      <c r="I10" s="1182">
        <f>'Basis &amp; Credits'!AB77</f>
        <v>3001075</v>
      </c>
      <c r="M10" s="1097"/>
    </row>
    <row r="11" spans="1:13" ht="15" customHeight="1">
      <c r="A11" s="1098"/>
      <c r="B11" s="2156" t="s">
        <v>2282</v>
      </c>
      <c r="C11" s="2156"/>
      <c r="D11" s="2156"/>
      <c r="E11" s="1095">
        <f>G49</f>
        <v>170000</v>
      </c>
      <c r="G11" s="2165" t="s">
        <v>2293</v>
      </c>
      <c r="H11" s="2165"/>
      <c r="I11" s="1181">
        <f>I9+I10</f>
        <v>19136378</v>
      </c>
      <c r="M11" s="1097"/>
    </row>
    <row r="12" spans="1:13" ht="15" customHeight="1">
      <c r="A12" s="1084"/>
      <c r="B12" s="2156" t="s">
        <v>2283</v>
      </c>
      <c r="C12" s="2156"/>
      <c r="D12" s="2156"/>
      <c r="E12" s="1095">
        <f>G58</f>
        <v>340000</v>
      </c>
      <c r="G12" s="1183" t="s">
        <v>2318</v>
      </c>
      <c r="H12" s="1184"/>
      <c r="M12" s="1097"/>
    </row>
    <row r="13" spans="1:13" ht="15" customHeight="1">
      <c r="A13" s="1081"/>
      <c r="B13" s="2156" t="s">
        <v>2284</v>
      </c>
      <c r="C13" s="2156"/>
      <c r="D13" s="2156"/>
      <c r="E13" s="1100">
        <f>G83</f>
        <v>1399500</v>
      </c>
      <c r="G13" s="2166" t="s">
        <v>139</v>
      </c>
      <c r="H13" s="2166"/>
      <c r="I13" s="1099">
        <f>15%*(Application!AJ993&gt;0)</f>
        <v>0.15</v>
      </c>
      <c r="M13" s="1097"/>
    </row>
    <row r="14" spans="1:13" ht="15" customHeight="1">
      <c r="A14" s="1081"/>
      <c r="B14" s="2156" t="s">
        <v>2285</v>
      </c>
      <c r="C14" s="2156"/>
      <c r="D14" s="2156"/>
      <c r="E14" s="1095">
        <f>IF(G96&gt;G106,G96,0)</f>
        <v>0</v>
      </c>
      <c r="G14" s="1179" t="s">
        <v>2294</v>
      </c>
      <c r="H14" s="1179"/>
      <c r="I14" s="1099">
        <f>IF(Application!AJ1031&gt;0,10%,IF(Application!AJ1035&gt;0,5%,0))</f>
        <v>0</v>
      </c>
      <c r="M14" s="1097"/>
    </row>
    <row r="15" spans="1:13" ht="15" customHeight="1" thickBot="1">
      <c r="A15" s="1081"/>
      <c r="B15" s="2163" t="s">
        <v>2304</v>
      </c>
      <c r="C15" s="2163"/>
      <c r="D15" s="2163"/>
      <c r="E15" s="1151">
        <f>IF(E14&gt;0,0,G106)</f>
        <v>0</v>
      </c>
      <c r="G15" s="2169" t="s">
        <v>2295</v>
      </c>
      <c r="H15" s="2170"/>
      <c r="I15" s="1153">
        <f>G114</f>
        <v>2.4918300653594773E-2</v>
      </c>
      <c r="M15" s="1097"/>
    </row>
    <row r="16" spans="1:13" ht="15" customHeight="1">
      <c r="A16" s="1081"/>
      <c r="B16" s="2164" t="s">
        <v>2240</v>
      </c>
      <c r="C16" s="2164"/>
      <c r="D16" s="2164"/>
      <c r="E16" s="1152">
        <f>SUM(E9:E15)</f>
        <v>11423380</v>
      </c>
      <c r="G16" s="1180" t="s">
        <v>2279</v>
      </c>
      <c r="H16" s="1180"/>
      <c r="I16" s="1154">
        <f>I11-((I11*I13)+(I11*I14)+(I11*I15))</f>
        <v>15789075.279575163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34</v>
      </c>
      <c r="O18" s="1124" t="s">
        <v>591</v>
      </c>
      <c r="P18" s="1079">
        <f>MATCH(Application!T189,Application!BV490:BV547,0)</f>
        <v>42</v>
      </c>
      <c r="S18" s="1101">
        <f>SUM(Cdlac[Population])</f>
        <v>34</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7" t="s">
        <v>2297</v>
      </c>
      <c r="D20" s="2167" t="s">
        <v>2298</v>
      </c>
      <c r="E20" s="2167" t="s">
        <v>2299</v>
      </c>
      <c r="F20" s="2167" t="s">
        <v>2300</v>
      </c>
      <c r="G20" s="2167" t="s">
        <v>2296</v>
      </c>
      <c r="H20" s="1108"/>
      <c r="I20" s="1107"/>
      <c r="L20" s="1079">
        <f>IFERROR(MIN(4,MATCH(Application!B718,UnitSizes,0)-1),"")</f>
        <v>0</v>
      </c>
      <c r="M20" s="1101">
        <f>Application!G718</f>
        <v>15</v>
      </c>
      <c r="N20" s="1109">
        <f>Application!AC718</f>
        <v>0.15</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2040</v>
      </c>
      <c r="R20" s="1101">
        <f>IF(Cdlac[[#This Row],[Quantity]]&gt;0,MAX(0,Cdlac[[#This Row],[Fair Market Rent]]-Cdlac[[#This Row],[Restricted Rent]]),"")</f>
        <v>1263</v>
      </c>
      <c r="S20" s="1079">
        <f>IF(Cdlac[[#This Row],[Quantity]]&gt;0,AND(Application!AK718&lt;&gt;"N/A",Application!AK718&lt;&gt;"")*Cdlac[[#This Row],[Quantity]],"")</f>
        <v>15</v>
      </c>
      <c r="T20" s="1079" t="b">
        <f>AND('Subsidy Contract Calculation'!F4&gt;0,'Subsidy Contract Calculation'!C4="Federal",Cdlac[[#This Row],[Quantity]]&gt;0)</f>
        <v>1</v>
      </c>
    </row>
    <row r="21" spans="1:20" ht="15" customHeight="1">
      <c r="A21" s="1084"/>
      <c r="C21" s="2168"/>
      <c r="D21" s="2168"/>
      <c r="E21" s="2168"/>
      <c r="F21" s="2168"/>
      <c r="G21" s="2168"/>
      <c r="H21" s="1108"/>
      <c r="I21" s="1107"/>
      <c r="L21" s="1079">
        <f>IFERROR(MIN(4,MATCH(Application!B719,UnitSizes,0)-1),"")</f>
        <v>0</v>
      </c>
      <c r="M21" s="1101">
        <f>Application!G719</f>
        <v>12</v>
      </c>
      <c r="N21" s="1109">
        <f>Application!AC719</f>
        <v>0.3</v>
      </c>
      <c r="O21" s="1109">
        <f>IF(Cdlac[[#This Row],[Quantity]]&gt;0,IF(Cdlac[[#This Row],[Federal]],30%,IF($G$36,40%,Cdlac[[#This Row],[iAMI]])),"")</f>
        <v>0.3</v>
      </c>
      <c r="P21" s="1101" cm="1">
        <f t="array" ref="P21">IF(Cdlac[[#This Row],[Quantity]]&gt;0,INDEX(TcacRents,$P$18,Cdlac[[#This Row],[Bedrooms]]+1)*Cdlac[[#This Row],[AMI]],"")</f>
        <v>777</v>
      </c>
      <c r="Q21" s="1101" cm="1">
        <f t="array" ref="Q21">IF(Cdlac[[#This Row],[Quantity]]&gt;0,INDEX(HudFmrs,$P$18,Cdlac[[#This Row],[Bedrooms]]+1),"")</f>
        <v>2040</v>
      </c>
      <c r="R21" s="1101">
        <f>IF(Cdlac[[#This Row],[Quantity]]&gt;0,MAX(0,Cdlac[[#This Row],[Fair Market Rent]]-Cdlac[[#This Row],[Restricted Rent]]),"")</f>
        <v>1263</v>
      </c>
      <c r="S21" s="1079">
        <f>IF(Cdlac[[#This Row],[Quantity]]&gt;0,AND(Application!AK719&lt;&gt;"N/A",Application!AK719&lt;&gt;"")*Cdlac[[#This Row],[Quantity]],"")</f>
        <v>12</v>
      </c>
      <c r="T21" s="1079" t="b">
        <f>AND('Subsidy Contract Calculation'!F5&gt;0,'Subsidy Contract Calculation'!C5="Federal",Cdlac[[#This Row],[Quantity]]&gt;0)</f>
        <v>1</v>
      </c>
    </row>
    <row r="22" spans="1:20" ht="15" customHeight="1">
      <c r="C22" s="1110">
        <v>0</v>
      </c>
      <c r="D22" s="1111">
        <v>0.9</v>
      </c>
      <c r="E22" s="1110">
        <f>SUMIFS(Cdlac[Quantity],Cdlac[Bedrooms],C22)</f>
        <v>29</v>
      </c>
      <c r="F22" s="1110">
        <f>E22</f>
        <v>29</v>
      </c>
      <c r="G22" s="1110">
        <f>D22*F22</f>
        <v>26.1</v>
      </c>
      <c r="L22" s="1079">
        <f>IFERROR(MIN(4,MATCH(Application!B720,UnitSizes,0)-1),"")</f>
        <v>0</v>
      </c>
      <c r="M22" s="1101">
        <f>Application!G720</f>
        <v>2</v>
      </c>
      <c r="N22" s="1109">
        <f>Application!AC720</f>
        <v>0.6</v>
      </c>
      <c r="O22" s="1109">
        <f>IF(Cdlac[[#This Row],[Quantity]]&gt;0,IF(Cdlac[[#This Row],[Federal]],30%,IF($G$36,40%,Cdlac[[#This Row],[iAMI]])),"")</f>
        <v>0.3</v>
      </c>
      <c r="P22" s="1101" cm="1">
        <f t="array" ref="P22">IF(Cdlac[[#This Row],[Quantity]]&gt;0,INDEX(TcacRents,$P$18,Cdlac[[#This Row],[Bedrooms]]+1)*Cdlac[[#This Row],[AMI]],"")</f>
        <v>777</v>
      </c>
      <c r="Q22" s="1101" cm="1">
        <f t="array" ref="Q22">IF(Cdlac[[#This Row],[Quantity]]&gt;0,INDEX(HudFmrs,$P$18,Cdlac[[#This Row],[Bedrooms]]+1),"")</f>
        <v>2040</v>
      </c>
      <c r="R22" s="1101">
        <f>IF(Cdlac[[#This Row],[Quantity]]&gt;0,MAX(0,Cdlac[[#This Row],[Fair Market Rent]]-Cdlac[[#This Row],[Restricted Rent]]),"")</f>
        <v>1263</v>
      </c>
      <c r="S22" s="1079">
        <f>IF(Cdlac[[#This Row],[Quantity]]&gt;0,AND(Application!AK720&lt;&gt;"N/A",Application!AK720&lt;&gt;"")*Cdlac[[#This Row],[Quantity]],"")</f>
        <v>2</v>
      </c>
      <c r="T22" s="1079" t="b">
        <f>AND('Subsidy Contract Calculation'!F6&gt;0,'Subsidy Contract Calculation'!C6="Federal",Cdlac[[#This Row],[Quantity]]&gt;0)</f>
        <v>1</v>
      </c>
    </row>
    <row r="23" spans="1:20" ht="15" customHeight="1">
      <c r="C23" s="1110">
        <v>1</v>
      </c>
      <c r="D23" s="1111">
        <v>1</v>
      </c>
      <c r="E23" s="1110">
        <f>SUMIFS(Cdlac[Quantity],Cdlac[Bedrooms],C23)</f>
        <v>5</v>
      </c>
      <c r="F23" s="1110">
        <f>E23</f>
        <v>5</v>
      </c>
      <c r="G23" s="1110">
        <f>D23*F23</f>
        <v>5</v>
      </c>
      <c r="L23" s="1079">
        <f>IFERROR(MIN(4,MATCH(Application!B721,UnitSizes,0)-1),"")</f>
        <v>1</v>
      </c>
      <c r="M23" s="1101">
        <f>Application!G721</f>
        <v>2</v>
      </c>
      <c r="N23" s="1109">
        <f>Application!AC721</f>
        <v>0.15</v>
      </c>
      <c r="O23" s="1109">
        <f>IF(Cdlac[[#This Row],[Quantity]]&gt;0,IF(Cdlac[[#This Row],[Federal]],30%,IF($G$36,40%,Cdlac[[#This Row],[iAMI]])),"")</f>
        <v>0.3</v>
      </c>
      <c r="P23" s="1101" cm="1">
        <f t="array" ref="P23">IF(Cdlac[[#This Row],[Quantity]]&gt;0,INDEX(TcacRents,$P$18,Cdlac[[#This Row],[Bedrooms]]+1)*Cdlac[[#This Row],[AMI]],"")</f>
        <v>832.19999999999993</v>
      </c>
      <c r="Q23" s="1101" cm="1">
        <f t="array" ref="Q23">IF(Cdlac[[#This Row],[Quantity]]&gt;0,INDEX(HudFmrs,$P$18,Cdlac[[#This Row],[Bedrooms]]+1),"")</f>
        <v>2350</v>
      </c>
      <c r="R23" s="1101">
        <f>IF(Cdlac[[#This Row],[Quantity]]&gt;0,MAX(0,Cdlac[[#This Row],[Fair Market Rent]]-Cdlac[[#This Row],[Restricted Rent]]),"")</f>
        <v>1517.8000000000002</v>
      </c>
      <c r="S23" s="1079">
        <f>IF(Cdlac[[#This Row],[Quantity]]&gt;0,AND(Application!AK721&lt;&gt;"N/A",Application!AK721&lt;&gt;"")*Cdlac[[#This Row],[Quantity]],"")</f>
        <v>2</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3</v>
      </c>
      <c r="N24" s="1109">
        <f>Application!AC722</f>
        <v>0.5</v>
      </c>
      <c r="O24" s="1109">
        <f>IF(Cdlac[[#This Row],[Quantity]]&gt;0,IF(Cdlac[[#This Row],[Federal]],30%,IF($G$36,40%,Cdlac[[#This Row],[iAMI]])),"")</f>
        <v>0.3</v>
      </c>
      <c r="P24" s="1101" cm="1">
        <f t="array" ref="P24">IF(Cdlac[[#This Row],[Quantity]]&gt;0,INDEX(TcacRents,$P$18,Cdlac[[#This Row],[Bedrooms]]+1)*Cdlac[[#This Row],[AMI]],"")</f>
        <v>832.19999999999993</v>
      </c>
      <c r="Q24" s="1101" cm="1">
        <f t="array" ref="Q24">IF(Cdlac[[#This Row],[Quantity]]&gt;0,INDEX(HudFmrs,$P$18,Cdlac[[#This Row],[Bedrooms]]+1),"")</f>
        <v>2350</v>
      </c>
      <c r="R24" s="1101">
        <f>IF(Cdlac[[#This Row],[Quantity]]&gt;0,MAX(0,Cdlac[[#This Row],[Fair Market Rent]]-Cdlac[[#This Row],[Restricted Rent]]),"")</f>
        <v>1517.8000000000002</v>
      </c>
      <c r="S24" s="1079">
        <f>IF(Cdlac[[#This Row],[Quantity]]&gt;0,AND(Application!AK722&lt;&gt;"N/A",Application!AK722&lt;&gt;"")*Cdlac[[#This Row],[Quantity]],"")</f>
        <v>3</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1" t="s">
        <v>1699</v>
      </c>
      <c r="D27" s="2152"/>
      <c r="E27" s="1129">
        <f>SUM(E22:E26)</f>
        <v>34</v>
      </c>
      <c r="F27" s="1129">
        <f>SUM(F22:F26)</f>
        <v>34</v>
      </c>
      <c r="G27" s="1130">
        <f>SUMPRODUCT(D22:D26,F22:F26)</f>
        <v>31.1</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31.1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1555000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44216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7958880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34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17</v>
      </c>
    </row>
    <row r="46" spans="2:20" ht="15" customHeight="1">
      <c r="E46" s="1159"/>
      <c r="G46" s="1167"/>
    </row>
    <row r="47" spans="2:20" ht="15" customHeight="1">
      <c r="E47" s="1159" t="s">
        <v>2258</v>
      </c>
      <c r="G47" s="1156">
        <f>MIN(G44:G45)</f>
        <v>17</v>
      </c>
    </row>
    <row r="48" spans="2:20" ht="15" customHeight="1">
      <c r="E48" s="1159" t="s">
        <v>2248</v>
      </c>
      <c r="F48" s="1155" t="s">
        <v>2305</v>
      </c>
      <c r="G48" s="1166">
        <v>10000</v>
      </c>
    </row>
    <row r="49" spans="2:14" ht="15" customHeight="1">
      <c r="E49" s="1160" t="s">
        <v>2288</v>
      </c>
      <c r="F49" s="1081"/>
      <c r="G49" s="1165">
        <f>G47*G48</f>
        <v>170000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29</v>
      </c>
    </row>
    <row r="54" spans="2:14" ht="15" customHeight="1">
      <c r="E54" s="1159" t="s">
        <v>2307</v>
      </c>
      <c r="G54" s="1117">
        <f>ROUNDDOWN(E27*50%,0)</f>
        <v>17</v>
      </c>
    </row>
    <row r="55" spans="2:14" ht="15" customHeight="1">
      <c r="E55" s="1159"/>
      <c r="G55" s="1117"/>
    </row>
    <row r="56" spans="2:14" ht="15" customHeight="1">
      <c r="E56" s="1159" t="s">
        <v>2258</v>
      </c>
      <c r="G56" s="1156">
        <f>MIN(G53:G54)</f>
        <v>17</v>
      </c>
    </row>
    <row r="57" spans="2:14" ht="15" customHeight="1">
      <c r="E57" s="1159" t="s">
        <v>2248</v>
      </c>
      <c r="F57" s="1155" t="s">
        <v>2305</v>
      </c>
      <c r="G57" s="1166">
        <v>20000</v>
      </c>
    </row>
    <row r="58" spans="2:14" ht="15" customHeight="1">
      <c r="E58" s="1160" t="s">
        <v>2287</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5</v>
      </c>
      <c r="L62" s="1169" t="str">
        <f>'Points System'!H627</f>
        <v>N/A</v>
      </c>
      <c r="M62" s="2153" t="s">
        <v>1517</v>
      </c>
      <c r="N62" s="2154"/>
    </row>
    <row r="63" spans="2:14" ht="15" customHeight="1">
      <c r="E63" s="1124" t="s">
        <v>2248</v>
      </c>
      <c r="F63" s="1155" t="s">
        <v>2305</v>
      </c>
      <c r="G63" s="1114">
        <v>4000</v>
      </c>
      <c r="L63" s="1170" t="str">
        <f>'Points System'!H639</f>
        <v>N/A</v>
      </c>
      <c r="M63" s="2145" t="s">
        <v>2262</v>
      </c>
      <c r="N63" s="2146"/>
    </row>
    <row r="64" spans="2:14" ht="15" customHeight="1">
      <c r="E64" s="1124" t="s">
        <v>2309</v>
      </c>
      <c r="F64" s="1155" t="s">
        <v>2305</v>
      </c>
      <c r="G64" s="1168">
        <f>G27</f>
        <v>31.1</v>
      </c>
      <c r="L64" s="1170" t="str">
        <f>'Points System'!H674</f>
        <v>(iii)</v>
      </c>
      <c r="M64" s="2145" t="s">
        <v>2263</v>
      </c>
      <c r="N64" s="2146"/>
    </row>
    <row r="65" spans="2:14" ht="15" customHeight="1">
      <c r="E65" s="1160" t="s">
        <v>2267</v>
      </c>
      <c r="F65" s="1081"/>
      <c r="G65" s="1165">
        <f>G62*G63*G64</f>
        <v>622000</v>
      </c>
      <c r="L65" s="1170" t="str">
        <f>IF(OR('Points System'!H698="(ii)",'Points System'!H698="(i)"),"(i)","N/A")</f>
        <v>N/A</v>
      </c>
      <c r="M65" s="2145" t="s">
        <v>2264</v>
      </c>
      <c r="N65" s="2146"/>
    </row>
    <row r="66" spans="2:14" ht="15" customHeight="1">
      <c r="C66" s="1115"/>
      <c r="G66" s="1156"/>
      <c r="L66" s="1171" t="str">
        <f>'Points System'!H712</f>
        <v>N/A</v>
      </c>
      <c r="M66" s="2145" t="s">
        <v>1543</v>
      </c>
      <c r="N66" s="2146"/>
    </row>
    <row r="67" spans="2:14" ht="15" customHeight="1">
      <c r="E67" s="1124" t="s">
        <v>2310</v>
      </c>
      <c r="G67" s="1168">
        <f>COUNTIFS(L62:L69,"(i)")</f>
        <v>0</v>
      </c>
      <c r="L67" s="1170" t="str">
        <f>'Points System'!H724</f>
        <v>N/A</v>
      </c>
      <c r="M67" s="2145" t="s">
        <v>2265</v>
      </c>
      <c r="N67" s="2146"/>
    </row>
    <row r="68" spans="2:14" ht="15" customHeight="1">
      <c r="E68" s="1124" t="s">
        <v>2248</v>
      </c>
      <c r="F68" s="1155" t="s">
        <v>2305</v>
      </c>
      <c r="G68" s="1166">
        <v>4000</v>
      </c>
      <c r="L68" s="1170" t="str">
        <f>'Points System'!H740</f>
        <v>N/A</v>
      </c>
      <c r="M68" s="2145" t="s">
        <v>2266</v>
      </c>
      <c r="N68" s="2146"/>
    </row>
    <row r="69" spans="2:14" ht="15" customHeight="1" thickBot="1">
      <c r="E69" s="1160" t="s">
        <v>2268</v>
      </c>
      <c r="F69" s="1081"/>
      <c r="G69" s="1165">
        <f>G64*G67*G68</f>
        <v>0</v>
      </c>
      <c r="L69" s="1172" t="str">
        <f>'Points System'!H752</f>
        <v>(ii)</v>
      </c>
      <c r="M69" s="2147" t="s">
        <v>1546</v>
      </c>
      <c r="N69" s="2148"/>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31.1</v>
      </c>
    </row>
    <row r="80" spans="2:14" ht="15" customHeight="1">
      <c r="E80" s="1124" t="s">
        <v>2248</v>
      </c>
      <c r="F80" s="1155" t="s">
        <v>2305</v>
      </c>
      <c r="G80" s="1166">
        <v>25000</v>
      </c>
    </row>
    <row r="81" spans="2:14" ht="15" customHeight="1">
      <c r="E81" s="1160" t="s">
        <v>2269</v>
      </c>
      <c r="F81" s="1081"/>
      <c r="G81" s="1165">
        <f>G77*G80*G64</f>
        <v>777500</v>
      </c>
    </row>
    <row r="82" spans="2:14" ht="15" customHeight="1">
      <c r="C82" s="1115"/>
      <c r="E82" s="1115"/>
    </row>
    <row r="83" spans="2:14" ht="15" customHeight="1">
      <c r="E83" s="1160" t="s">
        <v>2246</v>
      </c>
      <c r="G83" s="1165">
        <f>G81+G69+G65</f>
        <v>1399500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49" t="s">
        <v>2275</v>
      </c>
      <c r="M87" s="2150"/>
      <c r="N87" s="1173">
        <v>30000</v>
      </c>
    </row>
    <row r="88" spans="2:14" ht="15" customHeight="1">
      <c r="C88" s="1115" t="s">
        <v>2292</v>
      </c>
      <c r="G88" s="1119" t="str">
        <f>IF(Application!D211="Large Family","Yes","No")</f>
        <v>No</v>
      </c>
      <c r="L88" s="2141" t="s">
        <v>2239</v>
      </c>
      <c r="M88" s="2142"/>
      <c r="N88" s="1174">
        <v>20000</v>
      </c>
    </row>
    <row r="89" spans="2:14" ht="15" customHeight="1" thickBot="1">
      <c r="C89" s="1115" t="s">
        <v>2273</v>
      </c>
      <c r="G89" s="1078" t="s">
        <v>554</v>
      </c>
      <c r="L89" s="2143" t="s">
        <v>2276</v>
      </c>
      <c r="M89" s="2144"/>
      <c r="N89" s="1175">
        <v>10000</v>
      </c>
    </row>
    <row r="90" spans="2:14" ht="15" customHeight="1">
      <c r="C90" s="1115" t="s">
        <v>2274</v>
      </c>
      <c r="G90" s="1079" t="str">
        <f>Application!T193</f>
        <v>(select one)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31.1</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31.1</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Santa Barbara</v>
      </c>
    </row>
    <row r="111" spans="2:9" ht="15" customHeight="1">
      <c r="E111" s="1124"/>
      <c r="G111" s="1116"/>
    </row>
    <row r="112" spans="2:9" ht="15" customHeight="1">
      <c r="E112" s="1124" t="str">
        <f>"2-Bedroom "&amp;G110&amp;" County Basis Limit"</f>
        <v>2-Bedroom Santa Barbara County Basis Limit</v>
      </c>
      <c r="G112" s="1116">
        <f>Application!R987</f>
        <v>538400</v>
      </c>
    </row>
    <row r="113" spans="4:9" ht="15" customHeight="1">
      <c r="E113" s="1124" t="s">
        <v>2313</v>
      </c>
      <c r="G113" s="1116">
        <f>MEDIAN((Application!BR806:BR863))</f>
        <v>489600</v>
      </c>
    </row>
    <row r="114" spans="4:9" ht="15" customHeight="1">
      <c r="D114" s="1081"/>
      <c r="E114" s="1160" t="s">
        <v>2315</v>
      </c>
      <c r="F114" s="1176"/>
      <c r="G114" s="1177">
        <f>((G112-G113)/G113)*0.25</f>
        <v>2.4918300653594773E-2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B8" sqref="B8"/>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1" t="s">
        <v>2414</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2461</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7" t="str">
        <f>IF(Application!H18="","",Application!H18)</f>
        <v>Hollister Lofts</v>
      </c>
      <c r="M4" s="2238"/>
      <c r="N4" s="2238"/>
      <c r="O4" s="2238"/>
      <c r="P4" s="2238"/>
      <c r="Q4" s="2238"/>
      <c r="R4" s="2238"/>
      <c r="S4" s="2238"/>
      <c r="T4" s="2238"/>
      <c r="U4" s="2238"/>
      <c r="V4" s="2238"/>
      <c r="W4" s="2238"/>
      <c r="X4" s="2238"/>
      <c r="Y4" s="2238"/>
      <c r="Z4" s="2238"/>
      <c r="AA4" s="2238"/>
      <c r="AB4" s="2238"/>
      <c r="AC4" s="2239"/>
      <c r="AD4" s="1209"/>
      <c r="AE4" s="1209"/>
      <c r="AF4" s="2240" t="s">
        <v>2462</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2463</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7" t="str">
        <f>IF(Application!H16="","",Application!H16)</f>
        <v>Hollister Lofts, L.P.</v>
      </c>
      <c r="M6" s="2238"/>
      <c r="N6" s="2238"/>
      <c r="O6" s="2238"/>
      <c r="P6" s="2238"/>
      <c r="Q6" s="2238"/>
      <c r="R6" s="2238"/>
      <c r="S6" s="2238"/>
      <c r="T6" s="2238"/>
      <c r="U6" s="2238"/>
      <c r="V6" s="2238"/>
      <c r="W6" s="2238"/>
      <c r="X6" s="2238"/>
      <c r="Y6" s="2238"/>
      <c r="Z6" s="2238"/>
      <c r="AA6" s="2238"/>
      <c r="AB6" s="2238"/>
      <c r="AC6" s="2239"/>
      <c r="AD6" s="1209"/>
      <c r="AE6" s="1209"/>
      <c r="AF6" s="2243" t="s">
        <v>2464</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2465</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2466</v>
      </c>
      <c r="AG8" s="2243"/>
      <c r="AH8" s="2243"/>
      <c r="AI8" s="2243"/>
      <c r="AJ8" s="2243"/>
      <c r="AK8" s="2243"/>
      <c r="AL8" s="2243"/>
      <c r="AM8" s="2243"/>
      <c r="AN8" s="2243"/>
      <c r="AO8" s="2243"/>
      <c r="AP8" s="2230" t="s">
        <v>2418</v>
      </c>
      <c r="AQ8" s="2230"/>
      <c r="AR8" s="2230"/>
      <c r="AS8" s="2230"/>
      <c r="AT8" s="2230"/>
      <c r="AU8" s="2230"/>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2626</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55">
        <f>Application!AO627</f>
        <v>5003246</v>
      </c>
      <c r="O10" s="2255"/>
      <c r="P10" s="2255"/>
      <c r="Q10" s="2255"/>
      <c r="R10" s="2255"/>
      <c r="S10" s="2255"/>
      <c r="T10" s="2255"/>
      <c r="U10" s="1209"/>
      <c r="V10" s="1209"/>
      <c r="W10" s="1209"/>
      <c r="X10" s="1258"/>
      <c r="Y10" s="1258"/>
      <c r="Z10" s="1258"/>
      <c r="AA10" s="1258"/>
      <c r="AB10" s="1258"/>
      <c r="AC10" s="1258"/>
      <c r="AD10" s="1258"/>
      <c r="AE10" s="1258"/>
      <c r="AF10" s="2240" t="s">
        <v>2625</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2624</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62" t="s">
        <v>1795</v>
      </c>
      <c r="C13" s="2263"/>
      <c r="D13" s="2263"/>
      <c r="E13" s="2263"/>
      <c r="F13" s="2263"/>
      <c r="G13" s="2263"/>
      <c r="H13" s="2263"/>
      <c r="I13" s="2263"/>
      <c r="J13" s="2263"/>
      <c r="K13" s="2263"/>
      <c r="L13" s="2263"/>
      <c r="M13" s="2263"/>
      <c r="N13" s="2263"/>
      <c r="O13" s="2263"/>
      <c r="P13" s="2264"/>
      <c r="Q13" s="2265" t="s">
        <v>678</v>
      </c>
      <c r="R13" s="2266"/>
      <c r="S13" s="2266"/>
      <c r="T13" s="2267"/>
      <c r="U13" s="1258"/>
      <c r="V13" s="1209"/>
      <c r="W13" s="1209"/>
      <c r="X13" s="1209"/>
      <c r="Y13" s="1209"/>
      <c r="Z13" s="1209"/>
      <c r="AA13" s="2256" t="s">
        <v>2468</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2470</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thickBot="1">
      <c r="A15" s="1209"/>
      <c r="B15" s="2268" t="s">
        <v>1796</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2471</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3" t="s">
        <v>1797</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1798</v>
      </c>
      <c r="C18" s="2277"/>
      <c r="D18" s="2277"/>
      <c r="E18" s="2277"/>
      <c r="F18" s="2277"/>
      <c r="G18" s="2277"/>
      <c r="H18" s="2277"/>
      <c r="I18" s="2278"/>
      <c r="J18" s="2279" t="s">
        <v>1699</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1799</v>
      </c>
      <c r="AU18" s="2280"/>
      <c r="AV18" s="2280"/>
      <c r="AW18" s="2280"/>
      <c r="AX18" s="2280"/>
      <c r="AY18" s="2282"/>
      <c r="AZ18" s="1209"/>
      <c r="BA18" s="1209"/>
      <c r="BB18" s="1209"/>
      <c r="BC18" s="1209"/>
      <c r="BD18" s="1209"/>
      <c r="BE18" s="1205"/>
    </row>
    <row r="19" spans="1:58" ht="15">
      <c r="A19" s="1209"/>
      <c r="B19" s="2283">
        <v>0.3</v>
      </c>
      <c r="C19" s="2284"/>
      <c r="D19" s="2284"/>
      <c r="E19" s="2284"/>
      <c r="F19" s="2284"/>
      <c r="G19" s="2284"/>
      <c r="H19" s="2284"/>
      <c r="I19" s="2285"/>
      <c r="J19" s="2286">
        <f t="shared" ref="J19:J28" si="0">SUM(P19:AS19)</f>
        <v>12</v>
      </c>
      <c r="K19" s="2287"/>
      <c r="L19" s="2287"/>
      <c r="M19" s="2287"/>
      <c r="N19" s="2287"/>
      <c r="O19" s="2288"/>
      <c r="P19" s="2286" cm="1">
        <f t="array" ref="P19">SUMPRODUCT((Application!$B$718:$B$752 = 'CalHFA Addendum'!P$18)*(Application!$AC$718:$AC$752 = 'CalHFA Addendum'!$B19),Application!$G$718:$G$752)</f>
        <v>12</v>
      </c>
      <c r="Q19" s="2287"/>
      <c r="R19" s="2287"/>
      <c r="S19" s="2287"/>
      <c r="T19" s="2287"/>
      <c r="U19" s="2288"/>
      <c r="V19" s="2286" cm="1">
        <f t="array" ref="V19">SUMPRODUCT((Application!$B$714:$B$738 = 'CalHFA Addendum'!V$18)*(Application!$AC$714:$AC$738 = 'CalHFA Addendum'!$B19),Application!$G$714:$G$738)</f>
        <v>0</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0.70588235294117652</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5">
      <c r="A21" s="1209"/>
      <c r="B21" s="2283">
        <v>0.5</v>
      </c>
      <c r="C21" s="2284"/>
      <c r="D21" s="2284"/>
      <c r="E21" s="2284"/>
      <c r="F21" s="2284"/>
      <c r="G21" s="2284"/>
      <c r="H21" s="2284"/>
      <c r="I21" s="2285"/>
      <c r="J21" s="2286">
        <f t="shared" si="0"/>
        <v>3</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3</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0.17647058823529413</v>
      </c>
      <c r="AU21" s="2290"/>
      <c r="AV21" s="2290"/>
      <c r="AW21" s="2290"/>
      <c r="AX21" s="2290"/>
      <c r="AY21" s="2291"/>
      <c r="AZ21" s="1209"/>
      <c r="BA21" s="1209"/>
      <c r="BB21" s="1209"/>
      <c r="BC21" s="1209"/>
      <c r="BD21" s="1209"/>
      <c r="BE21" s="1205"/>
    </row>
    <row r="22" spans="1:58" ht="15">
      <c r="A22" s="1209"/>
      <c r="B22" s="2283">
        <v>0.6</v>
      </c>
      <c r="C22" s="2284"/>
      <c r="D22" s="2284"/>
      <c r="E22" s="2284"/>
      <c r="F22" s="2284"/>
      <c r="G22" s="2284"/>
      <c r="H22" s="2284"/>
      <c r="I22" s="2285"/>
      <c r="J22" s="2286">
        <f t="shared" si="0"/>
        <v>2</v>
      </c>
      <c r="K22" s="2287"/>
      <c r="L22" s="2287"/>
      <c r="M22" s="2287"/>
      <c r="N22" s="2287"/>
      <c r="O22" s="2288"/>
      <c r="P22" s="2286" cm="1">
        <f t="array" ref="P22">SUMPRODUCT((Application!$B$714:$B$738 = 'CalHFA Addendum'!P$18)*(Application!$AC$714:$AC$738 = 'CalHFA Addendum'!$B22),Application!$G$714:$G$738)</f>
        <v>2</v>
      </c>
      <c r="Q22" s="2287"/>
      <c r="R22" s="2287"/>
      <c r="S22" s="2287"/>
      <c r="T22" s="2287"/>
      <c r="U22" s="2288"/>
      <c r="V22" s="2286" cm="1">
        <f t="array" ref="V22">SUMPRODUCT((Application!$B$714:$B$738 = 'CalHFA Addendum'!V$18)*(Application!$AC$714:$AC$738 = 'CalHFA Addendum'!$B22),Application!$G$714:$G$738)</f>
        <v>0</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0.11764705882352941</v>
      </c>
      <c r="AU22" s="2290"/>
      <c r="AV22" s="2290"/>
      <c r="AW22" s="2290"/>
      <c r="AX22" s="2290"/>
      <c r="AY22" s="2291"/>
      <c r="AZ22" s="1209"/>
      <c r="BA22" s="1209"/>
      <c r="BB22" s="1209"/>
      <c r="BC22" s="1209"/>
      <c r="BD22" s="1209"/>
      <c r="BE22" s="1205"/>
    </row>
    <row r="23" spans="1:58" ht="15">
      <c r="A23" s="1209"/>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9"/>
      <c r="BA23" s="1209"/>
      <c r="BB23" s="1209"/>
      <c r="BC23" s="1209"/>
      <c r="BD23" s="1209"/>
      <c r="BE23" s="1205"/>
    </row>
    <row r="24" spans="1:58" ht="1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thickBot="1">
      <c r="A28" s="1209"/>
      <c r="B28" s="2302" t="s">
        <v>1800</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thickBot="1">
      <c r="A29" s="1209"/>
      <c r="B29" s="2317" t="s">
        <v>1699</v>
      </c>
      <c r="C29" s="2318"/>
      <c r="D29" s="2318"/>
      <c r="E29" s="2318"/>
      <c r="F29" s="2318"/>
      <c r="G29" s="2318"/>
      <c r="H29" s="2318"/>
      <c r="I29" s="2319"/>
      <c r="J29" s="2320">
        <f>SUM(J19:O28)</f>
        <v>17</v>
      </c>
      <c r="K29" s="2318"/>
      <c r="L29" s="2318"/>
      <c r="M29" s="2318"/>
      <c r="N29" s="2318"/>
      <c r="O29" s="2319"/>
      <c r="P29" s="2320">
        <f>SUM(P19:U28)</f>
        <v>14</v>
      </c>
      <c r="Q29" s="2318"/>
      <c r="R29" s="2318"/>
      <c r="S29" s="2318"/>
      <c r="T29" s="2318"/>
      <c r="U29" s="2319"/>
      <c r="V29" s="2320">
        <f>SUM(V19:AA28)</f>
        <v>3</v>
      </c>
      <c r="W29" s="2318"/>
      <c r="X29" s="2318"/>
      <c r="Y29" s="2318"/>
      <c r="Z29" s="2318"/>
      <c r="AA29" s="2319"/>
      <c r="AB29" s="2320">
        <f>SUM(AB19:AG28)</f>
        <v>0</v>
      </c>
      <c r="AC29" s="2318"/>
      <c r="AD29" s="2318"/>
      <c r="AE29" s="2318"/>
      <c r="AF29" s="2318"/>
      <c r="AG29" s="2319"/>
      <c r="AH29" s="2320">
        <f>SUM(AH19:AM28)</f>
        <v>0</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5" t="s">
        <v>1801</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thickBot="1">
      <c r="A32" s="1209"/>
      <c r="B32" s="2340" t="s">
        <v>2474</v>
      </c>
      <c r="C32" s="2341"/>
      <c r="D32" s="2341"/>
      <c r="E32" s="2341"/>
      <c r="F32" s="2341"/>
      <c r="G32" s="2341"/>
      <c r="H32" s="2341"/>
      <c r="I32" s="2341"/>
      <c r="J32" s="2311" t="s">
        <v>2475</v>
      </c>
      <c r="K32" s="2312"/>
      <c r="L32" s="2312"/>
      <c r="M32" s="2312"/>
      <c r="N32" s="2311" t="s">
        <v>1802</v>
      </c>
      <c r="O32" s="2312"/>
      <c r="P32" s="2312"/>
      <c r="Q32" s="2314"/>
      <c r="R32" s="2334" t="s">
        <v>1803</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1804</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1805</v>
      </c>
      <c r="AT35" s="2299"/>
      <c r="AU35" s="2299"/>
      <c r="AV35" s="2299"/>
      <c r="AW35" s="2299"/>
      <c r="AX35" s="2300"/>
      <c r="AY35" s="2298" t="s">
        <v>1806</v>
      </c>
      <c r="AZ35" s="2299"/>
      <c r="BA35" s="2299"/>
      <c r="BB35" s="2299"/>
      <c r="BC35" s="2299"/>
      <c r="BD35" s="2301"/>
      <c r="BE35" s="1205"/>
    </row>
    <row r="36" spans="1:58" ht="15.75" customHeight="1">
      <c r="A36" s="1209"/>
      <c r="B36" s="2321" t="s">
        <v>1807</v>
      </c>
      <c r="C36" s="2322"/>
      <c r="D36" s="2322"/>
      <c r="E36" s="2322"/>
      <c r="F36" s="2322"/>
      <c r="G36" s="2322"/>
      <c r="H36" s="2322"/>
      <c r="I36" s="2322"/>
      <c r="J36" s="2323" t="s">
        <v>1808</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2.9411764705882355</v>
      </c>
      <c r="AZ36" s="2351"/>
      <c r="BA36" s="2351"/>
      <c r="BB36" s="2351"/>
      <c r="BC36" s="2351"/>
      <c r="BD36" s="2352"/>
      <c r="BE36" s="1205"/>
    </row>
    <row r="37" spans="1:58" ht="15.75" customHeight="1">
      <c r="A37" s="1209"/>
      <c r="B37" s="2321" t="s">
        <v>2476</v>
      </c>
      <c r="C37" s="2322"/>
      <c r="D37" s="2322"/>
      <c r="E37" s="2322"/>
      <c r="F37" s="2322"/>
      <c r="G37" s="2322"/>
      <c r="H37" s="2322"/>
      <c r="I37" s="2322"/>
      <c r="J37" s="2323" t="s">
        <v>1809</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0.58823529411764708</v>
      </c>
      <c r="AZ37" s="2351"/>
      <c r="BA37" s="2351"/>
      <c r="BB37" s="2351"/>
      <c r="BC37" s="2351"/>
      <c r="BD37" s="2352"/>
      <c r="BE37" s="1205"/>
    </row>
    <row r="38" spans="1:58" ht="15.75" customHeight="1">
      <c r="A38" s="1209"/>
      <c r="B38" s="2321" t="s">
        <v>2415</v>
      </c>
      <c r="C38" s="2322"/>
      <c r="D38" s="2322"/>
      <c r="E38" s="2322"/>
      <c r="F38" s="2322"/>
      <c r="G38" s="2322"/>
      <c r="H38" s="2322"/>
      <c r="I38" s="2322"/>
      <c r="J38" s="2323" t="s">
        <v>1810</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75" customHeight="1">
      <c r="A39" s="1209"/>
      <c r="B39" s="2321" t="s">
        <v>1811</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1811</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1812</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1812</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1813</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1814</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1815</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1816</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1817</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1818</v>
      </c>
      <c r="C51" s="2207"/>
      <c r="D51" s="2207"/>
      <c r="E51" s="2207"/>
      <c r="F51" s="2207"/>
      <c r="G51" s="2207"/>
      <c r="H51" s="2207"/>
      <c r="I51" s="2207"/>
      <c r="J51" s="2207" t="s">
        <v>2478</v>
      </c>
      <c r="K51" s="2207"/>
      <c r="L51" s="2207"/>
      <c r="M51" s="2207"/>
      <c r="N51" s="2207"/>
      <c r="O51" s="2207"/>
      <c r="P51" s="2207"/>
      <c r="Q51" s="2207"/>
      <c r="R51" s="2364" t="s">
        <v>2479</v>
      </c>
      <c r="S51" s="2364"/>
      <c r="T51" s="2364"/>
      <c r="U51" s="2364"/>
      <c r="V51" s="2364"/>
      <c r="W51" s="2364"/>
      <c r="X51" s="2364"/>
      <c r="Y51" s="2364"/>
      <c r="Z51" s="2364" t="s">
        <v>1819</v>
      </c>
      <c r="AA51" s="2364"/>
      <c r="AB51" s="2364"/>
      <c r="AC51" s="2364"/>
      <c r="AD51" s="2364"/>
      <c r="AE51" s="2364"/>
      <c r="AF51" s="2364"/>
      <c r="AG51" s="2364"/>
      <c r="AH51" s="2364" t="s">
        <v>1820</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2186</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
        <v>2187</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1699</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1818</v>
      </c>
      <c r="C59" s="2389"/>
      <c r="D59" s="2389"/>
      <c r="E59" s="2389"/>
      <c r="F59" s="2389"/>
      <c r="G59" s="2389"/>
      <c r="H59" s="2389"/>
      <c r="I59" s="2390"/>
      <c r="J59" s="2274" t="s">
        <v>2480</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1822</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1823</v>
      </c>
      <c r="AD68" s="2467"/>
      <c r="AE68" s="2467"/>
      <c r="AF68" s="2467"/>
      <c r="AG68" s="2467"/>
      <c r="AH68" s="2467"/>
      <c r="AI68" s="2467"/>
      <c r="AJ68" s="2467"/>
      <c r="AK68" s="2467"/>
      <c r="AL68" s="2467"/>
      <c r="AM68" s="2467"/>
      <c r="AN68" s="2467"/>
      <c r="AO68" s="2467"/>
      <c r="AP68" s="2467"/>
      <c r="AQ68" s="2467"/>
      <c r="AR68" s="2467"/>
      <c r="AS68" s="2467"/>
      <c r="AT68" s="2467"/>
      <c r="AU68" s="2467"/>
      <c r="AV68" s="2593" t="s">
        <v>678</v>
      </c>
      <c r="AW68" s="2426"/>
      <c r="AX68" s="2426"/>
      <c r="AY68" s="2426"/>
      <c r="AZ68" s="2426"/>
      <c r="BA68" s="2426"/>
      <c r="BB68" s="2426"/>
      <c r="BC68" s="2427"/>
      <c r="BD68" s="1209"/>
      <c r="BE68" s="1205"/>
      <c r="BM68" s="1254" t="s">
        <v>2481</v>
      </c>
    </row>
    <row r="69" spans="1:65" ht="15.75" customHeight="1" thickTop="1" thickBot="1">
      <c r="A69" s="1209"/>
      <c r="B69" s="2594" t="s">
        <v>1824</v>
      </c>
      <c r="C69" s="2595"/>
      <c r="D69" s="2595"/>
      <c r="E69" s="2595"/>
      <c r="F69" s="2595"/>
      <c r="G69" s="2595"/>
      <c r="H69" s="2595"/>
      <c r="I69" s="2595"/>
      <c r="J69" s="2595"/>
      <c r="K69" s="2595"/>
      <c r="L69" s="2595"/>
      <c r="M69" s="2595"/>
      <c r="N69" s="2595"/>
      <c r="O69" s="2596" t="s">
        <v>1825</v>
      </c>
      <c r="P69" s="2597"/>
      <c r="Q69" s="2597"/>
      <c r="R69" s="2597"/>
      <c r="S69" s="2597"/>
      <c r="T69" s="2597"/>
      <c r="U69" s="2597"/>
      <c r="V69" s="2597"/>
      <c r="W69" s="2597"/>
      <c r="X69" s="2597"/>
      <c r="Y69" s="2597"/>
      <c r="Z69" s="2597"/>
      <c r="AA69" s="2598"/>
      <c r="AB69" s="1209"/>
      <c r="AC69" s="2599" t="s">
        <v>1826</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554</v>
      </c>
    </row>
    <row r="70" spans="1:65" ht="15.75" customHeight="1">
      <c r="A70" s="1209"/>
      <c r="B70" s="2321" t="s">
        <v>2482</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1827</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678</v>
      </c>
    </row>
    <row r="71" spans="1:65" ht="15.75" customHeight="1" thickBot="1">
      <c r="A71" s="1209"/>
      <c r="B71" s="2321" t="s">
        <v>2483</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1828</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2484</v>
      </c>
    </row>
    <row r="72" spans="1:65" ht="15.75" customHeight="1">
      <c r="A72" s="1209"/>
      <c r="B72" s="2321" t="s">
        <v>2485</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2486</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75" customHeight="1">
      <c r="A73" s="1209"/>
      <c r="B73" s="2353" t="s">
        <v>2487</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2188</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04" t="s">
        <v>2554</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2171</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2621</v>
      </c>
      <c r="AK83" s="2248"/>
      <c r="AL83" s="2248"/>
      <c r="AM83" s="2248"/>
      <c r="AN83" s="2248"/>
      <c r="AO83" s="2248"/>
      <c r="AP83" s="2248"/>
      <c r="AQ83" s="2248"/>
      <c r="AR83" s="2248"/>
      <c r="AS83" s="2248"/>
      <c r="AT83" s="2248"/>
      <c r="AU83" s="2248"/>
      <c r="AV83" s="2248"/>
      <c r="AW83" s="2248"/>
      <c r="AX83" s="2248"/>
      <c r="AY83" s="2251" t="s">
        <v>554</v>
      </c>
      <c r="AZ83" s="2251"/>
      <c r="BA83" s="2251"/>
      <c r="BB83" s="2252"/>
      <c r="BC83" s="1209"/>
      <c r="BD83" s="1209"/>
      <c r="BE83" s="1205"/>
    </row>
    <row r="84" spans="1:70" ht="15.75" customHeight="1">
      <c r="A84" s="1209"/>
      <c r="B84" s="2206"/>
      <c r="C84" s="2207"/>
      <c r="D84" s="2207"/>
      <c r="E84" s="2207"/>
      <c r="F84" s="2207"/>
      <c r="G84" s="2207"/>
      <c r="H84" s="2207"/>
      <c r="I84" s="2207" t="s">
        <v>1829</v>
      </c>
      <c r="J84" s="2207"/>
      <c r="K84" s="2207"/>
      <c r="L84" s="2207"/>
      <c r="M84" s="2207"/>
      <c r="N84" s="2207"/>
      <c r="O84" s="2207" t="s">
        <v>1830</v>
      </c>
      <c r="P84" s="2207"/>
      <c r="Q84" s="2207"/>
      <c r="R84" s="2207"/>
      <c r="S84" s="2207"/>
      <c r="T84" s="2207"/>
      <c r="U84" s="2207"/>
      <c r="V84" s="2203" t="s">
        <v>2189</v>
      </c>
      <c r="W84" s="2203"/>
      <c r="X84" s="2203"/>
      <c r="Y84" s="2203"/>
      <c r="Z84" s="2203"/>
      <c r="AA84" s="2203"/>
      <c r="AB84" s="2204" t="s">
        <v>1831</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2172</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2173</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2488</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1832</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04" t="s">
        <v>2554</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2618</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2617</v>
      </c>
      <c r="AK96" s="2248"/>
      <c r="AL96" s="2248"/>
      <c r="AM96" s="2248"/>
      <c r="AN96" s="2248"/>
      <c r="AO96" s="2248"/>
      <c r="AP96" s="2248"/>
      <c r="AQ96" s="2248"/>
      <c r="AR96" s="2248"/>
      <c r="AS96" s="2248"/>
      <c r="AT96" s="2248"/>
      <c r="AU96" s="2248"/>
      <c r="AV96" s="2248"/>
      <c r="AW96" s="2248"/>
      <c r="AX96" s="2248"/>
      <c r="AY96" s="2251" t="s">
        <v>554</v>
      </c>
      <c r="AZ96" s="2251"/>
      <c r="BA96" s="2251"/>
      <c r="BB96" s="2252"/>
      <c r="BC96" s="1209"/>
      <c r="BD96" s="1209"/>
      <c r="BE96" s="1205"/>
      <c r="BQ96" s="1248" t="str">
        <f>Application!M243</f>
        <v xml:space="preserve">Surf Development Company </v>
      </c>
      <c r="BR96" s="1248">
        <f>Application!AH245</f>
        <v>0</v>
      </c>
    </row>
    <row r="97" spans="1:70" ht="15.75" customHeight="1">
      <c r="A97" s="1209"/>
      <c r="B97" s="2206"/>
      <c r="C97" s="2207"/>
      <c r="D97" s="2207"/>
      <c r="E97" s="2207"/>
      <c r="F97" s="2207"/>
      <c r="G97" s="2207"/>
      <c r="H97" s="2207"/>
      <c r="I97" s="2207" t="s">
        <v>1829</v>
      </c>
      <c r="J97" s="2207"/>
      <c r="K97" s="2207"/>
      <c r="L97" s="2207"/>
      <c r="M97" s="2207"/>
      <c r="N97" s="2207"/>
      <c r="O97" s="2207" t="s">
        <v>1830</v>
      </c>
      <c r="P97" s="2207"/>
      <c r="Q97" s="2207"/>
      <c r="R97" s="2207"/>
      <c r="S97" s="2207"/>
      <c r="T97" s="2207"/>
      <c r="U97" s="2207"/>
      <c r="V97" s="2203" t="s">
        <v>2189</v>
      </c>
      <c r="W97" s="2203"/>
      <c r="X97" s="2203"/>
      <c r="Y97" s="2203"/>
      <c r="Z97" s="2203"/>
      <c r="AA97" s="2203"/>
      <c r="AB97" s="2204" t="s">
        <v>1831</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Housing Authority of the County of Santa Barbara</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75" customHeight="1">
      <c r="A99" s="1209"/>
      <c r="B99" s="2206" t="s">
        <v>2172</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2173</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2488</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1832</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6" t="s">
        <v>2614</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1829</v>
      </c>
      <c r="J108" s="2207"/>
      <c r="K108" s="2207"/>
      <c r="L108" s="2207"/>
      <c r="M108" s="2207"/>
      <c r="N108" s="2207"/>
      <c r="O108" s="2207" t="s">
        <v>1830</v>
      </c>
      <c r="P108" s="2207"/>
      <c r="Q108" s="2207"/>
      <c r="R108" s="2207"/>
      <c r="S108" s="2207"/>
      <c r="T108" s="2207"/>
      <c r="U108" s="2207"/>
      <c r="V108" s="2203" t="s">
        <v>2189</v>
      </c>
      <c r="W108" s="2203"/>
      <c r="X108" s="2203"/>
      <c r="Y108" s="2203"/>
      <c r="Z108" s="2203"/>
      <c r="AA108" s="2203"/>
      <c r="AB108" s="2204" t="s">
        <v>1831</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2172</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2173</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1832</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2489</v>
      </c>
      <c r="C117" s="2248"/>
      <c r="D117" s="2248"/>
      <c r="E117" s="2248"/>
      <c r="F117" s="2248"/>
      <c r="G117" s="2248"/>
      <c r="H117" s="2248"/>
      <c r="I117" s="2248"/>
      <c r="J117" s="2248"/>
      <c r="K117" s="2248"/>
      <c r="L117" s="2248"/>
      <c r="M117" s="2248"/>
      <c r="N117" s="2248"/>
      <c r="O117" s="2248"/>
      <c r="P117" s="2248"/>
      <c r="Q117" s="2251" t="s">
        <v>554</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2190</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2174</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75" customHeight="1">
      <c r="A126" s="1209"/>
      <c r="B126" s="2411" t="s">
        <v>1689</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75" customHeight="1">
      <c r="A127" s="1209"/>
      <c r="B127" s="2414"/>
      <c r="C127" s="2415"/>
      <c r="D127" s="2415"/>
      <c r="E127" s="2415"/>
      <c r="F127" s="2415"/>
      <c r="G127" s="2415"/>
      <c r="H127" s="2415"/>
      <c r="I127" s="2207" t="s">
        <v>2175</v>
      </c>
      <c r="J127" s="2207"/>
      <c r="K127" s="2207"/>
      <c r="L127" s="2207"/>
      <c r="M127" s="2207"/>
      <c r="N127" s="2207"/>
      <c r="O127" s="2416" t="s">
        <v>2176</v>
      </c>
      <c r="P127" s="2416"/>
      <c r="Q127" s="2416"/>
      <c r="R127" s="2416"/>
      <c r="S127" s="2416"/>
      <c r="T127" s="2416"/>
      <c r="U127" s="2417"/>
      <c r="V127" s="1209"/>
      <c r="W127" s="1209"/>
      <c r="X127" s="2394" t="s">
        <v>2188</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0" t="s">
        <v>2177</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2" t="s">
        <v>2178</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1835</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4"/>
      <c r="C134" s="2415"/>
      <c r="D134" s="2415"/>
      <c r="E134" s="2415"/>
      <c r="F134" s="2415"/>
      <c r="G134" s="2415"/>
      <c r="H134" s="2415"/>
      <c r="I134" s="2438" t="s">
        <v>1830</v>
      </c>
      <c r="J134" s="2438"/>
      <c r="K134" s="2438"/>
      <c r="L134" s="2438"/>
      <c r="M134" s="2438"/>
      <c r="N134" s="2438"/>
      <c r="O134" s="2438"/>
      <c r="P134" s="2438" t="s">
        <v>2189</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0" t="s">
        <v>2177</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2" t="s">
        <v>2178</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4" t="s">
        <v>1836</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554</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75" customHeight="1">
      <c r="A140" s="1209"/>
      <c r="B140" s="2428" t="s">
        <v>1837</v>
      </c>
      <c r="C140" s="2429"/>
      <c r="D140" s="2429"/>
      <c r="E140" s="2429"/>
      <c r="F140" s="2429"/>
      <c r="G140" s="2429"/>
      <c r="H140" s="2429"/>
      <c r="I140" s="2429"/>
      <c r="J140" s="2429"/>
      <c r="K140" s="2429"/>
      <c r="L140" s="2429"/>
      <c r="M140" s="2429"/>
      <c r="N140" s="2429"/>
      <c r="O140" s="2429"/>
      <c r="P140" s="2429"/>
      <c r="Q140" s="2429"/>
      <c r="R140" s="2430" t="s">
        <v>2191</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251</v>
      </c>
      <c r="BD140" s="1209"/>
      <c r="BE140" s="1205"/>
    </row>
    <row r="141" spans="1:57" ht="15.75" customHeight="1">
      <c r="A141" s="1209"/>
      <c r="B141" s="2432" t="s">
        <v>2192</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75"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75"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75"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75"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75"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75"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75"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75"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75"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1839</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2194</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38" t="s">
        <v>1830</v>
      </c>
      <c r="J155" s="2438"/>
      <c r="K155" s="2438"/>
      <c r="L155" s="2438"/>
      <c r="M155" s="2438"/>
      <c r="N155" s="2438"/>
      <c r="O155" s="2438"/>
      <c r="P155" s="2438" t="s">
        <v>2195</v>
      </c>
      <c r="Q155" s="2438"/>
      <c r="R155" s="2438"/>
      <c r="S155" s="2438"/>
      <c r="T155" s="2438"/>
      <c r="U155" s="2439"/>
      <c r="V155" s="1209"/>
      <c r="W155" s="1209"/>
      <c r="X155" s="2414"/>
      <c r="Y155" s="2415"/>
      <c r="Z155" s="2415"/>
      <c r="AA155" s="2415"/>
      <c r="AB155" s="2415"/>
      <c r="AC155" s="2415"/>
      <c r="AD155" s="2415"/>
      <c r="AE155" s="2438" t="s">
        <v>1830</v>
      </c>
      <c r="AF155" s="2438"/>
      <c r="AG155" s="2438"/>
      <c r="AH155" s="2438"/>
      <c r="AI155" s="2438"/>
      <c r="AJ155" s="2438"/>
      <c r="AK155" s="2438"/>
      <c r="AL155" s="2438" t="s">
        <v>2189</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2177</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2177</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2178</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2179</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1840</v>
      </c>
      <c r="D161" s="2415"/>
      <c r="E161" s="2415"/>
      <c r="F161" s="2415"/>
      <c r="G161" s="2415"/>
      <c r="H161" s="2415"/>
      <c r="I161" s="2415"/>
      <c r="J161" s="2415"/>
      <c r="K161" s="2415"/>
      <c r="L161" s="2415"/>
      <c r="M161" s="2415"/>
      <c r="N161" s="2415"/>
      <c r="O161" s="2415"/>
      <c r="P161" s="2415"/>
      <c r="Q161" s="2415" t="s">
        <v>1841</v>
      </c>
      <c r="R161" s="2415"/>
      <c r="S161" s="2415"/>
      <c r="T161" s="2204" t="s">
        <v>2180</v>
      </c>
      <c r="U161" s="2204"/>
      <c r="V161" s="2204"/>
      <c r="W161" s="2204"/>
      <c r="X161" s="2204"/>
      <c r="Y161" s="2204"/>
      <c r="Z161" s="2204"/>
      <c r="AA161" s="2204"/>
      <c r="AB161" s="2415" t="s">
        <v>1842</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1" t="s">
        <v>1843</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1" t="s">
        <v>1844</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1" t="s">
        <v>1845</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1" t="s">
        <v>1816</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1" t="s">
        <v>170</v>
      </c>
      <c r="D166" s="2442"/>
      <c r="E166" s="2442"/>
      <c r="F166" s="2448" t="s">
        <v>1846</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1" t="s">
        <v>170</v>
      </c>
      <c r="D167" s="2442"/>
      <c r="E167" s="2442"/>
      <c r="F167" s="2448" t="s">
        <v>1846</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9" t="s">
        <v>170</v>
      </c>
      <c r="D168" s="2450"/>
      <c r="E168" s="2450"/>
      <c r="F168" s="2451" t="s">
        <v>1846</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6" t="s">
        <v>1847</v>
      </c>
      <c r="D170" s="2467"/>
      <c r="E170" s="2467"/>
      <c r="F170" s="2467"/>
      <c r="G170" s="2467"/>
      <c r="H170" s="2467"/>
      <c r="I170" s="2467"/>
      <c r="J170" s="2467"/>
      <c r="K170" s="2467"/>
      <c r="L170" s="2467"/>
      <c r="M170" s="2467"/>
      <c r="N170" s="2468"/>
      <c r="O170" s="1209"/>
      <c r="P170" s="2424" t="s">
        <v>1848</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1849</v>
      </c>
      <c r="D171" s="2415"/>
      <c r="E171" s="2415"/>
      <c r="F171" s="2415"/>
      <c r="G171" s="2415"/>
      <c r="H171" s="2415"/>
      <c r="I171" s="2415" t="s">
        <v>1850</v>
      </c>
      <c r="J171" s="2415"/>
      <c r="K171" s="2415"/>
      <c r="L171" s="2415"/>
      <c r="M171" s="2415"/>
      <c r="N171" s="2440"/>
      <c r="O171" s="1209"/>
      <c r="P171" s="2394" t="s">
        <v>2188</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0" t="s">
        <v>2490</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2607</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2628</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6" t="s">
        <v>1840</v>
      </c>
      <c r="D182" s="2467"/>
      <c r="E182" s="2467"/>
      <c r="F182" s="2467"/>
      <c r="G182" s="2467"/>
      <c r="H182" s="2467"/>
      <c r="I182" s="2467"/>
      <c r="J182" s="2467"/>
      <c r="K182" s="2467"/>
      <c r="L182" s="2467"/>
      <c r="M182" s="2467"/>
      <c r="N182" s="2467" t="s">
        <v>1851</v>
      </c>
      <c r="O182" s="2467"/>
      <c r="P182" s="2467"/>
      <c r="Q182" s="2467"/>
      <c r="R182" s="2467"/>
      <c r="S182" s="2467"/>
      <c r="T182" s="2467"/>
      <c r="U182" s="2362" t="s">
        <v>1840</v>
      </c>
      <c r="V182" s="2362"/>
      <c r="W182" s="2362"/>
      <c r="X182" s="2362"/>
      <c r="Y182" s="2362"/>
      <c r="Z182" s="2362"/>
      <c r="AA182" s="2362"/>
      <c r="AB182" s="2362"/>
      <c r="AC182" s="2362"/>
      <c r="AD182" s="2362"/>
      <c r="AE182" s="2363"/>
      <c r="AF182" s="1209"/>
      <c r="AG182" s="1209"/>
      <c r="AH182" s="2219" t="s">
        <v>2612</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2491</v>
      </c>
      <c r="D183" s="2210"/>
      <c r="E183" s="2210"/>
      <c r="F183" s="2210"/>
      <c r="G183" s="2210"/>
      <c r="H183" s="2210"/>
      <c r="I183" s="2210"/>
      <c r="J183" s="2210"/>
      <c r="K183" s="2210"/>
      <c r="L183" s="2210"/>
      <c r="M183" s="2210"/>
      <c r="N183" s="2472">
        <f>'Sources and Uses Budget'!B105</f>
        <v>30719320</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2611</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75" customHeight="1">
      <c r="A184" s="1209"/>
      <c r="B184" s="1209"/>
      <c r="C184" s="2209" t="s">
        <v>2492</v>
      </c>
      <c r="D184" s="2210"/>
      <c r="E184" s="2210"/>
      <c r="F184" s="2210"/>
      <c r="G184" s="2210"/>
      <c r="H184" s="2210"/>
      <c r="I184" s="2210"/>
      <c r="J184" s="2210"/>
      <c r="K184" s="2210"/>
      <c r="L184" s="2210"/>
      <c r="M184" s="2210"/>
      <c r="N184" s="2472">
        <f>N183/J29</f>
        <v>1807018.8235294118</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2610</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75" customHeight="1">
      <c r="A185" s="1209"/>
      <c r="B185" s="1209"/>
      <c r="C185" s="2475" t="s">
        <v>2493</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2609</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2494</v>
      </c>
      <c r="D186" s="2210"/>
      <c r="E186" s="2210"/>
      <c r="F186" s="2210"/>
      <c r="G186" s="2210"/>
      <c r="H186" s="2210"/>
      <c r="I186" s="2210"/>
      <c r="J186" s="2210"/>
      <c r="K186" s="2210"/>
      <c r="L186" s="2210"/>
      <c r="M186" s="2210"/>
      <c r="N186" s="2471">
        <f>SUM('Sources and Uses Budget'!B85:B86)</f>
        <v>1332000</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2495</v>
      </c>
      <c r="D187" s="2210"/>
      <c r="E187" s="2210"/>
      <c r="F187" s="2210"/>
      <c r="G187" s="2210"/>
      <c r="H187" s="2210"/>
      <c r="I187" s="2210"/>
      <c r="J187" s="2210"/>
      <c r="K187" s="2210"/>
      <c r="L187" s="2210"/>
      <c r="M187" s="2210"/>
      <c r="N187" s="2471">
        <f>'Sources and Uses Budget'!B8</f>
        <v>4000000</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1852</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9"/>
      <c r="B188" s="1209"/>
      <c r="C188" s="2209" t="s">
        <v>2496</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1852</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9"/>
      <c r="B189" s="1209"/>
      <c r="C189" s="2209" t="s">
        <v>2497</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2608</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9"/>
      <c r="B190" s="1209"/>
      <c r="C190" s="2512" t="s">
        <v>301</v>
      </c>
      <c r="D190" s="2443"/>
      <c r="E190" s="2511" t="s">
        <v>1846</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2607</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9"/>
      <c r="B191" s="1209"/>
      <c r="C191" s="2400" t="s">
        <v>301</v>
      </c>
      <c r="D191" s="2370"/>
      <c r="E191" s="2511" t="s">
        <v>1846</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75" customHeight="1" thickBot="1">
      <c r="A192" s="1209"/>
      <c r="B192" s="1209"/>
      <c r="C192" s="2500" t="s">
        <v>301</v>
      </c>
      <c r="D192" s="2501"/>
      <c r="E192" s="2502" t="s">
        <v>1846</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1853</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75" customHeight="1">
      <c r="A193" s="1209"/>
      <c r="B193" s="1209"/>
      <c r="C193" s="2496" t="s">
        <v>1854</v>
      </c>
      <c r="D193" s="2497"/>
      <c r="E193" s="2497"/>
      <c r="F193" s="2497"/>
      <c r="G193" s="2497"/>
      <c r="H193" s="2497"/>
      <c r="I193" s="2497"/>
      <c r="J193" s="2497"/>
      <c r="K193" s="2497"/>
      <c r="L193" s="2497"/>
      <c r="M193" s="2497"/>
      <c r="N193" s="2498">
        <f>SUM(N185:T192)</f>
        <v>5332000</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2606</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9"/>
      <c r="B194" s="1209"/>
      <c r="C194" s="2539" t="s">
        <v>2498</v>
      </c>
      <c r="D194" s="2540"/>
      <c r="E194" s="2540"/>
      <c r="F194" s="2540"/>
      <c r="G194" s="2540"/>
      <c r="H194" s="2540"/>
      <c r="I194" s="2540"/>
      <c r="J194" s="2540"/>
      <c r="K194" s="2540"/>
      <c r="L194" s="2540"/>
      <c r="M194" s="2540"/>
      <c r="N194" s="2541">
        <f>(N183-N193)/J29</f>
        <v>1493371.7647058824</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9" t="s">
        <v>2605</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2604</v>
      </c>
      <c r="D198" s="2199"/>
      <c r="E198" s="2199"/>
      <c r="F198" s="2199"/>
      <c r="G198" s="2199"/>
      <c r="H198" s="2199"/>
      <c r="I198" s="2199"/>
      <c r="J198" s="2199"/>
      <c r="K198" s="2199"/>
      <c r="L198" s="2199"/>
      <c r="M198" s="2199"/>
      <c r="N198" s="2199"/>
      <c r="O198" s="2200" t="s">
        <v>2603</v>
      </c>
      <c r="P198" s="2200"/>
      <c r="Q198" s="2200"/>
      <c r="R198" s="2200"/>
      <c r="S198" s="2200"/>
      <c r="T198" s="2200"/>
      <c r="U198" s="2200"/>
      <c r="V198" s="2200"/>
      <c r="W198" s="2200"/>
      <c r="X198" s="2200" t="s">
        <v>2602</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2601</v>
      </c>
      <c r="D199" s="2197"/>
      <c r="E199" s="2197"/>
      <c r="F199" s="2197"/>
      <c r="G199" s="2197"/>
      <c r="H199" s="2197"/>
      <c r="I199" s="2197"/>
      <c r="J199" s="2197"/>
      <c r="K199" s="2197"/>
      <c r="L199" s="2197"/>
      <c r="M199" s="2197"/>
      <c r="N199" s="2197"/>
      <c r="O199" s="2492" t="s">
        <v>2600</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866</v>
      </c>
      <c r="D200" s="2197"/>
      <c r="E200" s="2197"/>
      <c r="F200" s="2197"/>
      <c r="G200" s="2197"/>
      <c r="H200" s="2197"/>
      <c r="I200" s="2197"/>
      <c r="J200" s="2197"/>
      <c r="K200" s="2197"/>
      <c r="L200" s="2197"/>
      <c r="M200" s="2197"/>
      <c r="N200" s="2197"/>
      <c r="O200" s="2492" t="s">
        <v>2600</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2599</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2598</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2597</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4" t="s">
        <v>2596</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7" t="s">
        <v>2595</v>
      </c>
      <c r="D205" s="2518"/>
      <c r="E205" s="2518"/>
      <c r="F205" s="2519"/>
      <c r="G205" s="2523" t="s">
        <v>2594</v>
      </c>
      <c r="H205" s="2518"/>
      <c r="I205" s="2518"/>
      <c r="J205" s="2518"/>
      <c r="K205" s="2518"/>
      <c r="L205" s="2518"/>
      <c r="M205" s="2518"/>
      <c r="N205" s="2518"/>
      <c r="O205" s="2519"/>
      <c r="P205" s="2525" t="s">
        <v>2593</v>
      </c>
      <c r="Q205" s="2526"/>
      <c r="R205" s="2526"/>
      <c r="S205" s="2526"/>
      <c r="T205" s="2527"/>
      <c r="U205" s="2531" t="s">
        <v>2592</v>
      </c>
      <c r="V205" s="2532"/>
      <c r="W205" s="2532"/>
      <c r="X205" s="2533"/>
      <c r="Y205" s="2531" t="s">
        <v>2591</v>
      </c>
      <c r="Z205" s="2532"/>
      <c r="AA205" s="2532"/>
      <c r="AB205" s="2533"/>
      <c r="AC205" s="2531" t="s">
        <v>2590</v>
      </c>
      <c r="AD205" s="2532"/>
      <c r="AE205" s="2532"/>
      <c r="AF205" s="2533"/>
      <c r="AG205" s="2523" t="s">
        <v>2589</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2155</v>
      </c>
      <c r="H207" s="2178"/>
      <c r="I207" s="2178"/>
      <c r="J207" s="2178"/>
      <c r="K207" s="2178"/>
      <c r="L207" s="2178"/>
      <c r="M207" s="2178"/>
      <c r="N207" s="2178"/>
      <c r="O207" s="2178"/>
      <c r="P207" s="2179"/>
      <c r="Q207" s="2583"/>
      <c r="R207" s="2583"/>
      <c r="S207" s="2583"/>
      <c r="T207" s="2583"/>
      <c r="U207" s="2180" t="s">
        <v>2155</v>
      </c>
      <c r="V207" s="2180"/>
      <c r="W207" s="2180"/>
      <c r="X207" s="2180"/>
      <c r="Y207" s="2180" t="s">
        <v>2155</v>
      </c>
      <c r="Z207" s="2180"/>
      <c r="AA207" s="2180"/>
      <c r="AB207" s="2180"/>
      <c r="AC207" s="2181" t="s">
        <v>2155</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2155</v>
      </c>
      <c r="H208" s="2178"/>
      <c r="I208" s="2178"/>
      <c r="J208" s="2178"/>
      <c r="K208" s="2178"/>
      <c r="L208" s="2178"/>
      <c r="M208" s="2178"/>
      <c r="N208" s="2178"/>
      <c r="O208" s="2178"/>
      <c r="P208" s="2179"/>
      <c r="Q208" s="2179"/>
      <c r="R208" s="2179"/>
      <c r="S208" s="2179"/>
      <c r="T208" s="2179"/>
      <c r="U208" s="2180" t="s">
        <v>2155</v>
      </c>
      <c r="V208" s="2180"/>
      <c r="W208" s="2180"/>
      <c r="X208" s="2180"/>
      <c r="Y208" s="2180" t="s">
        <v>2155</v>
      </c>
      <c r="Z208" s="2180"/>
      <c r="AA208" s="2180"/>
      <c r="AB208" s="2180"/>
      <c r="AC208" s="2181" t="s">
        <v>2155</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2155</v>
      </c>
      <c r="H209" s="2178"/>
      <c r="I209" s="2178"/>
      <c r="J209" s="2178"/>
      <c r="K209" s="2178"/>
      <c r="L209" s="2178"/>
      <c r="M209" s="2178"/>
      <c r="N209" s="2178"/>
      <c r="O209" s="2178"/>
      <c r="P209" s="2179"/>
      <c r="Q209" s="2179"/>
      <c r="R209" s="2179"/>
      <c r="S209" s="2179"/>
      <c r="T209" s="2179"/>
      <c r="U209" s="2180" t="s">
        <v>2155</v>
      </c>
      <c r="V209" s="2180"/>
      <c r="W209" s="2180"/>
      <c r="X209" s="2180"/>
      <c r="Y209" s="2180" t="s">
        <v>2155</v>
      </c>
      <c r="Z209" s="2180"/>
      <c r="AA209" s="2180"/>
      <c r="AB209" s="2180"/>
      <c r="AC209" s="2181" t="s">
        <v>2155</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2155</v>
      </c>
      <c r="H210" s="2178"/>
      <c r="I210" s="2178"/>
      <c r="J210" s="2178"/>
      <c r="K210" s="2178"/>
      <c r="L210" s="2178"/>
      <c r="M210" s="2178"/>
      <c r="N210" s="2178"/>
      <c r="O210" s="2178"/>
      <c r="P210" s="2179"/>
      <c r="Q210" s="2179"/>
      <c r="R210" s="2179"/>
      <c r="S210" s="2179"/>
      <c r="T210" s="2179"/>
      <c r="U210" s="2180" t="s">
        <v>2155</v>
      </c>
      <c r="V210" s="2180"/>
      <c r="W210" s="2180"/>
      <c r="X210" s="2180"/>
      <c r="Y210" s="2180" t="s">
        <v>2155</v>
      </c>
      <c r="Z210" s="2180"/>
      <c r="AA210" s="2180"/>
      <c r="AB210" s="2180"/>
      <c r="AC210" s="2181" t="s">
        <v>2155</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2155</v>
      </c>
      <c r="V211" s="2180"/>
      <c r="W211" s="2180"/>
      <c r="X211" s="2180"/>
      <c r="Y211" s="2180" t="s">
        <v>2155</v>
      </c>
      <c r="Z211" s="2180"/>
      <c r="AA211" s="2180"/>
      <c r="AB211" s="2180"/>
      <c r="AC211" s="2181" t="s">
        <v>2155</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2155</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2155</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2155</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2588</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1" t="s">
        <v>1855</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75"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75" customHeight="1">
      <c r="A221" s="1209"/>
      <c r="B221" s="2557" t="s">
        <v>1856</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75" customHeight="1">
      <c r="A222" s="1209"/>
      <c r="B222" s="2557" t="s">
        <v>1857</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0" t="s">
        <v>1858</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4" t="s">
        <v>1860</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3" t="s">
        <v>2499</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75"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75"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75"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2" t="s">
        <v>1861</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8" t="s">
        <v>1862</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8" t="s">
        <v>1863</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8" t="s">
        <v>444</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9" t="s">
        <v>1864</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0" t="s">
        <v>1865</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zoomScaleNormal="100" workbookViewId="0">
      <selection activeCell="AK77" sqref="AK7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0" t="s">
        <v>1391</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25336915</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506</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507</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508</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509</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815</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510</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658" t="s">
        <v>980</v>
      </c>
      <c r="D18" s="1658"/>
      <c r="E18" s="1658"/>
      <c r="F18" s="1658"/>
      <c r="G18" s="1658"/>
      <c r="H18" s="1658"/>
      <c r="I18" s="1658"/>
      <c r="J18" s="1658"/>
      <c r="K18" s="1658"/>
      <c r="L18" s="1658"/>
      <c r="M18" s="1658"/>
      <c r="N18" s="1658"/>
      <c r="O18" s="1658"/>
      <c r="P18" s="1658"/>
      <c r="Q18" s="1658"/>
      <c r="R18" s="1658"/>
      <c r="S18" s="1659"/>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658" t="s">
        <v>980</v>
      </c>
      <c r="D19" s="1658"/>
      <c r="E19" s="1658"/>
      <c r="F19" s="1658"/>
      <c r="G19" s="1658"/>
      <c r="H19" s="1658"/>
      <c r="I19" s="1658"/>
      <c r="J19" s="1658"/>
      <c r="K19" s="1658"/>
      <c r="L19" s="1658"/>
      <c r="M19" s="1658"/>
      <c r="N19" s="1658"/>
      <c r="O19" s="1658"/>
      <c r="P19" s="1658"/>
      <c r="Q19" s="1658"/>
      <c r="R19" s="1658"/>
      <c r="S19" s="1659"/>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511</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1374</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512</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513</v>
      </c>
      <c r="C23" s="2624"/>
      <c r="D23" s="2624"/>
      <c r="E23" s="2624"/>
      <c r="F23" s="2624"/>
      <c r="G23" s="2624"/>
      <c r="H23" s="2624"/>
      <c r="I23" s="2624"/>
      <c r="J23" s="2624"/>
      <c r="K23" s="2624"/>
      <c r="L23" s="2624"/>
      <c r="M23" s="2624"/>
      <c r="N23" s="2624"/>
      <c r="O23" s="2624"/>
      <c r="P23" s="2624"/>
      <c r="Q23" s="2624"/>
      <c r="R23" s="2624"/>
      <c r="S23" s="2625"/>
      <c r="T23" s="2639">
        <f>T11+T22</f>
        <v>25336915</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981</v>
      </c>
      <c r="C24" s="2624"/>
      <c r="D24" s="2624"/>
      <c r="E24" s="2624"/>
      <c r="F24" s="2624"/>
      <c r="G24" s="2624"/>
      <c r="H24" s="2624"/>
      <c r="I24" s="2624"/>
      <c r="J24" s="2624"/>
      <c r="K24" s="2624"/>
      <c r="L24" s="2624"/>
      <c r="M24" s="2624"/>
      <c r="N24" s="2624"/>
      <c r="O24" s="2624"/>
      <c r="P24" s="2624"/>
      <c r="Q24" s="2624"/>
      <c r="R24" s="2624"/>
      <c r="S24" s="2625"/>
      <c r="T24" s="2627">
        <f>Application!AJ1052</f>
        <v>44117213.799999997</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1375</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514</v>
      </c>
      <c r="C26" s="2624"/>
      <c r="D26" s="2624"/>
      <c r="E26" s="2624"/>
      <c r="F26" s="2624"/>
      <c r="G26" s="2624"/>
      <c r="H26" s="2624"/>
      <c r="I26" s="2624"/>
      <c r="J26" s="2624"/>
      <c r="K26" s="2624"/>
      <c r="L26" s="2624"/>
      <c r="M26" s="2624"/>
      <c r="N26" s="2624"/>
      <c r="O26" s="2624"/>
      <c r="P26" s="2624"/>
      <c r="Q26" s="2624"/>
      <c r="R26" s="2624"/>
      <c r="S26" s="2625"/>
      <c r="T26" s="2639">
        <f>T23*T25</f>
        <v>32937989.5</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515</v>
      </c>
      <c r="C28" s="2624"/>
      <c r="D28" s="2624"/>
      <c r="E28" s="2624"/>
      <c r="F28" s="2624"/>
      <c r="G28" s="2624"/>
      <c r="H28" s="2624"/>
      <c r="I28" s="2624"/>
      <c r="J28" s="2624"/>
      <c r="K28" s="2624"/>
      <c r="L28" s="2624"/>
      <c r="M28" s="2624"/>
      <c r="N28" s="2624"/>
      <c r="O28" s="2624"/>
      <c r="P28" s="2624"/>
      <c r="Q28" s="2624"/>
      <c r="R28" s="2624"/>
      <c r="S28" s="2625"/>
      <c r="T28" s="2639">
        <f>IF(ISERROR((T26*T27)),0,(T26*T27))</f>
        <v>32937989.5</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532</v>
      </c>
      <c r="C29" s="2624"/>
      <c r="D29" s="2624"/>
      <c r="E29" s="2624"/>
      <c r="F29" s="2624"/>
      <c r="G29" s="2624"/>
      <c r="H29" s="2624"/>
      <c r="I29" s="2624"/>
      <c r="J29" s="2624"/>
      <c r="K29" s="2624"/>
      <c r="L29" s="2624"/>
      <c r="M29" s="2624"/>
      <c r="N29" s="2624"/>
      <c r="O29" s="2624"/>
      <c r="P29" s="2624"/>
      <c r="Q29" s="2624"/>
      <c r="R29" s="2624"/>
      <c r="S29" s="2625"/>
      <c r="T29" s="2627">
        <f>T28+Y28+AD28+AI28</f>
        <v>32937989.5</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1377</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1376</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41" t="s">
        <v>370</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32937989.5</v>
      </c>
      <c r="Z38" s="2617"/>
      <c r="AA38" s="2617"/>
      <c r="AB38" s="2617"/>
      <c r="AC38" s="2617"/>
      <c r="AD38" s="2617">
        <f>IF(T24&gt;=(T23+Y23+AD23+AI23),AD28+AI28,0)</f>
        <v>0</v>
      </c>
      <c r="AE38" s="2617"/>
      <c r="AF38" s="2617"/>
      <c r="AG38" s="2617"/>
      <c r="AH38" s="2617"/>
    </row>
    <row r="39" spans="1:76" ht="12.95" customHeight="1">
      <c r="B39" s="2623" t="s">
        <v>1882</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651</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1317520</v>
      </c>
      <c r="Z40" s="2617"/>
      <c r="AA40" s="2617"/>
      <c r="AB40" s="2617"/>
      <c r="AC40" s="2617"/>
      <c r="AD40" s="2639">
        <f>ROUND(AD38*AD39,0)</f>
        <v>0</v>
      </c>
      <c r="AE40" s="2617"/>
      <c r="AF40" s="2617"/>
      <c r="AG40" s="2617"/>
      <c r="AH40" s="2617"/>
    </row>
    <row r="41" spans="1:76" ht="12.95" customHeight="1">
      <c r="B41" s="2623" t="s">
        <v>652</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1317520</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1387</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595</v>
      </c>
      <c r="C46" s="435" t="s">
        <v>283</v>
      </c>
    </row>
    <row r="47" spans="1:76" ht="12.95" customHeight="1">
      <c r="D47" s="435" t="s">
        <v>284</v>
      </c>
      <c r="AB47" s="2631">
        <f>'Sources and Uses Budget'!B105-MAX(IF('Sources and Uses Budget'!B15="",0,'Sources and Uses Budget'!B15),IF(Application!AG394="",0,Application!AG394))</f>
        <v>30719320</v>
      </c>
      <c r="AC47" s="2632"/>
      <c r="AD47" s="2632"/>
      <c r="AE47" s="2632"/>
      <c r="AF47" s="2633"/>
    </row>
    <row r="48" spans="1:76" ht="12.95" customHeight="1">
      <c r="D48" s="435" t="s">
        <v>21</v>
      </c>
      <c r="AB48" s="2631">
        <f>Application!AO639-MAX(IF('Sources and Uses Budget'!B15="",0,'Sources and Uses Budget'!B15),IF(Application!AG394="",0,Application!AG394))</f>
        <v>17049186</v>
      </c>
      <c r="AC48" s="2632"/>
      <c r="AD48" s="2632"/>
      <c r="AE48" s="2632"/>
      <c r="AF48" s="2633"/>
    </row>
    <row r="49" spans="1:76" ht="12.95" customHeight="1">
      <c r="D49" s="435" t="s">
        <v>91</v>
      </c>
      <c r="AB49" s="2631">
        <f>AB47-AB48</f>
        <v>13670134</v>
      </c>
      <c r="AC49" s="2632"/>
      <c r="AD49" s="2632"/>
      <c r="AE49" s="2632"/>
      <c r="AF49" s="2633"/>
    </row>
    <row r="50" spans="1:76" ht="12.95" customHeight="1">
      <c r="D50" s="435" t="s">
        <v>690</v>
      </c>
      <c r="AA50" s="446"/>
      <c r="AB50" s="2619">
        <f>0.86*0.9998992</f>
        <v>0.85991331199999999</v>
      </c>
      <c r="AC50" s="2620"/>
      <c r="AD50" s="2620"/>
      <c r="AE50" s="2620"/>
      <c r="AF50" s="2621"/>
    </row>
    <row r="51" spans="1:76" s="448" customFormat="1" ht="12.95" customHeight="1">
      <c r="A51" s="433"/>
      <c r="B51" s="433"/>
      <c r="C51" s="433"/>
      <c r="D51" s="433"/>
      <c r="E51" s="2630" t="s">
        <v>2042</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15897107</v>
      </c>
      <c r="AC54" s="2632"/>
      <c r="AD54" s="2632"/>
      <c r="AE54" s="2632"/>
      <c r="AF54" s="2633"/>
    </row>
    <row r="55" spans="1:76" ht="12.95" customHeight="1">
      <c r="D55" s="435" t="s">
        <v>334</v>
      </c>
      <c r="AB55" s="2631">
        <f>(AB54/10)</f>
        <v>1589710.7</v>
      </c>
      <c r="AC55" s="2632"/>
      <c r="AD55" s="2632"/>
      <c r="AE55" s="2632"/>
      <c r="AF55" s="2633"/>
    </row>
    <row r="56" spans="1:76" ht="12.95" customHeight="1">
      <c r="D56" s="435" t="s">
        <v>766</v>
      </c>
      <c r="AB56" s="2634">
        <f>(IF((Y41&lt;AB55),Y41,AB55))</f>
        <v>1317520</v>
      </c>
      <c r="AC56" s="2635"/>
      <c r="AD56" s="2635"/>
      <c r="AE56" s="2635"/>
      <c r="AF56" s="2636"/>
    </row>
    <row r="57" spans="1:76" ht="12.95" customHeight="1">
      <c r="D57" s="435" t="s">
        <v>765</v>
      </c>
      <c r="AB57" s="2631">
        <f>ROUND((10*AB56*AB50),0)</f>
        <v>11329530</v>
      </c>
      <c r="AC57" s="2632"/>
      <c r="AD57" s="2632"/>
      <c r="AE57" s="2632"/>
      <c r="AF57" s="2633"/>
    </row>
    <row r="58" spans="1:76" ht="12.95" customHeight="1">
      <c r="D58" s="435"/>
      <c r="AB58" s="454"/>
      <c r="AC58" s="454"/>
      <c r="AD58" s="454"/>
      <c r="AE58" s="454"/>
      <c r="AF58" s="454"/>
    </row>
    <row r="59" spans="1:76" ht="12.95" customHeight="1">
      <c r="D59" s="435" t="s">
        <v>764</v>
      </c>
      <c r="AB59" s="2615">
        <f>AB49-AB57</f>
        <v>2340604</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598</v>
      </c>
      <c r="C63" s="219" t="s">
        <v>1358</v>
      </c>
      <c r="Y63" s="2626" t="s">
        <v>1004</v>
      </c>
      <c r="Z63" s="2626"/>
      <c r="AA63" s="2626"/>
      <c r="AB63" s="2626"/>
      <c r="AC63" s="2626"/>
      <c r="AD63" s="2626" t="s">
        <v>370</v>
      </c>
      <c r="AE63" s="2626"/>
      <c r="AF63" s="2626"/>
      <c r="AG63" s="2626"/>
      <c r="AH63" s="2626"/>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25336915</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2.95" customHeight="1">
      <c r="C68" s="435"/>
      <c r="D68" s="219" t="s">
        <v>1360</v>
      </c>
      <c r="Y68" s="2617">
        <f>ROUND(Y64*Y67,0)</f>
        <v>7601075</v>
      </c>
      <c r="Z68" s="2618"/>
      <c r="AA68" s="2618"/>
      <c r="AB68" s="2618"/>
      <c r="AC68" s="2618"/>
      <c r="AD68" s="2617">
        <f>ROUND(AD64*AD67,0)</f>
        <v>0</v>
      </c>
      <c r="AE68" s="2618"/>
      <c r="AF68" s="2618"/>
      <c r="AG68" s="2618"/>
      <c r="AH68" s="2618"/>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19">
        <f>0.78*0.9998999</f>
        <v>0.77992192199999999</v>
      </c>
      <c r="AC71" s="2620"/>
      <c r="AD71" s="2620"/>
      <c r="AE71" s="2620"/>
      <c r="AF71" s="2621"/>
    </row>
    <row r="72" spans="1:36" ht="12.95" customHeight="1">
      <c r="A72" s="435"/>
      <c r="C72" s="435"/>
      <c r="D72" s="435"/>
      <c r="E72" s="2622" t="s">
        <v>1362</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2.95"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10">
        <f>ROUND(IF(ISERROR((AB59/AB71)),0,(AB59/AB71)),0)</f>
        <v>3001075</v>
      </c>
      <c r="AC76" s="2610"/>
      <c r="AD76" s="2610"/>
      <c r="AE76" s="2610"/>
      <c r="AF76" s="2610"/>
    </row>
    <row r="77" spans="1:36" ht="12.95" customHeight="1">
      <c r="C77" s="435"/>
      <c r="D77" s="219" t="s">
        <v>1364</v>
      </c>
      <c r="AB77" s="2611">
        <f>IF((Y68+AD68&lt;AB76),Y68+AD68,AB76)</f>
        <v>3001075</v>
      </c>
      <c r="AC77" s="2612"/>
      <c r="AD77" s="2612"/>
      <c r="AE77" s="2612"/>
      <c r="AF77" s="2613"/>
    </row>
    <row r="78" spans="1:36" ht="12.95" customHeight="1">
      <c r="C78" s="435"/>
      <c r="D78" s="219" t="s">
        <v>1365</v>
      </c>
      <c r="AB78" s="2614">
        <f>AB77*AB71</f>
        <v>2340604.18206615</v>
      </c>
      <c r="AC78" s="2614"/>
      <c r="AD78" s="2614"/>
      <c r="AE78" s="2614"/>
      <c r="AF78" s="2614"/>
    </row>
    <row r="79" spans="1:36" ht="12.95" customHeight="1">
      <c r="C79" s="435"/>
      <c r="D79" s="435"/>
      <c r="AB79" s="456"/>
      <c r="AC79" s="456"/>
      <c r="AD79" s="456"/>
      <c r="AE79" s="456"/>
      <c r="AF79" s="456"/>
    </row>
    <row r="80" spans="1:36" ht="12.95" customHeight="1">
      <c r="D80" s="435" t="s">
        <v>764</v>
      </c>
      <c r="AB80" s="2615">
        <f>AB49-(AB57+AB78)</f>
        <v>-0.18206615000963211</v>
      </c>
      <c r="AC80" s="2615"/>
      <c r="AD80" s="2615"/>
      <c r="AE80" s="2615"/>
      <c r="AF80" s="2615"/>
    </row>
    <row r="81" spans="1:78" ht="12.95" customHeight="1">
      <c r="F81" s="556"/>
      <c r="J81" s="556" t="str">
        <f>IF(AB80&gt;0,"FUNDING GAP MUST NOT EXCEED ZERO","")</f>
        <v/>
      </c>
    </row>
    <row r="82" spans="1:78" ht="12.95" customHeight="1">
      <c r="D82" s="557"/>
    </row>
    <row r="83" spans="1:78" ht="12.9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5" customHeight="1" thickTop="1"/>
    <row r="85" spans="1:78" ht="12.95" customHeight="1">
      <c r="A85" s="435"/>
      <c r="C85" s="219"/>
    </row>
    <row r="86" spans="1:78" ht="12.95" customHeight="1">
      <c r="D86" s="219"/>
      <c r="AB86" s="2669"/>
      <c r="AC86" s="2669"/>
      <c r="AD86" s="2669"/>
      <c r="AE86" s="2669"/>
      <c r="AF86" s="2669"/>
    </row>
    <row r="87" spans="1:78" ht="12.95"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0" workbookViewId="0">
      <selection activeCell="D8" sqref="D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15</v>
      </c>
      <c r="C4" s="1122" t="s">
        <v>386</v>
      </c>
      <c r="D4" s="459">
        <f>Application!O718</f>
        <v>389</v>
      </c>
      <c r="E4" s="460"/>
      <c r="F4" s="1123">
        <v>2563</v>
      </c>
      <c r="G4" s="459">
        <f>F4*B4</f>
        <v>38445</v>
      </c>
      <c r="H4" s="460"/>
      <c r="I4" s="459">
        <f t="shared" ref="I4:I27" si="0">IF(F4=0,"",(F4-D4))</f>
        <v>2174</v>
      </c>
      <c r="J4" s="459">
        <f t="shared" ref="J4:J27" si="1">IF(F4=0,"",(I4*B4))</f>
        <v>32610</v>
      </c>
      <c r="K4" s="218"/>
      <c r="L4" s="328"/>
    </row>
    <row r="5" spans="1:12">
      <c r="A5" s="459" t="str">
        <f>Application!B719</f>
        <v>SRO/Studio</v>
      </c>
      <c r="B5" s="1121">
        <f>Application!G719</f>
        <v>12</v>
      </c>
      <c r="C5" s="1122" t="s">
        <v>386</v>
      </c>
      <c r="D5" s="459">
        <f>Application!O719</f>
        <v>777</v>
      </c>
      <c r="E5" s="460"/>
      <c r="F5" s="1123">
        <v>2563</v>
      </c>
      <c r="G5" s="459">
        <f t="shared" ref="G5:G38" si="2">F5*B5</f>
        <v>30756</v>
      </c>
      <c r="H5" s="460"/>
      <c r="I5" s="459">
        <f t="shared" si="0"/>
        <v>1786</v>
      </c>
      <c r="J5" s="459">
        <f t="shared" si="1"/>
        <v>21432</v>
      </c>
      <c r="K5" s="218"/>
      <c r="L5" s="328"/>
    </row>
    <row r="6" spans="1:12">
      <c r="A6" s="459" t="str">
        <f>Application!B720</f>
        <v>SRO/Studio</v>
      </c>
      <c r="B6" s="1121">
        <f>Application!G720</f>
        <v>2</v>
      </c>
      <c r="C6" s="1122" t="s">
        <v>386</v>
      </c>
      <c r="D6" s="459">
        <f>Application!O720</f>
        <v>1554</v>
      </c>
      <c r="E6" s="460"/>
      <c r="F6" s="1123">
        <v>2563</v>
      </c>
      <c r="G6" s="459">
        <f t="shared" si="2"/>
        <v>5126</v>
      </c>
      <c r="H6" s="460"/>
      <c r="I6" s="459">
        <f t="shared" si="0"/>
        <v>1009</v>
      </c>
      <c r="J6" s="459">
        <f t="shared" si="1"/>
        <v>2018</v>
      </c>
      <c r="K6" s="218"/>
      <c r="L6" s="328"/>
    </row>
    <row r="7" spans="1:12">
      <c r="A7" s="459" t="str">
        <f>Application!B721</f>
        <v>1 Bedroom</v>
      </c>
      <c r="B7" s="1121">
        <f>Application!G721</f>
        <v>2</v>
      </c>
      <c r="C7" s="1122" t="s">
        <v>386</v>
      </c>
      <c r="D7" s="459">
        <f>Application!O721</f>
        <v>416</v>
      </c>
      <c r="E7" s="460"/>
      <c r="F7" s="1123">
        <v>2916</v>
      </c>
      <c r="G7" s="459">
        <f t="shared" si="2"/>
        <v>5832</v>
      </c>
      <c r="H7" s="460"/>
      <c r="I7" s="459">
        <f t="shared" si="0"/>
        <v>2500</v>
      </c>
      <c r="J7" s="459">
        <f t="shared" si="1"/>
        <v>5000</v>
      </c>
      <c r="K7" s="218"/>
      <c r="L7" s="328"/>
    </row>
    <row r="8" spans="1:12">
      <c r="A8" s="459" t="str">
        <f>Application!B722</f>
        <v>1 Bedroom</v>
      </c>
      <c r="B8" s="1121">
        <f>Application!G722</f>
        <v>3</v>
      </c>
      <c r="C8" s="1122" t="s">
        <v>386</v>
      </c>
      <c r="D8" s="459">
        <f>Application!O722</f>
        <v>1387</v>
      </c>
      <c r="E8" s="460"/>
      <c r="F8" s="1123">
        <v>2916</v>
      </c>
      <c r="G8" s="459">
        <f t="shared" si="2"/>
        <v>8748</v>
      </c>
      <c r="H8" s="460"/>
      <c r="I8" s="459">
        <f t="shared" si="0"/>
        <v>1529</v>
      </c>
      <c r="J8" s="459">
        <f t="shared" si="1"/>
        <v>4587</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23260</v>
      </c>
      <c r="E40" s="460"/>
      <c r="F40" s="460"/>
      <c r="G40" s="463">
        <f>SUM(G4:G38)*12</f>
        <v>1066884</v>
      </c>
      <c r="H40" s="464"/>
      <c r="I40" s="462"/>
      <c r="J40" s="463">
        <f>SUM(J4:J38)*12</f>
        <v>787764</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130" zoomScaleNormal="130" workbookViewId="0">
      <selection activeCell="C43" sqref="C4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279120</v>
      </c>
      <c r="G4" s="235">
        <f>E4*$C$4</f>
        <v>286098</v>
      </c>
      <c r="I4" s="235">
        <f>G4*$C$4</f>
        <v>293250.44999999995</v>
      </c>
      <c r="K4" s="235">
        <f>I4*$C$4</f>
        <v>300581.71124999993</v>
      </c>
      <c r="M4" s="235">
        <f>K4*$C$4</f>
        <v>308096.2540312499</v>
      </c>
      <c r="O4" s="235">
        <f>M4*$C$4</f>
        <v>315798.66038203111</v>
      </c>
      <c r="Q4" s="235">
        <f>O4*$C$4</f>
        <v>323693.62689158187</v>
      </c>
      <c r="S4" s="235">
        <f>Q4*$C$4</f>
        <v>331785.96756387141</v>
      </c>
      <c r="U4" s="235">
        <f>S4*$C$4</f>
        <v>340080.61675296817</v>
      </c>
      <c r="W4" s="235">
        <f>U4*$C$4</f>
        <v>348582.63217179233</v>
      </c>
      <c r="Y4" s="235">
        <f>W4*$C$4</f>
        <v>357297.1979760871</v>
      </c>
      <c r="AA4" s="235">
        <f>Y4*$C$4</f>
        <v>366229.62792548927</v>
      </c>
      <c r="AC4" s="235">
        <f>AA4*$C$4</f>
        <v>375385.36862362648</v>
      </c>
      <c r="AE4" s="235">
        <f>AC4*$C$4</f>
        <v>384770.00283921708</v>
      </c>
      <c r="AG4" s="235">
        <f>AE4*$C$4</f>
        <v>394389.25291019748</v>
      </c>
    </row>
    <row r="5" spans="1:34" s="225" customFormat="1" ht="14.25">
      <c r="B5" s="225" t="s">
        <v>850</v>
      </c>
      <c r="C5" s="254">
        <v>0.05</v>
      </c>
      <c r="E5" s="237">
        <f>-E4*$C$5</f>
        <v>-13956</v>
      </c>
      <c r="F5" s="237"/>
      <c r="G5" s="237">
        <f>-G4*$C$5</f>
        <v>-14304.900000000001</v>
      </c>
      <c r="H5" s="237"/>
      <c r="I5" s="237">
        <f>-I4*$C$5</f>
        <v>-14662.522499999999</v>
      </c>
      <c r="J5" s="237"/>
      <c r="K5" s="237">
        <f>-K4*$C$5</f>
        <v>-15029.085562499997</v>
      </c>
      <c r="L5" s="237"/>
      <c r="M5" s="237">
        <f>-M4*$C$5</f>
        <v>-15404.812701562496</v>
      </c>
      <c r="N5" s="237"/>
      <c r="O5" s="237">
        <f>-O4*$C$5</f>
        <v>-15789.933019101556</v>
      </c>
      <c r="P5" s="237"/>
      <c r="Q5" s="237">
        <f>-Q4*$C$5</f>
        <v>-16184.681344579094</v>
      </c>
      <c r="R5" s="237"/>
      <c r="S5" s="237">
        <f>-S4*$C$5</f>
        <v>-16589.298378193573</v>
      </c>
      <c r="T5" s="237"/>
      <c r="U5" s="237">
        <f>-U4*$C$5</f>
        <v>-17004.03083764841</v>
      </c>
      <c r="V5" s="237"/>
      <c r="W5" s="237">
        <f>-W4*$C$5</f>
        <v>-17429.131608589618</v>
      </c>
      <c r="X5" s="237"/>
      <c r="Y5" s="237">
        <f>-Y4*$C$5</f>
        <v>-17864.859898804356</v>
      </c>
      <c r="Z5" s="237"/>
      <c r="AA5" s="237">
        <f>-AA4*$C$5</f>
        <v>-18311.481396274463</v>
      </c>
      <c r="AB5" s="237"/>
      <c r="AC5" s="237">
        <f>-AC4*$C$5</f>
        <v>-18769.268431181325</v>
      </c>
      <c r="AD5" s="237"/>
      <c r="AE5" s="237">
        <f>-AE4*$C$5</f>
        <v>-19238.500141960856</v>
      </c>
      <c r="AF5" s="237"/>
      <c r="AG5" s="237">
        <f>-AG4*$C$5</f>
        <v>-19719.462645509877</v>
      </c>
    </row>
    <row r="6" spans="1:34" s="225" customFormat="1" ht="14.25">
      <c r="A6" s="225" t="s">
        <v>848</v>
      </c>
      <c r="C6" s="253">
        <v>1.0249999999999999</v>
      </c>
      <c r="E6" s="238">
        <f>Application!Z809</f>
        <v>787764</v>
      </c>
      <c r="F6" s="238"/>
      <c r="G6" s="238">
        <f>E6*$C$6</f>
        <v>807458.1</v>
      </c>
      <c r="H6" s="238"/>
      <c r="I6" s="238">
        <f>G6*$C$6</f>
        <v>827644.55249999987</v>
      </c>
      <c r="J6" s="238"/>
      <c r="K6" s="238">
        <f>I6*$C$6</f>
        <v>848335.66631249979</v>
      </c>
      <c r="L6" s="238"/>
      <c r="M6" s="238">
        <f>K6*$C$6</f>
        <v>869544.05797031219</v>
      </c>
      <c r="N6" s="238"/>
      <c r="O6" s="238">
        <f>M6*$C$6</f>
        <v>891282.65941956989</v>
      </c>
      <c r="P6" s="238"/>
      <c r="Q6" s="238">
        <f>O6*$C$6</f>
        <v>913564.72590505902</v>
      </c>
      <c r="R6" s="238"/>
      <c r="S6" s="238">
        <f>Q6*$C$6</f>
        <v>936403.84405268542</v>
      </c>
      <c r="T6" s="238"/>
      <c r="U6" s="238">
        <f>S6*$C$6</f>
        <v>959813.94015400251</v>
      </c>
      <c r="V6" s="238"/>
      <c r="W6" s="238">
        <f>U6*$C$6</f>
        <v>983809.28865785245</v>
      </c>
      <c r="X6" s="238"/>
      <c r="Y6" s="238">
        <f>W6*$C$6</f>
        <v>1008404.5208742986</v>
      </c>
      <c r="Z6" s="238"/>
      <c r="AA6" s="238">
        <f>Y6*$C$6</f>
        <v>1033614.633896156</v>
      </c>
      <c r="AB6" s="238"/>
      <c r="AC6" s="238">
        <f>AA6*$C$6</f>
        <v>1059454.9997435599</v>
      </c>
      <c r="AD6" s="238"/>
      <c r="AE6" s="238">
        <f>AC6*$C$6</f>
        <v>1085941.3747371489</v>
      </c>
      <c r="AF6" s="238"/>
      <c r="AG6" s="238">
        <f>AE6*$C$6</f>
        <v>1113089.9091055775</v>
      </c>
    </row>
    <row r="7" spans="1:34" s="225" customFormat="1" ht="14.25">
      <c r="B7" s="225" t="s">
        <v>850</v>
      </c>
      <c r="C7" s="254">
        <v>0.05</v>
      </c>
      <c r="E7" s="237">
        <f>-E6*$C$7</f>
        <v>-39388.200000000004</v>
      </c>
      <c r="F7" s="237"/>
      <c r="G7" s="237">
        <f>-G6*$C$7</f>
        <v>-40372.904999999999</v>
      </c>
      <c r="H7" s="237"/>
      <c r="I7" s="237">
        <f>-I6*$C$7</f>
        <v>-41382.227625</v>
      </c>
      <c r="J7" s="237"/>
      <c r="K7" s="237">
        <f>-K6*$C$7</f>
        <v>-42416.783315624991</v>
      </c>
      <c r="L7" s="237"/>
      <c r="M7" s="237">
        <f>-M6*$C$7</f>
        <v>-43477.202898515614</v>
      </c>
      <c r="N7" s="237"/>
      <c r="O7" s="237">
        <f>-O6*$C$7</f>
        <v>-44564.132970978499</v>
      </c>
      <c r="P7" s="237"/>
      <c r="Q7" s="237">
        <f>-Q6*$C$7</f>
        <v>-45678.236295252951</v>
      </c>
      <c r="R7" s="237"/>
      <c r="S7" s="237">
        <f>-S6*$C$7</f>
        <v>-46820.192202634273</v>
      </c>
      <c r="T7" s="237"/>
      <c r="U7" s="237">
        <f>-U6*$C$7</f>
        <v>-47990.697007700132</v>
      </c>
      <c r="V7" s="237"/>
      <c r="W7" s="237">
        <f>-W6*$C$7</f>
        <v>-49190.464432892622</v>
      </c>
      <c r="X7" s="237"/>
      <c r="Y7" s="237">
        <f>-Y6*$C$7</f>
        <v>-50420.226043714938</v>
      </c>
      <c r="Z7" s="237"/>
      <c r="AA7" s="237">
        <f>-AA6*$C$7</f>
        <v>-51680.731694807801</v>
      </c>
      <c r="AB7" s="237"/>
      <c r="AC7" s="237">
        <f>-AC6*$C$7</f>
        <v>-52972.749987177995</v>
      </c>
      <c r="AD7" s="237"/>
      <c r="AE7" s="237">
        <f>-AE6*$C$7</f>
        <v>-54297.068736857444</v>
      </c>
      <c r="AF7" s="237"/>
      <c r="AG7" s="237">
        <f>-AG6*$C$7</f>
        <v>-55654.495455278877</v>
      </c>
    </row>
    <row r="8" spans="1:34" s="225" customFormat="1" ht="14.25">
      <c r="A8" s="225" t="s">
        <v>289</v>
      </c>
      <c r="C8" s="253">
        <v>1.0249999999999999</v>
      </c>
      <c r="E8" s="238">
        <f>Application!Z817</f>
        <v>5100</v>
      </c>
      <c r="F8" s="238"/>
      <c r="G8" s="238">
        <f>E8*$C$8</f>
        <v>5227.5</v>
      </c>
      <c r="H8" s="238"/>
      <c r="I8" s="238">
        <f>G8*$C$8</f>
        <v>5358.1874999999991</v>
      </c>
      <c r="J8" s="238"/>
      <c r="K8" s="238">
        <f>I8*$C$8</f>
        <v>5492.1421874999987</v>
      </c>
      <c r="L8" s="238"/>
      <c r="M8" s="238">
        <f>K8*$C$8</f>
        <v>5629.4457421874986</v>
      </c>
      <c r="N8" s="238"/>
      <c r="O8" s="238">
        <f>M8*$C$8</f>
        <v>5770.1818857421858</v>
      </c>
      <c r="P8" s="238"/>
      <c r="Q8" s="238">
        <f>O8*$C$8</f>
        <v>5914.43643288574</v>
      </c>
      <c r="R8" s="238"/>
      <c r="S8" s="238">
        <f>Q8*$C$8</f>
        <v>6062.2973437078826</v>
      </c>
      <c r="T8" s="238"/>
      <c r="U8" s="238">
        <f>S8*$C$8</f>
        <v>6213.8547773005794</v>
      </c>
      <c r="V8" s="238"/>
      <c r="W8" s="238">
        <f>U8*$C$8</f>
        <v>6369.2011467330931</v>
      </c>
      <c r="X8" s="238"/>
      <c r="Y8" s="238">
        <f>W8*$C$8</f>
        <v>6528.4311754014198</v>
      </c>
      <c r="Z8" s="238"/>
      <c r="AA8" s="238">
        <f>Y8*$C$8</f>
        <v>6691.6419547864543</v>
      </c>
      <c r="AB8" s="238"/>
      <c r="AC8" s="238">
        <f>AA8*$C$8</f>
        <v>6858.933003656115</v>
      </c>
      <c r="AD8" s="238"/>
      <c r="AE8" s="238">
        <f>AC8*$C$8</f>
        <v>7030.4063287475174</v>
      </c>
      <c r="AF8" s="238"/>
      <c r="AG8" s="238">
        <f>AE8*$C$8</f>
        <v>7206.1664869662045</v>
      </c>
    </row>
    <row r="9" spans="1:34" s="225" customFormat="1" ht="14.25">
      <c r="B9" s="225" t="s">
        <v>850</v>
      </c>
      <c r="C9" s="254">
        <v>0.05</v>
      </c>
      <c r="E9" s="237">
        <f>-E8*$C$9</f>
        <v>-255</v>
      </c>
      <c r="F9" s="237"/>
      <c r="G9" s="237">
        <f>-G8*$C$9</f>
        <v>-261.375</v>
      </c>
      <c r="H9" s="237"/>
      <c r="I9" s="237">
        <f>-I8*$C$9</f>
        <v>-267.90937499999995</v>
      </c>
      <c r="J9" s="237"/>
      <c r="K9" s="237">
        <f>-K8*$C$9</f>
        <v>-274.60710937499994</v>
      </c>
      <c r="L9" s="237"/>
      <c r="M9" s="237">
        <f>-M8*$C$9</f>
        <v>-281.47228710937492</v>
      </c>
      <c r="N9" s="237"/>
      <c r="O9" s="237">
        <f>-O8*$C$9</f>
        <v>-288.50909428710929</v>
      </c>
      <c r="P9" s="237"/>
      <c r="Q9" s="237">
        <f>-Q8*$C$9</f>
        <v>-295.72182164428699</v>
      </c>
      <c r="R9" s="237"/>
      <c r="S9" s="237">
        <f>-S8*$C$9</f>
        <v>-303.11486718539413</v>
      </c>
      <c r="T9" s="237"/>
      <c r="U9" s="237">
        <f>-U8*$C$9</f>
        <v>-310.69273886502901</v>
      </c>
      <c r="V9" s="237"/>
      <c r="W9" s="237">
        <f>-W8*$C$9</f>
        <v>-318.4600573366547</v>
      </c>
      <c r="X9" s="237"/>
      <c r="Y9" s="237">
        <f>-Y8*$C$9</f>
        <v>-326.42155877007099</v>
      </c>
      <c r="Z9" s="237"/>
      <c r="AA9" s="237">
        <f>-AA8*$C$9</f>
        <v>-334.58209773932276</v>
      </c>
      <c r="AB9" s="237"/>
      <c r="AC9" s="237">
        <f>-AC8*$C$9</f>
        <v>-342.9466501828058</v>
      </c>
      <c r="AD9" s="237"/>
      <c r="AE9" s="237">
        <f>-AE8*$C$9</f>
        <v>-351.52031643737587</v>
      </c>
      <c r="AF9" s="237"/>
      <c r="AG9" s="237">
        <f>-AG8*$C$9</f>
        <v>-360.30832434831024</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1018384.8</v>
      </c>
      <c r="G11" s="239">
        <f>SUM(G4:G10)</f>
        <v>1043844.4199999999</v>
      </c>
      <c r="I11" s="239">
        <f>SUM(I4:I10)</f>
        <v>1069940.5304999996</v>
      </c>
      <c r="K11" s="239">
        <f>SUM(K4:K10)</f>
        <v>1096689.0437624995</v>
      </c>
      <c r="M11" s="239">
        <f>SUM(M4:M10)</f>
        <v>1124106.2698565621</v>
      </c>
      <c r="O11" s="239">
        <f>SUM(O4:O10)</f>
        <v>1152208.9266029759</v>
      </c>
      <c r="Q11" s="239">
        <f>SUM(Q4:Q10)</f>
        <v>1181014.1497680501</v>
      </c>
      <c r="S11" s="239">
        <f>SUM(S4:S10)</f>
        <v>1210539.5035122514</v>
      </c>
      <c r="U11" s="239">
        <f>SUM(U4:U10)</f>
        <v>1240802.9911000575</v>
      </c>
      <c r="W11" s="239">
        <f>SUM(W4:W10)</f>
        <v>1271823.0658775589</v>
      </c>
      <c r="Y11" s="239">
        <f>SUM(Y4:Y10)</f>
        <v>1303618.6425244978</v>
      </c>
      <c r="AA11" s="239">
        <f>SUM(AA4:AA10)</f>
        <v>1336209.1085876101</v>
      </c>
      <c r="AC11" s="239">
        <f>SUM(AC4:AC10)</f>
        <v>1369614.3363023002</v>
      </c>
      <c r="AE11" s="239">
        <f>SUM(AE4:AE10)</f>
        <v>1403854.6947098577</v>
      </c>
      <c r="AG11" s="239">
        <f>SUM(AG4:AG10)</f>
        <v>1438951.062077604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30740</v>
      </c>
      <c r="G15" s="235">
        <f>E15*$C$14</f>
        <v>31815.899999999998</v>
      </c>
      <c r="I15" s="235">
        <f>G15*$C$14</f>
        <v>32929.456499999993</v>
      </c>
      <c r="K15" s="235">
        <f>I15*$C$14</f>
        <v>34081.987477499992</v>
      </c>
      <c r="M15" s="235">
        <f>K15*$C$14</f>
        <v>35274.857039212489</v>
      </c>
      <c r="O15" s="235">
        <f>M15*$C$14</f>
        <v>36509.477035584925</v>
      </c>
      <c r="Q15" s="235">
        <f>O15*$C$14</f>
        <v>37787.308731830395</v>
      </c>
      <c r="S15" s="235">
        <f>Q15*$C$14</f>
        <v>39109.864537444453</v>
      </c>
      <c r="U15" s="235">
        <f>S15*$C$14</f>
        <v>40478.709796255003</v>
      </c>
      <c r="W15" s="235">
        <f>U15*$C$14</f>
        <v>41895.464639123922</v>
      </c>
      <c r="Y15" s="235">
        <f>W15*$C$14</f>
        <v>43361.805901493259</v>
      </c>
      <c r="AA15" s="235">
        <f>Y15*$C$14</f>
        <v>44879.469108045516</v>
      </c>
      <c r="AC15" s="235">
        <f>AA15*$C$14</f>
        <v>46450.250526827105</v>
      </c>
      <c r="AE15" s="235">
        <f>AC15*$C$14</f>
        <v>48076.009295266049</v>
      </c>
      <c r="AG15" s="235">
        <f>AE15*$C$14</f>
        <v>49758.669620600354</v>
      </c>
    </row>
    <row r="16" spans="1:34" s="225" customFormat="1" ht="14.25">
      <c r="A16" s="225" t="s">
        <v>345</v>
      </c>
      <c r="C16" s="249"/>
      <c r="E16" s="238">
        <f>Application!W849</f>
        <v>47271</v>
      </c>
      <c r="F16" s="238"/>
      <c r="G16" s="238">
        <f t="shared" ref="G16:AG21" si="0">E16*$C$14</f>
        <v>48925.484999999993</v>
      </c>
      <c r="H16" s="238"/>
      <c r="I16" s="238">
        <f t="shared" si="0"/>
        <v>50637.876974999992</v>
      </c>
      <c r="J16" s="238"/>
      <c r="K16" s="238">
        <f t="shared" si="0"/>
        <v>52410.202669124985</v>
      </c>
      <c r="L16" s="238"/>
      <c r="M16" s="238">
        <f t="shared" si="0"/>
        <v>54244.559762544355</v>
      </c>
      <c r="N16" s="238"/>
      <c r="O16" s="238">
        <f t="shared" si="0"/>
        <v>56143.1193542334</v>
      </c>
      <c r="P16" s="238"/>
      <c r="Q16" s="238">
        <f t="shared" si="0"/>
        <v>58108.128531631563</v>
      </c>
      <c r="R16" s="238"/>
      <c r="S16" s="238">
        <f t="shared" si="0"/>
        <v>60141.913030238662</v>
      </c>
      <c r="T16" s="238"/>
      <c r="U16" s="238">
        <f t="shared" si="0"/>
        <v>62246.879986297012</v>
      </c>
      <c r="V16" s="238"/>
      <c r="W16" s="238">
        <f t="shared" si="0"/>
        <v>64425.520785817404</v>
      </c>
      <c r="X16" s="238"/>
      <c r="Y16" s="238">
        <f t="shared" si="0"/>
        <v>66680.414013321002</v>
      </c>
      <c r="Z16" s="238"/>
      <c r="AA16" s="238">
        <f t="shared" si="0"/>
        <v>69014.228503787235</v>
      </c>
      <c r="AB16" s="238"/>
      <c r="AC16" s="238">
        <f t="shared" si="0"/>
        <v>71429.726501419776</v>
      </c>
      <c r="AD16" s="238"/>
      <c r="AE16" s="238">
        <f t="shared" si="0"/>
        <v>73929.76692896946</v>
      </c>
      <c r="AF16" s="238"/>
      <c r="AG16" s="238">
        <f t="shared" si="0"/>
        <v>76517.308771483382</v>
      </c>
    </row>
    <row r="17" spans="1:33" s="225" customFormat="1" ht="14.25">
      <c r="A17" s="225" t="s">
        <v>570</v>
      </c>
      <c r="C17" s="249"/>
      <c r="E17" s="238">
        <f>Application!W855</f>
        <v>54000</v>
      </c>
      <c r="F17" s="238"/>
      <c r="G17" s="238">
        <f t="shared" si="0"/>
        <v>55889.999999999993</v>
      </c>
      <c r="H17" s="238"/>
      <c r="I17" s="238">
        <f t="shared" si="0"/>
        <v>57846.149999999987</v>
      </c>
      <c r="J17" s="238"/>
      <c r="K17" s="238">
        <f t="shared" si="0"/>
        <v>59870.765249999982</v>
      </c>
      <c r="L17" s="238"/>
      <c r="M17" s="238">
        <f t="shared" si="0"/>
        <v>61966.242033749979</v>
      </c>
      <c r="N17" s="238"/>
      <c r="O17" s="238">
        <f t="shared" si="0"/>
        <v>64135.060504931222</v>
      </c>
      <c r="P17" s="238"/>
      <c r="Q17" s="238">
        <f t="shared" si="0"/>
        <v>66379.787622603806</v>
      </c>
      <c r="R17" s="238"/>
      <c r="S17" s="238">
        <f t="shared" si="0"/>
        <v>68703.080189394939</v>
      </c>
      <c r="T17" s="238"/>
      <c r="U17" s="238">
        <f t="shared" si="0"/>
        <v>71107.687996023757</v>
      </c>
      <c r="V17" s="238"/>
      <c r="W17" s="238">
        <f t="shared" si="0"/>
        <v>73596.45707588458</v>
      </c>
      <c r="X17" s="238"/>
      <c r="Y17" s="238">
        <f t="shared" si="0"/>
        <v>76172.333073540532</v>
      </c>
      <c r="Z17" s="238"/>
      <c r="AA17" s="238">
        <f t="shared" si="0"/>
        <v>78838.364731114445</v>
      </c>
      <c r="AB17" s="238"/>
      <c r="AC17" s="238">
        <f t="shared" si="0"/>
        <v>81597.707496703442</v>
      </c>
      <c r="AD17" s="238"/>
      <c r="AE17" s="238">
        <f t="shared" si="0"/>
        <v>84453.627259088054</v>
      </c>
      <c r="AF17" s="238"/>
      <c r="AG17" s="238">
        <f t="shared" si="0"/>
        <v>87409.504213156135</v>
      </c>
    </row>
    <row r="18" spans="1:33" s="225" customFormat="1" ht="14.25">
      <c r="A18" s="225" t="s">
        <v>854</v>
      </c>
      <c r="C18" s="249"/>
      <c r="E18" s="238">
        <f>Application!W862</f>
        <v>175655</v>
      </c>
      <c r="F18" s="238"/>
      <c r="G18" s="238">
        <f t="shared" si="0"/>
        <v>181802.92499999999</v>
      </c>
      <c r="H18" s="238"/>
      <c r="I18" s="238">
        <f t="shared" si="0"/>
        <v>188166.02737499998</v>
      </c>
      <c r="J18" s="238"/>
      <c r="K18" s="238">
        <f t="shared" si="0"/>
        <v>194751.83833312496</v>
      </c>
      <c r="L18" s="238"/>
      <c r="M18" s="238">
        <f t="shared" si="0"/>
        <v>201568.15267478433</v>
      </c>
      <c r="N18" s="238"/>
      <c r="O18" s="238">
        <f t="shared" si="0"/>
        <v>208623.03801840177</v>
      </c>
      <c r="P18" s="238"/>
      <c r="Q18" s="238">
        <f t="shared" si="0"/>
        <v>215924.8443490458</v>
      </c>
      <c r="R18" s="238"/>
      <c r="S18" s="238">
        <f t="shared" si="0"/>
        <v>223482.21390126238</v>
      </c>
      <c r="T18" s="238"/>
      <c r="U18" s="238">
        <f t="shared" si="0"/>
        <v>231304.09138780655</v>
      </c>
      <c r="V18" s="238"/>
      <c r="W18" s="238">
        <f t="shared" si="0"/>
        <v>239399.73458637975</v>
      </c>
      <c r="X18" s="238"/>
      <c r="Y18" s="238">
        <f t="shared" si="0"/>
        <v>247778.72529690302</v>
      </c>
      <c r="Z18" s="238"/>
      <c r="AA18" s="238">
        <f t="shared" si="0"/>
        <v>256450.98068229461</v>
      </c>
      <c r="AB18" s="238"/>
      <c r="AC18" s="238">
        <f t="shared" si="0"/>
        <v>265426.76500617492</v>
      </c>
      <c r="AD18" s="238"/>
      <c r="AE18" s="238">
        <f t="shared" si="0"/>
        <v>274716.70178139099</v>
      </c>
      <c r="AF18" s="238"/>
      <c r="AG18" s="238">
        <f t="shared" si="0"/>
        <v>284331.78634373966</v>
      </c>
    </row>
    <row r="19" spans="1:33" s="225" customFormat="1" ht="14.25">
      <c r="A19" s="225" t="s">
        <v>155</v>
      </c>
      <c r="C19" s="249"/>
      <c r="E19" s="238">
        <f>Application!W863</f>
        <v>10000</v>
      </c>
      <c r="F19" s="238"/>
      <c r="G19" s="238">
        <f t="shared" si="0"/>
        <v>10350</v>
      </c>
      <c r="H19" s="238"/>
      <c r="I19" s="238">
        <f t="shared" si="0"/>
        <v>10712.25</v>
      </c>
      <c r="J19" s="238"/>
      <c r="K19" s="238">
        <f t="shared" si="0"/>
        <v>11087.178749999999</v>
      </c>
      <c r="L19" s="238"/>
      <c r="M19" s="238">
        <f t="shared" si="0"/>
        <v>11475.230006249998</v>
      </c>
      <c r="N19" s="238"/>
      <c r="O19" s="238">
        <f t="shared" si="0"/>
        <v>11876.863056468746</v>
      </c>
      <c r="P19" s="238"/>
      <c r="Q19" s="238">
        <f t="shared" si="0"/>
        <v>12292.553263445152</v>
      </c>
      <c r="R19" s="238"/>
      <c r="S19" s="238">
        <f t="shared" si="0"/>
        <v>12722.792627665731</v>
      </c>
      <c r="T19" s="238"/>
      <c r="U19" s="238">
        <f t="shared" si="0"/>
        <v>13168.09036963403</v>
      </c>
      <c r="V19" s="238"/>
      <c r="W19" s="238">
        <f t="shared" si="0"/>
        <v>13628.973532571221</v>
      </c>
      <c r="X19" s="238"/>
      <c r="Y19" s="238">
        <f t="shared" si="0"/>
        <v>14105.987606211213</v>
      </c>
      <c r="Z19" s="238"/>
      <c r="AA19" s="238">
        <f t="shared" si="0"/>
        <v>14599.697172428603</v>
      </c>
      <c r="AB19" s="238"/>
      <c r="AC19" s="238">
        <f t="shared" si="0"/>
        <v>15110.686573463603</v>
      </c>
      <c r="AD19" s="238"/>
      <c r="AE19" s="238">
        <f t="shared" si="0"/>
        <v>15639.560603534828</v>
      </c>
      <c r="AF19" s="238"/>
      <c r="AG19" s="238">
        <f t="shared" si="0"/>
        <v>16186.945224658546</v>
      </c>
    </row>
    <row r="20" spans="1:33" s="225" customFormat="1" ht="14.25">
      <c r="A20" s="225" t="s">
        <v>391</v>
      </c>
      <c r="C20" s="249"/>
      <c r="E20" s="238">
        <f>Application!W872</f>
        <v>109575</v>
      </c>
      <c r="F20" s="238"/>
      <c r="G20" s="238">
        <f t="shared" si="0"/>
        <v>113410.12499999999</v>
      </c>
      <c r="H20" s="238"/>
      <c r="I20" s="238">
        <f t="shared" si="0"/>
        <v>117379.47937499998</v>
      </c>
      <c r="J20" s="238"/>
      <c r="K20" s="238">
        <f t="shared" si="0"/>
        <v>121487.76115312497</v>
      </c>
      <c r="L20" s="238"/>
      <c r="M20" s="238">
        <f t="shared" si="0"/>
        <v>125739.83279348434</v>
      </c>
      <c r="N20" s="238"/>
      <c r="O20" s="238">
        <f t="shared" si="0"/>
        <v>130140.72694125629</v>
      </c>
      <c r="P20" s="238"/>
      <c r="Q20" s="238">
        <f t="shared" si="0"/>
        <v>134695.65238420025</v>
      </c>
      <c r="R20" s="238"/>
      <c r="S20" s="238">
        <f t="shared" si="0"/>
        <v>139410.00021764723</v>
      </c>
      <c r="T20" s="238"/>
      <c r="U20" s="238">
        <f t="shared" si="0"/>
        <v>144289.35022526488</v>
      </c>
      <c r="V20" s="238"/>
      <c r="W20" s="238">
        <f t="shared" si="0"/>
        <v>149339.47748314912</v>
      </c>
      <c r="X20" s="238"/>
      <c r="Y20" s="238">
        <f t="shared" si="0"/>
        <v>154566.35919505934</v>
      </c>
      <c r="Z20" s="238"/>
      <c r="AA20" s="238">
        <f t="shared" si="0"/>
        <v>159976.18176688641</v>
      </c>
      <c r="AB20" s="238"/>
      <c r="AC20" s="238">
        <f t="shared" si="0"/>
        <v>165575.34812872743</v>
      </c>
      <c r="AD20" s="238"/>
      <c r="AE20" s="238">
        <f t="shared" si="0"/>
        <v>171370.48531323287</v>
      </c>
      <c r="AF20" s="238"/>
      <c r="AG20" s="238">
        <f t="shared" si="0"/>
        <v>177368.45229919601</v>
      </c>
    </row>
    <row r="21" spans="1:33" s="225" customFormat="1" ht="14.25">
      <c r="A21" s="242" t="s">
        <v>982</v>
      </c>
      <c r="B21" s="242"/>
      <c r="C21" s="249"/>
      <c r="E21" s="248">
        <f>Application!W879</f>
        <v>21000</v>
      </c>
      <c r="F21" s="238"/>
      <c r="G21" s="248">
        <f t="shared" si="0"/>
        <v>21735</v>
      </c>
      <c r="H21" s="238"/>
      <c r="I21" s="248">
        <f t="shared" si="0"/>
        <v>22495.724999999999</v>
      </c>
      <c r="J21" s="238"/>
      <c r="K21" s="248">
        <f t="shared" si="0"/>
        <v>23283.075374999997</v>
      </c>
      <c r="L21" s="238"/>
      <c r="M21" s="248">
        <f t="shared" si="0"/>
        <v>24097.983013124995</v>
      </c>
      <c r="N21" s="238"/>
      <c r="O21" s="248">
        <f t="shared" si="0"/>
        <v>24941.412418584368</v>
      </c>
      <c r="P21" s="238"/>
      <c r="Q21" s="248">
        <f t="shared" si="0"/>
        <v>25814.361853234819</v>
      </c>
      <c r="R21" s="238"/>
      <c r="S21" s="248">
        <f t="shared" si="0"/>
        <v>26717.864518098035</v>
      </c>
      <c r="T21" s="238"/>
      <c r="U21" s="248">
        <f t="shared" si="0"/>
        <v>27652.989776231465</v>
      </c>
      <c r="V21" s="238"/>
      <c r="W21" s="248">
        <f t="shared" si="0"/>
        <v>28620.844418399563</v>
      </c>
      <c r="X21" s="238"/>
      <c r="Y21" s="248">
        <f t="shared" si="0"/>
        <v>29622.573973043545</v>
      </c>
      <c r="Z21" s="238"/>
      <c r="AA21" s="248">
        <f t="shared" si="0"/>
        <v>30659.364062100067</v>
      </c>
      <c r="AB21" s="238"/>
      <c r="AC21" s="248">
        <f t="shared" si="0"/>
        <v>31732.441804273567</v>
      </c>
      <c r="AD21" s="238"/>
      <c r="AE21" s="248">
        <f t="shared" si="0"/>
        <v>32843.077267423141</v>
      </c>
      <c r="AF21" s="238"/>
      <c r="AG21" s="248">
        <f t="shared" si="0"/>
        <v>33992.584971782948</v>
      </c>
    </row>
    <row r="22" spans="1:33" s="239" customFormat="1" ht="15">
      <c r="A22" s="239" t="s">
        <v>855</v>
      </c>
      <c r="C22" s="185"/>
      <c r="E22" s="239">
        <f>SUM(E15:E21)</f>
        <v>448241</v>
      </c>
      <c r="G22" s="239">
        <f>SUM(G15:G21)</f>
        <v>463929.43499999994</v>
      </c>
      <c r="I22" s="239">
        <f>SUM(I15:I21)</f>
        <v>480166.96522499993</v>
      </c>
      <c r="K22" s="239">
        <f>SUM(K15:K21)</f>
        <v>496972.80900787498</v>
      </c>
      <c r="M22" s="239">
        <f>SUM(M15:M21)</f>
        <v>514366.8573231505</v>
      </c>
      <c r="O22" s="239">
        <f>SUM(O15:O21)</f>
        <v>532369.69732946064</v>
      </c>
      <c r="Q22" s="239">
        <f>SUM(Q15:Q21)</f>
        <v>551002.63673599181</v>
      </c>
      <c r="S22" s="239">
        <f>SUM(S15:S21)</f>
        <v>570287.72902175144</v>
      </c>
      <c r="U22" s="239">
        <f>SUM(U15:U21)</f>
        <v>590247.79953751271</v>
      </c>
      <c r="W22" s="239">
        <f>SUM(W15:W21)</f>
        <v>610906.47252132569</v>
      </c>
      <c r="Y22" s="239">
        <f>SUM(Y15:Y21)</f>
        <v>632288.19905957195</v>
      </c>
      <c r="AA22" s="239">
        <f>SUM(AA15:AA21)</f>
        <v>654418.28602665686</v>
      </c>
      <c r="AC22" s="239">
        <f>SUM(AC15:AC21)</f>
        <v>677322.92603758979</v>
      </c>
      <c r="AE22" s="239">
        <f>SUM(AE15:AE21)</f>
        <v>701029.2284489054</v>
      </c>
      <c r="AG22" s="239">
        <f>SUM(AG15:AG21)</f>
        <v>725565.25144461705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110000</v>
      </c>
      <c r="F27" s="238"/>
      <c r="G27" s="238">
        <f>E27*$C$27</f>
        <v>113849.99999999999</v>
      </c>
      <c r="H27" s="238"/>
      <c r="I27" s="238">
        <f>G27*$C$27</f>
        <v>117834.74999999997</v>
      </c>
      <c r="J27" s="238"/>
      <c r="K27" s="238">
        <f>I27*$C$27</f>
        <v>121958.96624999995</v>
      </c>
      <c r="L27" s="238"/>
      <c r="M27" s="238">
        <f>K27*$C$27</f>
        <v>126227.53006874994</v>
      </c>
      <c r="N27" s="238"/>
      <c r="O27" s="238">
        <f>M27*$C$27</f>
        <v>130645.49362115617</v>
      </c>
      <c r="P27" s="238"/>
      <c r="Q27" s="238">
        <f>O27*$C$27</f>
        <v>135218.08589789664</v>
      </c>
      <c r="R27" s="238"/>
      <c r="S27" s="238">
        <f>Q27*$C$27</f>
        <v>139950.718904323</v>
      </c>
      <c r="T27" s="238"/>
      <c r="U27" s="238">
        <f>S27*$C$27</f>
        <v>144848.99406597429</v>
      </c>
      <c r="V27" s="238"/>
      <c r="W27" s="238">
        <f>U27*$C$27</f>
        <v>149918.70885828338</v>
      </c>
      <c r="X27" s="238"/>
      <c r="Y27" s="238">
        <f>W27*$C$27</f>
        <v>155165.86366832329</v>
      </c>
      <c r="Z27" s="238"/>
      <c r="AA27" s="238">
        <f>Y27*$C$27</f>
        <v>160596.6688967146</v>
      </c>
      <c r="AB27" s="238"/>
      <c r="AC27" s="238">
        <f>AA27*$C$27</f>
        <v>166217.55230809961</v>
      </c>
      <c r="AD27" s="238"/>
      <c r="AE27" s="238">
        <f>AC27*$C$27</f>
        <v>172035.16663888309</v>
      </c>
      <c r="AF27" s="238"/>
      <c r="AG27" s="238">
        <f>AE27*$C$27</f>
        <v>178056.39747124398</v>
      </c>
    </row>
    <row r="28" spans="1:33" s="225" customFormat="1" ht="14.25">
      <c r="A28" s="225" t="s">
        <v>858</v>
      </c>
      <c r="C28" s="253"/>
      <c r="E28" s="238">
        <f>Application!AC889</f>
        <v>17500</v>
      </c>
      <c r="F28" s="238"/>
      <c r="G28" s="238">
        <f>$E$28</f>
        <v>17500</v>
      </c>
      <c r="H28" s="238"/>
      <c r="I28" s="238">
        <f>$E$28</f>
        <v>17500</v>
      </c>
      <c r="J28" s="238"/>
      <c r="K28" s="238">
        <f>$E$28</f>
        <v>17500</v>
      </c>
      <c r="L28" s="238"/>
      <c r="M28" s="238">
        <f>$E$28</f>
        <v>17500</v>
      </c>
      <c r="N28" s="238"/>
      <c r="O28" s="238">
        <f>$E$28</f>
        <v>17500</v>
      </c>
      <c r="P28" s="238"/>
      <c r="Q28" s="238">
        <f>$E$28</f>
        <v>17500</v>
      </c>
      <c r="R28" s="238"/>
      <c r="S28" s="238">
        <f>$E$28</f>
        <v>17500</v>
      </c>
      <c r="T28" s="238"/>
      <c r="U28" s="238">
        <f>$E$28</f>
        <v>17500</v>
      </c>
      <c r="V28" s="238"/>
      <c r="W28" s="238">
        <f>$E$28</f>
        <v>17500</v>
      </c>
      <c r="X28" s="238"/>
      <c r="Y28" s="238">
        <f>$E$28</f>
        <v>17500</v>
      </c>
      <c r="Z28" s="238"/>
      <c r="AA28" s="238">
        <f>$E$28</f>
        <v>17500</v>
      </c>
      <c r="AB28" s="238"/>
      <c r="AC28" s="238">
        <f>$E$28</f>
        <v>17500</v>
      </c>
      <c r="AD28" s="238"/>
      <c r="AE28" s="238">
        <f>$E$28</f>
        <v>17500</v>
      </c>
      <c r="AF28" s="238"/>
      <c r="AG28" s="238">
        <f>$E$28</f>
        <v>17500</v>
      </c>
    </row>
    <row r="29" spans="1:33" s="225" customFormat="1" ht="14.25">
      <c r="A29" s="225" t="s">
        <v>1870</v>
      </c>
      <c r="C29" s="253"/>
      <c r="E29" s="238">
        <f>Application!AC890</f>
        <v>20257</v>
      </c>
      <c r="F29" s="238"/>
      <c r="G29" s="238">
        <f>$E$29</f>
        <v>20257</v>
      </c>
      <c r="H29" s="238"/>
      <c r="I29" s="238">
        <f>$E$29</f>
        <v>20257</v>
      </c>
      <c r="J29" s="238"/>
      <c r="K29" s="238">
        <f>$E$29</f>
        <v>20257</v>
      </c>
      <c r="L29" s="238"/>
      <c r="M29" s="238">
        <f>$E$29</f>
        <v>20257</v>
      </c>
      <c r="N29" s="238"/>
      <c r="O29" s="238">
        <f>$E$29</f>
        <v>20257</v>
      </c>
      <c r="P29" s="238"/>
      <c r="Q29" s="238">
        <f>$E$29</f>
        <v>20257</v>
      </c>
      <c r="R29" s="238"/>
      <c r="S29" s="238">
        <f>$E$29</f>
        <v>20257</v>
      </c>
      <c r="T29" s="238"/>
      <c r="U29" s="238">
        <f>$E$29</f>
        <v>20257</v>
      </c>
      <c r="V29" s="238"/>
      <c r="W29" s="238">
        <f>$E$29</f>
        <v>20257</v>
      </c>
      <c r="X29" s="238"/>
      <c r="Y29" s="238">
        <f>$E$29</f>
        <v>20257</v>
      </c>
      <c r="Z29" s="238"/>
      <c r="AA29" s="238">
        <f>$E$29</f>
        <v>20257</v>
      </c>
      <c r="AB29" s="238"/>
      <c r="AC29" s="238">
        <f>$E$29</f>
        <v>20257</v>
      </c>
      <c r="AD29" s="238"/>
      <c r="AE29" s="238">
        <f>$E$29</f>
        <v>20257</v>
      </c>
      <c r="AF29" s="238"/>
      <c r="AG29" s="238">
        <f>$E$29</f>
        <v>20257</v>
      </c>
    </row>
    <row r="30" spans="1:33" s="225" customFormat="1" ht="14.25">
      <c r="A30" s="225" t="s">
        <v>856</v>
      </c>
      <c r="C30" s="253">
        <v>1.02</v>
      </c>
      <c r="E30" s="238">
        <f>Application!AC891</f>
        <v>5250</v>
      </c>
      <c r="F30" s="238"/>
      <c r="G30" s="238">
        <f>E30*$C$30</f>
        <v>5355</v>
      </c>
      <c r="H30" s="238"/>
      <c r="I30" s="238">
        <f>G30*$C$30</f>
        <v>5462.1</v>
      </c>
      <c r="J30" s="238"/>
      <c r="K30" s="238">
        <f>I30*$C$30</f>
        <v>5571.3420000000006</v>
      </c>
      <c r="L30" s="238"/>
      <c r="M30" s="238">
        <f>K30*$C$30</f>
        <v>5682.7688400000006</v>
      </c>
      <c r="N30" s="238"/>
      <c r="O30" s="238">
        <f>M30*$C$30</f>
        <v>5796.424216800001</v>
      </c>
      <c r="P30" s="238"/>
      <c r="Q30" s="238">
        <f>O30*$C$30</f>
        <v>5912.3527011360011</v>
      </c>
      <c r="R30" s="238"/>
      <c r="S30" s="238">
        <f>Q30*$C$30</f>
        <v>6030.5997551587216</v>
      </c>
      <c r="T30" s="238"/>
      <c r="U30" s="238">
        <f>S30*$C$30</f>
        <v>6151.2117502618958</v>
      </c>
      <c r="V30" s="238"/>
      <c r="W30" s="238">
        <f>U30*$C$30</f>
        <v>6274.2359852671334</v>
      </c>
      <c r="X30" s="238"/>
      <c r="Y30" s="238">
        <f>W30*$C$30</f>
        <v>6399.7207049724766</v>
      </c>
      <c r="Z30" s="238"/>
      <c r="AA30" s="238">
        <f>Y30*$C$30</f>
        <v>6527.715119071926</v>
      </c>
      <c r="AB30" s="238"/>
      <c r="AC30" s="238">
        <f>AA30*$C$30</f>
        <v>6658.2694214533649</v>
      </c>
      <c r="AD30" s="238"/>
      <c r="AE30" s="238">
        <f>AC30*$C$30</f>
        <v>6791.4348098824321</v>
      </c>
      <c r="AF30" s="238"/>
      <c r="AG30" s="238">
        <f>AE30*$C$30</f>
        <v>6927.2635060800812</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601248</v>
      </c>
      <c r="G35" s="239">
        <f>SUM(G22:G33)</f>
        <v>620891.43499999994</v>
      </c>
      <c r="I35" s="239">
        <f>SUM(I22:I33)</f>
        <v>641220.81522499991</v>
      </c>
      <c r="K35" s="239">
        <f>SUM(K22:K33)</f>
        <v>662260.11725787492</v>
      </c>
      <c r="M35" s="239">
        <f>SUM(M22:M33)</f>
        <v>684034.15623190044</v>
      </c>
      <c r="O35" s="239">
        <f>SUM(O22:O33)</f>
        <v>706568.61516741687</v>
      </c>
      <c r="Q35" s="239">
        <f>SUM(Q22:Q33)</f>
        <v>729890.07533502451</v>
      </c>
      <c r="S35" s="239">
        <f>SUM(S22:S33)</f>
        <v>754026.04768123326</v>
      </c>
      <c r="U35" s="239">
        <f>SUM(U22:U33)</f>
        <v>779005.00535374891</v>
      </c>
      <c r="W35" s="239">
        <f>SUM(W22:W33)</f>
        <v>804856.41736487614</v>
      </c>
      <c r="Y35" s="239">
        <f>SUM(Y22:Y33)</f>
        <v>831610.78343286773</v>
      </c>
      <c r="AA35" s="239">
        <f>SUM(AA22:AA33)</f>
        <v>859299.67004244332</v>
      </c>
      <c r="AC35" s="239">
        <f>SUM(AC22:AC33)</f>
        <v>887955.74776714272</v>
      </c>
      <c r="AE35" s="239">
        <f>SUM(AE22:AE33)</f>
        <v>917612.82989767089</v>
      </c>
      <c r="AG35" s="239">
        <f>SUM(AG22:AG33)</f>
        <v>948305.91242194106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417136.80000000005</v>
      </c>
      <c r="G37" s="239">
        <f>G11-G35</f>
        <v>422952.98499999999</v>
      </c>
      <c r="I37" s="239">
        <f>I11-I35</f>
        <v>428719.71527499973</v>
      </c>
      <c r="K37" s="239">
        <f>K11-K35</f>
        <v>434428.92650462454</v>
      </c>
      <c r="M37" s="239">
        <f>M11-M35</f>
        <v>440072.1136246617</v>
      </c>
      <c r="O37" s="239">
        <f>O11-O35</f>
        <v>445640.31143555907</v>
      </c>
      <c r="Q37" s="239">
        <f>Q11-Q35</f>
        <v>451124.07443302555</v>
      </c>
      <c r="S37" s="239">
        <f>S11-S35</f>
        <v>456513.45583101816</v>
      </c>
      <c r="U37" s="239">
        <f>U11-U35</f>
        <v>461797.98574630858</v>
      </c>
      <c r="W37" s="239">
        <f>W11-W35</f>
        <v>466966.64851268276</v>
      </c>
      <c r="Y37" s="239">
        <f>Y11-Y35</f>
        <v>472007.85909163009</v>
      </c>
      <c r="AA37" s="239">
        <f>AA11-AA35</f>
        <v>476909.43854516675</v>
      </c>
      <c r="AC37" s="239">
        <f>AC11-AC35</f>
        <v>481658.5885351575</v>
      </c>
      <c r="AE37" s="239">
        <f>AE11-AE35</f>
        <v>486241.8648121868</v>
      </c>
      <c r="AG37" s="239">
        <f>AG11-AG35</f>
        <v>490645.14965566294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Banc of California</v>
      </c>
      <c r="B40" s="242"/>
      <c r="C40" s="236"/>
      <c r="E40" s="238">
        <f>Application!AF627</f>
        <v>362728</v>
      </c>
      <c r="F40" s="238"/>
      <c r="G40" s="238">
        <f>$E$40</f>
        <v>362728</v>
      </c>
      <c r="H40" s="238"/>
      <c r="I40" s="238">
        <f>$E$40</f>
        <v>362728</v>
      </c>
      <c r="J40" s="238"/>
      <c r="K40" s="238">
        <f>$E$40</f>
        <v>362728</v>
      </c>
      <c r="L40" s="238"/>
      <c r="M40" s="238">
        <f>$E$40</f>
        <v>362728</v>
      </c>
      <c r="N40" s="238"/>
      <c r="O40" s="238">
        <f>$E$40</f>
        <v>362728</v>
      </c>
      <c r="P40" s="238"/>
      <c r="Q40" s="238">
        <f>$E$40</f>
        <v>362728</v>
      </c>
      <c r="R40" s="238"/>
      <c r="S40" s="238">
        <f>$E$40</f>
        <v>362728</v>
      </c>
      <c r="T40" s="238"/>
      <c r="U40" s="238">
        <f>$E$40</f>
        <v>362728</v>
      </c>
      <c r="V40" s="238"/>
      <c r="W40" s="238">
        <f>$E$40</f>
        <v>362728</v>
      </c>
      <c r="X40" s="238"/>
      <c r="Y40" s="238">
        <f>$E$40</f>
        <v>362728</v>
      </c>
      <c r="Z40" s="238"/>
      <c r="AA40" s="238">
        <f>$E$40</f>
        <v>362728</v>
      </c>
      <c r="AB40" s="238"/>
      <c r="AC40" s="238">
        <f>$E$40</f>
        <v>362728</v>
      </c>
      <c r="AD40" s="238"/>
      <c r="AE40" s="238">
        <f>$E$40</f>
        <v>362728</v>
      </c>
      <c r="AF40" s="238"/>
      <c r="AG40" s="238">
        <f>$E$40</f>
        <v>362728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362728</v>
      </c>
      <c r="G43" s="239">
        <f>SUM(G40:G42)</f>
        <v>362728</v>
      </c>
      <c r="I43" s="239">
        <f>SUM(I40:I42)</f>
        <v>362728</v>
      </c>
      <c r="K43" s="239">
        <f>SUM(K40:K42)</f>
        <v>362728</v>
      </c>
      <c r="M43" s="239">
        <f>SUM(M40:M42)</f>
        <v>362728</v>
      </c>
      <c r="O43" s="239">
        <f>SUM(O40:O42)</f>
        <v>362728</v>
      </c>
      <c r="Q43" s="239">
        <f>SUM(Q40:Q42)</f>
        <v>362728</v>
      </c>
      <c r="S43" s="239">
        <f>SUM(S40:S42)</f>
        <v>362728</v>
      </c>
      <c r="U43" s="239">
        <f>SUM(U40:U42)</f>
        <v>362728</v>
      </c>
      <c r="W43" s="239">
        <f>SUM(W40:W42)</f>
        <v>362728</v>
      </c>
      <c r="Y43" s="239">
        <f>SUM(Y40:Y42)</f>
        <v>362728</v>
      </c>
      <c r="AA43" s="239">
        <f>SUM(AA40:AA42)</f>
        <v>362728</v>
      </c>
      <c r="AC43" s="239">
        <f>SUM(AC40:AC42)</f>
        <v>362728</v>
      </c>
      <c r="AE43" s="239">
        <f>SUM(AE40:AE42)</f>
        <v>362728</v>
      </c>
      <c r="AG43" s="239">
        <f>SUM(AG40:AG42)</f>
        <v>362728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54408.800000000047</v>
      </c>
      <c r="G45" s="239">
        <f>G37-G43</f>
        <v>60224.984999999986</v>
      </c>
      <c r="I45" s="239">
        <f>I37-I43</f>
        <v>65991.715274999733</v>
      </c>
      <c r="K45" s="239">
        <f>K37-K43</f>
        <v>71700.926504624542</v>
      </c>
      <c r="M45" s="239">
        <f>M37-M43</f>
        <v>77344.113624661695</v>
      </c>
      <c r="O45" s="239">
        <f>O37-O43</f>
        <v>82912.311435559066</v>
      </c>
      <c r="Q45" s="239">
        <f>Q37-Q43</f>
        <v>88396.074433025555</v>
      </c>
      <c r="S45" s="239">
        <f>S37-S43</f>
        <v>93785.45583101816</v>
      </c>
      <c r="U45" s="239">
        <f>U37-U43</f>
        <v>99069.985746308579</v>
      </c>
      <c r="W45" s="239">
        <f>W37-W43</f>
        <v>104238.64851268276</v>
      </c>
      <c r="Y45" s="239">
        <f>Y37-Y43</f>
        <v>109279.85909163009</v>
      </c>
      <c r="AA45" s="239">
        <f>AA37-AA43</f>
        <v>114181.43854516675</v>
      </c>
      <c r="AC45" s="239">
        <f>AC37-AC43</f>
        <v>118930.5885351575</v>
      </c>
      <c r="AE45" s="239">
        <f>AE37-AE43</f>
        <v>123513.8648121868</v>
      </c>
      <c r="AG45" s="239">
        <f>AG37-AG43</f>
        <v>127917.14965566294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5.075523515276352E-2</v>
      </c>
      <c r="G47" s="243">
        <f>G45/(G4+G6+G8)</f>
        <v>5.481059691826487E-2</v>
      </c>
      <c r="I47" s="243">
        <f>I45/(I4+I6+I8)</f>
        <v>5.8594031840211468E-2</v>
      </c>
      <c r="K47" s="243">
        <f>K45/(K4+K6+K8)</f>
        <v>6.2110477502084524E-2</v>
      </c>
      <c r="M47" s="243">
        <f>M45/(M4+M6+M8)</f>
        <v>6.5364734557351395E-2</v>
      </c>
      <c r="O47" s="243">
        <f>O45/(O4+O6+O8)</f>
        <v>6.8361469908071848E-2</v>
      </c>
      <c r="Q47" s="243">
        <f>Q45/(Q4+Q6+Q8)</f>
        <v>7.110521980440887E-2</v>
      </c>
      <c r="S47" s="243">
        <f>S45/(S4+S6+S8)</f>
        <v>7.3600392866952441E-2</v>
      </c>
      <c r="U47" s="243">
        <f>U45/(U4+U6+U8)</f>
        <v>7.585127303372502E-2</v>
      </c>
      <c r="W47" s="243">
        <f>W45/(W4+W6+W8)</f>
        <v>7.78620224336945E-2</v>
      </c>
      <c r="Y47" s="243">
        <f>Y45/(Y4+Y6+Y8)</f>
        <v>7.9636684188564483E-2</v>
      </c>
      <c r="AA47" s="243">
        <f>AA45/(AA4+AA6+AA8)</f>
        <v>8.117918514458046E-2</v>
      </c>
      <c r="AC47" s="243">
        <f>AC45/(AC4+AC6+AC8)</f>
        <v>8.249333853604017E-2</v>
      </c>
      <c r="AE47" s="243">
        <f>AE45/(AE4+AE6+AE8)</f>
        <v>8.3582846582158823E-2</v>
      </c>
      <c r="AG47" s="243">
        <f>AG45/(AG4+AG6+AG8)</f>
        <v>8.4451303018897264E-2</v>
      </c>
    </row>
    <row r="48" spans="1:33" s="243" customFormat="1" ht="14.25">
      <c r="A48" s="243" t="s">
        <v>864</v>
      </c>
      <c r="C48" s="236"/>
      <c r="E48" s="243">
        <f>E45/E43</f>
        <v>0.14999889724531892</v>
      </c>
      <c r="G48" s="243">
        <f>G45/G43</f>
        <v>0.16603346033391408</v>
      </c>
      <c r="I48" s="243">
        <f>I45/I43</f>
        <v>0.18193168234875645</v>
      </c>
      <c r="K48" s="243">
        <f>K45/K43</f>
        <v>0.19767133087223634</v>
      </c>
      <c r="M48" s="243">
        <f>M45/M43</f>
        <v>0.21322895840591766</v>
      </c>
      <c r="O48" s="243">
        <f>O45/O43</f>
        <v>0.22857984891036554</v>
      </c>
      <c r="Q48" s="243">
        <f>Q45/Q43</f>
        <v>0.24369796220039686</v>
      </c>
      <c r="S48" s="243">
        <f>S45/S43</f>
        <v>0.25855587611383229</v>
      </c>
      <c r="U48" s="243">
        <f>U45/U43</f>
        <v>0.2731247263688179</v>
      </c>
      <c r="W48" s="243">
        <f>W45/W43</f>
        <v>0.28737414402164368</v>
      </c>
      <c r="Y48" s="243">
        <f>Y45/Y43</f>
        <v>0.30127219043368608</v>
      </c>
      <c r="AA48" s="243">
        <f>AA45/AA43</f>
        <v>0.31478528965276115</v>
      </c>
      <c r="AC48" s="243">
        <f>AC45/AC43</f>
        <v>0.32787815811064353</v>
      </c>
      <c r="AE48" s="243">
        <f>AE45/AE43</f>
        <v>0.34051373153488784</v>
      </c>
      <c r="AG48" s="243">
        <f>AG45/AG43</f>
        <v>0.35265308896931846</v>
      </c>
    </row>
    <row r="49" spans="1:35" s="244" customFormat="1" ht="14.25">
      <c r="A49" s="244" t="s">
        <v>862</v>
      </c>
      <c r="C49" s="245"/>
      <c r="E49" s="244">
        <f>E37/E43</f>
        <v>1.149998897245319</v>
      </c>
      <c r="G49" s="244">
        <f>G37/G43</f>
        <v>1.166033460333914</v>
      </c>
      <c r="I49" s="244">
        <f>I37/I43</f>
        <v>1.1819316823487565</v>
      </c>
      <c r="K49" s="244">
        <f>K37/K43</f>
        <v>1.1976713308722364</v>
      </c>
      <c r="M49" s="244">
        <f>M37/M43</f>
        <v>1.2132289584059177</v>
      </c>
      <c r="O49" s="244">
        <f>O37/O43</f>
        <v>1.2285798489103654</v>
      </c>
      <c r="Q49" s="244">
        <f>Q37/Q43</f>
        <v>1.243697962200397</v>
      </c>
      <c r="S49" s="244">
        <f>S37/S43</f>
        <v>1.2585558761138322</v>
      </c>
      <c r="U49" s="244">
        <f>U37/U43</f>
        <v>1.2731247263688179</v>
      </c>
      <c r="W49" s="244">
        <f>W37/W43</f>
        <v>1.2873741440216437</v>
      </c>
      <c r="Y49" s="244">
        <f>Y37/Y43</f>
        <v>1.3012721904336861</v>
      </c>
      <c r="AA49" s="244">
        <f>AA37/AA43</f>
        <v>1.3147852896527612</v>
      </c>
      <c r="AC49" s="244">
        <f>AC37/AC43</f>
        <v>1.3278781581106436</v>
      </c>
      <c r="AE49" s="244">
        <f>AE37/AE43</f>
        <v>1.3405137315348878</v>
      </c>
      <c r="AG49" s="244">
        <f>AG37/AG43</f>
        <v>1.3526530889693185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f>10000+10000</f>
        <v>20000</v>
      </c>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f>5000+5000</f>
        <v>10000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t="s">
        <v>2746</v>
      </c>
      <c r="B56" s="1001"/>
      <c r="C56" s="993"/>
      <c r="E56" s="1000">
        <v>10000</v>
      </c>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40000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14408.800000000047</v>
      </c>
      <c r="G60" s="997">
        <f>G45-G58</f>
        <v>60224.984999999986</v>
      </c>
      <c r="I60" s="997">
        <f>I45-I58</f>
        <v>65991.715274999733</v>
      </c>
      <c r="K60" s="997">
        <f>K45-K58</f>
        <v>71700.926504624542</v>
      </c>
      <c r="M60" s="997">
        <f>M45-M58</f>
        <v>77344.113624661695</v>
      </c>
      <c r="O60" s="997">
        <f>O45-O58</f>
        <v>82912.311435559066</v>
      </c>
      <c r="Q60" s="997">
        <f>Q45-Q58</f>
        <v>88396.074433025555</v>
      </c>
      <c r="S60" s="997">
        <f>S45-S58</f>
        <v>93785.45583101816</v>
      </c>
      <c r="U60" s="997">
        <f>U45-U58</f>
        <v>99069.985746308579</v>
      </c>
      <c r="W60" s="997">
        <f>W45-W58</f>
        <v>104238.64851268276</v>
      </c>
      <c r="Y60" s="997">
        <f>Y45-Y58</f>
        <v>109279.85909163009</v>
      </c>
      <c r="AA60" s="997">
        <f>AA45-AA58</f>
        <v>114181.43854516675</v>
      </c>
      <c r="AC60" s="997">
        <f>AC45-AC58</f>
        <v>118930.5885351575</v>
      </c>
      <c r="AE60" s="997">
        <f>AE45-AE58</f>
        <v>123513.8648121868</v>
      </c>
      <c r="AG60" s="997">
        <f>AG45-AG58</f>
        <v>127917.14965566294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7204.4000000000233</v>
      </c>
      <c r="G62" s="997">
        <f>G60*$C$62</f>
        <v>30112.492499999993</v>
      </c>
      <c r="I62" s="997">
        <f>I60*$C$62</f>
        <v>32995.857637499867</v>
      </c>
      <c r="K62" s="997">
        <f>K60*$C$62</f>
        <v>35850.463252312271</v>
      </c>
      <c r="M62" s="997">
        <f>M60*$C$62</f>
        <v>38672.056812330848</v>
      </c>
      <c r="O62" s="997">
        <f>O60*$C$62</f>
        <v>41456.155717779533</v>
      </c>
      <c r="Q62" s="997">
        <f>Q60*$C$62</f>
        <v>44198.037216512777</v>
      </c>
      <c r="S62" s="997">
        <f>S60*$C$62</f>
        <v>46892.72791550908</v>
      </c>
      <c r="U62" s="997">
        <f>U60*$C$62</f>
        <v>49534.99287315429</v>
      </c>
      <c r="W62" s="997">
        <f>W60*$C$62</f>
        <v>52119.324256341381</v>
      </c>
      <c r="Y62" s="997">
        <f>Y60*$C$62</f>
        <v>54639.929545815045</v>
      </c>
      <c r="AA62" s="997">
        <f>AA60*$C$62</f>
        <v>57090.719272583374</v>
      </c>
      <c r="AC62" s="997">
        <f>AC60*$C$62</f>
        <v>59465.294267578749</v>
      </c>
      <c r="AE62" s="997">
        <f>AE60*$C$62</f>
        <v>61756.932406093401</v>
      </c>
      <c r="AG62" s="997">
        <f>AG60*$C$62</f>
        <v>63958.574827831471</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3602.2000000000116</v>
      </c>
      <c r="G66" s="995">
        <f>G60*$C$65</f>
        <v>15056.246249999997</v>
      </c>
      <c r="I66" s="995">
        <f>I60*$C$65</f>
        <v>16497.928818749933</v>
      </c>
      <c r="K66" s="995">
        <f>K60*$C$65</f>
        <v>17925.231626156135</v>
      </c>
      <c r="M66" s="995">
        <f>M60*$C$65</f>
        <v>19336.028406165424</v>
      </c>
      <c r="O66" s="995">
        <f>O60*$C$65</f>
        <v>20728.077858889767</v>
      </c>
      <c r="Q66" s="995">
        <f>Q60*$C$65</f>
        <v>22099.018608256389</v>
      </c>
      <c r="S66" s="995">
        <f>S60*$C$65</f>
        <v>23446.36395775454</v>
      </c>
      <c r="U66" s="995">
        <f>U60*$C$65</f>
        <v>24767.496436577145</v>
      </c>
      <c r="W66" s="995">
        <f>W60*$C$65</f>
        <v>26059.66212817069</v>
      </c>
      <c r="Y66" s="995">
        <f>Y60*$C$65</f>
        <v>27319.964772907522</v>
      </c>
      <c r="AA66" s="995">
        <f>AA60*$C$65</f>
        <v>28545.359636291687</v>
      </c>
      <c r="AC66" s="995">
        <f>AC60*$C$65</f>
        <v>29732.647133789374</v>
      </c>
      <c r="AE66" s="995">
        <f>AE60*$C$65</f>
        <v>30878.466203046701</v>
      </c>
      <c r="AG66" s="995">
        <f>AG60*$C$65</f>
        <v>31979.287413915736</v>
      </c>
    </row>
    <row r="67" spans="1:35" s="995" customFormat="1">
      <c r="A67" s="1000"/>
      <c r="B67" s="1000"/>
      <c r="C67" s="1005"/>
      <c r="E67" s="999">
        <f>$E60*$C$65</f>
        <v>3602.2000000000116</v>
      </c>
      <c r="G67" s="995">
        <f>G60*$C$65</f>
        <v>15056.246249999997</v>
      </c>
      <c r="I67" s="995">
        <f>I60*$C$65</f>
        <v>16497.928818749933</v>
      </c>
      <c r="K67" s="995">
        <f>K60*$C$65</f>
        <v>17925.231626156135</v>
      </c>
      <c r="M67" s="995">
        <f>M60*$C$65</f>
        <v>19336.028406165424</v>
      </c>
      <c r="O67" s="995">
        <f>O60*$C$65</f>
        <v>20728.077858889767</v>
      </c>
      <c r="Q67" s="995">
        <f>Q60*$C$65</f>
        <v>22099.018608256389</v>
      </c>
      <c r="S67" s="995">
        <f>S60*$C$65</f>
        <v>23446.36395775454</v>
      </c>
      <c r="U67" s="995">
        <f>U60*$C$65</f>
        <v>24767.496436577145</v>
      </c>
      <c r="W67" s="995">
        <f>W60*$C$65</f>
        <v>26059.66212817069</v>
      </c>
      <c r="Y67" s="995">
        <f>Y60*$C$65</f>
        <v>27319.964772907522</v>
      </c>
      <c r="AA67" s="995">
        <f>AA60*$C$65</f>
        <v>28545.359636291687</v>
      </c>
      <c r="AC67" s="995">
        <f>AC60*$C$65</f>
        <v>29732.647133789374</v>
      </c>
      <c r="AE67" s="995">
        <f>AE60*$C$65</f>
        <v>30878.466203046701</v>
      </c>
      <c r="AG67" s="995">
        <f>AG60*$C$65</f>
        <v>31979.287413915736</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7204.4000000000233</v>
      </c>
      <c r="G70" s="995">
        <f>SUM(G66:G69)</f>
        <v>30112.492499999993</v>
      </c>
      <c r="I70" s="995">
        <f>SUM(I66:I69)</f>
        <v>32995.857637499867</v>
      </c>
      <c r="K70" s="995">
        <f>SUM(K66:K69)</f>
        <v>35850.463252312271</v>
      </c>
      <c r="M70" s="995">
        <f>SUM(M66:M69)</f>
        <v>38672.056812330848</v>
      </c>
      <c r="O70" s="995">
        <f>SUM(O66:O69)</f>
        <v>41456.155717779533</v>
      </c>
      <c r="Q70" s="995">
        <f>SUM(Q66:Q69)</f>
        <v>44198.037216512777</v>
      </c>
      <c r="S70" s="995">
        <f>SUM(S66:S69)</f>
        <v>46892.72791550908</v>
      </c>
      <c r="U70" s="995">
        <f>SUM(U66:U69)</f>
        <v>49534.99287315429</v>
      </c>
      <c r="W70" s="995">
        <f>SUM(W66:W69)</f>
        <v>52119.324256341381</v>
      </c>
      <c r="Y70" s="995">
        <f>SUM(Y66:Y69)</f>
        <v>54639.929545815045</v>
      </c>
      <c r="AA70" s="995">
        <f>SUM(AA66:AA69)</f>
        <v>57090.719272583374</v>
      </c>
      <c r="AC70" s="995">
        <f>SUM(AC66:AC69)</f>
        <v>59465.294267578749</v>
      </c>
      <c r="AE70" s="995">
        <f>SUM(AE66:AE69)</f>
        <v>61756.932406093401</v>
      </c>
      <c r="AG70" s="995">
        <f>SUM(AG66:AG69)</f>
        <v>63958.574827831471</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4000000</v>
      </c>
      <c r="C5" s="286">
        <f>'Sources and Uses Budget'!$C4</f>
        <v>4000000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4000000</v>
      </c>
      <c r="C9" s="290">
        <f>SUM(C5:C8)</f>
        <v>4000000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4000000</v>
      </c>
      <c r="C13" s="290">
        <f>SUM(C9+C12)</f>
        <v>4000000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250000</v>
      </c>
      <c r="C30" s="286">
        <f>'Sources and Uses Budget'!$C29</f>
        <v>250000</v>
      </c>
      <c r="D30" s="290">
        <f t="shared" si="0"/>
        <v>0</v>
      </c>
      <c r="E30" s="288"/>
      <c r="F30" s="287"/>
      <c r="G30" s="383"/>
    </row>
    <row r="31" spans="1:7" s="380" customFormat="1">
      <c r="A31" s="145" t="s">
        <v>608</v>
      </c>
      <c r="B31" s="286">
        <f>'Sources and Uses Budget'!$C30</f>
        <v>10855748</v>
      </c>
      <c r="C31" s="286">
        <f>'Sources and Uses Budget'!$C30</f>
        <v>10855748</v>
      </c>
      <c r="D31" s="290">
        <f t="shared" si="0"/>
        <v>0</v>
      </c>
      <c r="E31" s="288"/>
      <c r="F31" s="287"/>
      <c r="G31" s="383"/>
    </row>
    <row r="32" spans="1:7" s="380" customFormat="1">
      <c r="A32" s="145" t="s">
        <v>609</v>
      </c>
      <c r="B32" s="286">
        <f>'Sources and Uses Budget'!$C31</f>
        <v>834300</v>
      </c>
      <c r="C32" s="286">
        <f>'Sources and Uses Budget'!$C31</f>
        <v>834300</v>
      </c>
      <c r="D32" s="290">
        <f t="shared" si="0"/>
        <v>0</v>
      </c>
      <c r="E32" s="288"/>
      <c r="F32" s="287"/>
      <c r="G32" s="383"/>
    </row>
    <row r="33" spans="1:7" s="380" customFormat="1">
      <c r="A33" s="145" t="s">
        <v>137</v>
      </c>
      <c r="B33" s="286">
        <f>'Sources and Uses Budget'!$C32</f>
        <v>589572</v>
      </c>
      <c r="C33" s="286">
        <f>'Sources and Uses Budget'!$C32</f>
        <v>589572</v>
      </c>
      <c r="D33" s="290">
        <f t="shared" si="0"/>
        <v>0</v>
      </c>
      <c r="E33" s="288"/>
      <c r="F33" s="287"/>
      <c r="G33" s="383"/>
    </row>
    <row r="34" spans="1:7" s="380" customFormat="1">
      <c r="A34" s="145" t="s">
        <v>138</v>
      </c>
      <c r="B34" s="286">
        <f>'Sources and Uses Budget'!$C33</f>
        <v>589572</v>
      </c>
      <c r="C34" s="286">
        <f>'Sources and Uses Budget'!$C33</f>
        <v>589572</v>
      </c>
      <c r="D34" s="290">
        <f t="shared" si="0"/>
        <v>0</v>
      </c>
      <c r="E34" s="288"/>
      <c r="F34" s="287"/>
      <c r="G34" s="383"/>
    </row>
    <row r="35" spans="1:7" s="380" customFormat="1">
      <c r="A35" s="145" t="s">
        <v>139</v>
      </c>
      <c r="B35" s="286">
        <f>'Sources and Uses Budget'!$C34</f>
        <v>2799252</v>
      </c>
      <c r="C35" s="286">
        <f>'Sources and Uses Budget'!$C34</f>
        <v>2799252</v>
      </c>
      <c r="D35" s="290">
        <f t="shared" si="0"/>
        <v>0</v>
      </c>
      <c r="E35" s="288"/>
      <c r="F35" s="287"/>
      <c r="G35" s="383"/>
    </row>
    <row r="36" spans="1:7" s="380" customFormat="1">
      <c r="A36" s="145" t="s">
        <v>140</v>
      </c>
      <c r="B36" s="286">
        <f>'Sources and Uses Budget'!$C35</f>
        <v>318369</v>
      </c>
      <c r="C36" s="286">
        <f>'Sources and Uses Budget'!$C35</f>
        <v>318369</v>
      </c>
      <c r="D36" s="290">
        <f t="shared" si="0"/>
        <v>0</v>
      </c>
      <c r="E36" s="288"/>
      <c r="F36" s="287"/>
      <c r="G36" s="383"/>
    </row>
    <row r="37" spans="1:7" s="380" customFormat="1">
      <c r="A37" s="304" t="s">
        <v>1754</v>
      </c>
      <c r="B37" s="286">
        <f>'Sources and Uses Budget'!$C36</f>
        <v>250000</v>
      </c>
      <c r="C37" s="286">
        <f>'Sources and Uses Budget'!$C36</f>
        <v>250000</v>
      </c>
      <c r="D37" s="290"/>
      <c r="E37" s="288"/>
      <c r="F37" s="287"/>
      <c r="G37" s="383"/>
    </row>
    <row r="38" spans="1:7" s="380" customFormat="1">
      <c r="A38" s="155" t="str">
        <f>'Sources and Uses Budget'!A37</f>
        <v>Other: P&amp;P Bond</v>
      </c>
      <c r="B38" s="286">
        <f>'Sources and Uses Budget'!$C37</f>
        <v>238777</v>
      </c>
      <c r="C38" s="286">
        <f>'Sources and Uses Budget'!$C37</f>
        <v>238777</v>
      </c>
      <c r="D38" s="290">
        <f t="shared" si="0"/>
        <v>0</v>
      </c>
      <c r="E38" s="288"/>
      <c r="F38" s="287"/>
      <c r="G38" s="383"/>
    </row>
    <row r="39" spans="1:7" s="380" customFormat="1">
      <c r="A39" s="291" t="s">
        <v>143</v>
      </c>
      <c r="B39" s="290">
        <f>SUM(B30:B38)</f>
        <v>16725590</v>
      </c>
      <c r="C39" s="290">
        <f>SUM(C30:C38)</f>
        <v>16725590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1114068</v>
      </c>
      <c r="C46" s="286">
        <f>'Sources and Uses Budget'!$C45</f>
        <v>1114068</v>
      </c>
      <c r="D46" s="290">
        <f t="shared" si="0"/>
        <v>0</v>
      </c>
      <c r="E46" s="288"/>
      <c r="F46" s="287"/>
      <c r="G46" s="383"/>
    </row>
    <row r="47" spans="1:7" s="380" customFormat="1">
      <c r="A47" s="145" t="s">
        <v>151</v>
      </c>
      <c r="B47" s="286">
        <f>'Sources and Uses Budget'!$C46</f>
        <v>168725</v>
      </c>
      <c r="C47" s="286">
        <f>'Sources and Uses Budget'!$C46</f>
        <v>168725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115000</v>
      </c>
      <c r="C50" s="286">
        <f>'Sources and Uses Budget'!$C49</f>
        <v>115000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1457793</v>
      </c>
      <c r="C55" s="293">
        <f>SUM(C46:C54)</f>
        <v>1457793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50032</v>
      </c>
      <c r="C57" s="286">
        <f>'Sources and Uses Budget'!$C56</f>
        <v>50032</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60032</v>
      </c>
      <c r="C63" s="290">
        <f>SUM(C57:C62)</f>
        <v>60032</v>
      </c>
      <c r="D63" s="290">
        <f t="shared" si="0"/>
        <v>0</v>
      </c>
      <c r="E63" s="288"/>
      <c r="F63" s="287"/>
      <c r="G63" s="383"/>
    </row>
    <row r="64" spans="1:7" s="380" customFormat="1">
      <c r="A64" s="294" t="s">
        <v>303</v>
      </c>
      <c r="B64" s="290">
        <f>SUM(B9+B12+B14+B15+B17+B26+B28+B39+B43+B44+B55+B63)</f>
        <v>22993415</v>
      </c>
      <c r="C64" s="290">
        <f>SUM(C9+C12+C14+C15+C17+C26+C28+C39+C43+C44+C55+C63)</f>
        <v>22993415</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150000</v>
      </c>
      <c r="C66" s="286">
        <f>'Sources and Uses Budget'!$C65</f>
        <v>150000</v>
      </c>
      <c r="D66" s="290">
        <f t="shared" si="0"/>
        <v>0</v>
      </c>
      <c r="E66" s="288"/>
      <c r="F66" s="287"/>
      <c r="G66" s="383"/>
    </row>
    <row r="67" spans="1:7" s="380" customFormat="1" ht="24">
      <c r="A67" s="304" t="s">
        <v>1755</v>
      </c>
      <c r="B67" s="286">
        <f>'Sources and Uses Budget'!$C66</f>
        <v>250000</v>
      </c>
      <c r="C67" s="286">
        <f>'Sources and Uses Budget'!$C66</f>
        <v>250000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1759</v>
      </c>
      <c r="B71" s="290">
        <f>SUM(B66:B70)</f>
        <v>400000</v>
      </c>
      <c r="C71" s="290">
        <f>SUM(C66:C70)</f>
        <v>400000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481988</v>
      </c>
      <c r="C76" s="286">
        <f>'Sources and Uses Budget'!$C75</f>
        <v>481988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481988</v>
      </c>
      <c r="C78" s="290">
        <f>SUM(C73:C77)</f>
        <v>481988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1615722</v>
      </c>
      <c r="C80" s="286">
        <f>'Sources and Uses Budget'!$C79</f>
        <v>1615722</v>
      </c>
      <c r="D80" s="290">
        <f t="shared" si="1"/>
        <v>0</v>
      </c>
      <c r="E80" s="288"/>
      <c r="F80" s="287"/>
      <c r="G80" s="383"/>
    </row>
    <row r="81" spans="1:7" s="380" customFormat="1">
      <c r="A81" s="544" t="s">
        <v>58</v>
      </c>
      <c r="B81" s="286">
        <f>'Sources and Uses Budget'!$C80</f>
        <v>250000</v>
      </c>
      <c r="C81" s="286">
        <f>'Sources and Uses Budget'!$C80</f>
        <v>250000</v>
      </c>
      <c r="D81" s="290">
        <f>C81-B81</f>
        <v>0</v>
      </c>
      <c r="E81" s="288"/>
      <c r="F81" s="287"/>
      <c r="G81" s="383"/>
    </row>
    <row r="82" spans="1:7" s="380" customFormat="1">
      <c r="A82" s="291" t="s">
        <v>1316</v>
      </c>
      <c r="B82" s="290">
        <f>SUM(B80:B81)</f>
        <v>1865722</v>
      </c>
      <c r="C82" s="290">
        <f>SUM(C80:C81)</f>
        <v>1865722</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28116</v>
      </c>
      <c r="C84" s="286">
        <f>'Sources and Uses Budget'!$C83</f>
        <v>28116</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728808</v>
      </c>
      <c r="C86" s="286">
        <f>'Sources and Uses Budget'!$C85</f>
        <v>728808</v>
      </c>
      <c r="D86" s="290">
        <f t="shared" si="1"/>
        <v>0</v>
      </c>
      <c r="E86" s="288"/>
      <c r="F86" s="287"/>
      <c r="G86" s="383"/>
    </row>
    <row r="87" spans="1:7" s="380" customFormat="1">
      <c r="A87" s="289" t="s">
        <v>779</v>
      </c>
      <c r="B87" s="286">
        <f>'Sources and Uses Budget'!$C86</f>
        <v>603192</v>
      </c>
      <c r="C87" s="286">
        <f>'Sources and Uses Budget'!$C86</f>
        <v>603192</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50000</v>
      </c>
      <c r="C89" s="286">
        <f>'Sources and Uses Budget'!$C88</f>
        <v>50000</v>
      </c>
      <c r="D89" s="290">
        <f t="shared" si="1"/>
        <v>0</v>
      </c>
      <c r="E89" s="288"/>
      <c r="F89" s="287"/>
      <c r="G89" s="383"/>
    </row>
    <row r="90" spans="1:7" s="380" customFormat="1">
      <c r="A90" s="289" t="s">
        <v>782</v>
      </c>
      <c r="B90" s="286">
        <f>'Sources and Uses Budget'!$C89</f>
        <v>95000</v>
      </c>
      <c r="C90" s="286">
        <f>'Sources and Uses Budget'!$C89</f>
        <v>95000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55000</v>
      </c>
      <c r="C92" s="286">
        <f>'Sources and Uses Budget'!$C91</f>
        <v>55000</v>
      </c>
      <c r="D92" s="290">
        <f t="shared" si="1"/>
        <v>0</v>
      </c>
      <c r="E92" s="288"/>
      <c r="F92" s="287"/>
      <c r="G92" s="383"/>
    </row>
    <row r="93" spans="1:7" s="380" customFormat="1">
      <c r="A93" s="544" t="s">
        <v>1318</v>
      </c>
      <c r="B93" s="286">
        <f>'Sources and Uses Budget'!$C92</f>
        <v>15000</v>
      </c>
      <c r="C93" s="286">
        <f>'Sources and Uses Budget'!$C92</f>
        <v>15000</v>
      </c>
      <c r="D93" s="290">
        <f t="shared" si="1"/>
        <v>0</v>
      </c>
      <c r="E93" s="288"/>
      <c r="F93" s="287"/>
      <c r="G93" s="383"/>
    </row>
    <row r="94" spans="1:7" s="380" customFormat="1">
      <c r="A94" s="292" t="s">
        <v>34</v>
      </c>
      <c r="B94" s="286">
        <f>'Sources and Uses Budget'!$C93</f>
        <v>83265</v>
      </c>
      <c r="C94" s="286">
        <f>'Sources and Uses Budget'!$C93</f>
        <v>83265</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1673381</v>
      </c>
      <c r="C97" s="290">
        <f>SUM(C84:C96)</f>
        <v>1673381</v>
      </c>
      <c r="D97" s="290">
        <f t="shared" si="1"/>
        <v>0</v>
      </c>
      <c r="E97" s="288"/>
      <c r="F97" s="287"/>
      <c r="G97" s="383"/>
    </row>
    <row r="98" spans="1:7" s="380" customFormat="1">
      <c r="A98" s="291" t="s">
        <v>785</v>
      </c>
      <c r="B98" s="290">
        <f>SUM(B64+B71+B78+B82+B97)</f>
        <v>27414506</v>
      </c>
      <c r="C98" s="290">
        <f>SUM(C64+C71+C78+C82+C97)</f>
        <v>27414506</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3304814</v>
      </c>
      <c r="C100" s="286">
        <f>'Sources and Uses Budget'!$C99</f>
        <v>3304814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3304814</v>
      </c>
      <c r="C105" s="290">
        <f>SUM(C100:C104)</f>
        <v>3304814</v>
      </c>
      <c r="D105" s="290">
        <f t="shared" si="1"/>
        <v>0</v>
      </c>
      <c r="E105" s="288"/>
      <c r="F105" s="287"/>
      <c r="G105" s="383"/>
    </row>
    <row r="106" spans="1:7" s="380" customFormat="1">
      <c r="A106" s="291" t="s">
        <v>790</v>
      </c>
      <c r="B106" s="293">
        <f>SUM(B98+B105)</f>
        <v>30719320</v>
      </c>
      <c r="C106" s="293">
        <f>SUM(C98+C105)</f>
        <v>30719320</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Monica Vega</cp:lastModifiedBy>
  <cp:lastPrinted>2024-04-22T19:06:31Z</cp:lastPrinted>
  <dcterms:created xsi:type="dcterms:W3CDTF">2007-12-27T18:26:28Z</dcterms:created>
  <dcterms:modified xsi:type="dcterms:W3CDTF">2024-04-23T22:37:00Z</dcterms:modified>
</cp:coreProperties>
</file>