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showInkAnnotation="0" codeName="ThisWorkbook" defaultThemeVersion="124226"/>
  <mc:AlternateContent xmlns:mc="http://schemas.openxmlformats.org/markup-compatibility/2006">
    <mc:Choice Requires="x15">
      <x15ac:absPath xmlns:x15ac="http://schemas.microsoft.com/office/spreadsheetml/2010/11/ac" url="Z:\2. ACTIVE PROJECTS\UHC - Crossing at Woodberry Way\CTCAC Folder\2. Crossings at Woodberry Way - February 2024 9% E-App\"/>
    </mc:Choice>
  </mc:AlternateContent>
  <xr:revisionPtr revIDLastSave="0" documentId="13_ncr:1_{76AAD133-0971-4D75-9652-1B8BE501D914}" xr6:coauthVersionLast="47" xr6:coauthVersionMax="47" xr10:uidLastSave="{00000000-0000-0000-0000-000000000000}"/>
  <bookViews>
    <workbookView xWindow="-120" yWindow="-120" windowWidth="29040" windowHeight="17520" tabRatio="821" firstSheet="2" activeTab="5"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6" i="9" l="1"/>
  <c r="G37" i="9"/>
  <c r="AG28" i="9"/>
  <c r="AE28" i="9"/>
  <c r="AC28" i="9"/>
  <c r="AA28" i="9"/>
  <c r="Y28" i="9"/>
  <c r="W28" i="9"/>
  <c r="U28" i="9"/>
  <c r="S28" i="9"/>
  <c r="Q28" i="9"/>
  <c r="O28" i="9"/>
  <c r="M28" i="9"/>
  <c r="K28" i="9"/>
  <c r="I28" i="9"/>
  <c r="G28" i="9"/>
  <c r="AA925" i="3"/>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BA994" i="3"/>
  <c r="AZ196" i="6" l="1"/>
  <c r="AO128" i="6"/>
  <c r="K586" i="6"/>
  <c r="AF215" i="3"/>
  <c r="AF989" i="3" l="1"/>
  <c r="B61" i="25" a="1"/>
  <c r="B61" i="25" s="1"/>
  <c r="AM716" i="3"/>
  <c r="AM715" i="3"/>
  <c r="AM714" i="3"/>
  <c r="AM713" i="3"/>
  <c r="AM712" i="3"/>
  <c r="AM711" i="3"/>
  <c r="AM710" i="3"/>
  <c r="AM709" i="3"/>
  <c r="AM708" i="3"/>
  <c r="AM707" i="3"/>
  <c r="AM706" i="3"/>
  <c r="AM705" i="3"/>
  <c r="AM704"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E701" i="3"/>
  <c r="BE702"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700" i="3" s="1"/>
  <c r="AZ260" i="3"/>
  <c r="BO245" i="3" s="1"/>
  <c r="T269" i="3" s="1"/>
  <c r="BF701" i="3" l="1"/>
  <c r="BF695" i="3"/>
  <c r="AZ728" i="3"/>
  <c r="AZ729" i="3"/>
  <c r="BF697" i="3"/>
  <c r="BF702" i="3"/>
  <c r="BF703" i="3"/>
  <c r="BF696" i="3"/>
  <c r="BF69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8" i="4" s="1"/>
  <c r="R12" i="4" s="1"/>
  <c r="R10" i="4"/>
  <c r="S10" i="4"/>
  <c r="R30" i="28"/>
  <c r="AC695" i="3"/>
  <c r="AM695" i="3" s="1"/>
  <c r="BG695" i="3" s="1"/>
  <c r="AC696" i="3"/>
  <c r="AM696" i="3" s="1"/>
  <c r="BG696" i="3" s="1"/>
  <c r="AC697" i="3"/>
  <c r="AM697" i="3" s="1"/>
  <c r="BG697" i="3" s="1"/>
  <c r="AC698" i="3"/>
  <c r="AM698" i="3" s="1"/>
  <c r="BG698" i="3" s="1"/>
  <c r="AC699" i="3"/>
  <c r="AC700" i="3"/>
  <c r="AM700" i="3" s="1"/>
  <c r="BG700" i="3" s="1"/>
  <c r="AC701" i="3"/>
  <c r="AM701" i="3" s="1"/>
  <c r="BG701" i="3" s="1"/>
  <c r="AC702" i="3"/>
  <c r="AM702" i="3" s="1"/>
  <c r="BG702" i="3" s="1"/>
  <c r="AC703" i="3"/>
  <c r="AM703" i="3" s="1"/>
  <c r="BG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E102" i="15" s="1"/>
  <c r="D102" i="15"/>
  <c r="B103" i="15"/>
  <c r="C103" i="15"/>
  <c r="E103" i="15" s="1"/>
  <c r="D103" i="15"/>
  <c r="D99" i="15"/>
  <c r="C99" i="15"/>
  <c r="B99" i="15"/>
  <c r="B84" i="15"/>
  <c r="C84" i="15"/>
  <c r="D84" i="15"/>
  <c r="B85" i="15"/>
  <c r="C85" i="15"/>
  <c r="E85" i="15" s="1"/>
  <c r="D85" i="15"/>
  <c r="B86" i="15"/>
  <c r="C86" i="15"/>
  <c r="E86" i="15" s="1"/>
  <c r="D86" i="15"/>
  <c r="B87" i="15"/>
  <c r="C87" i="15"/>
  <c r="D87" i="15"/>
  <c r="B88" i="15"/>
  <c r="C88" i="15"/>
  <c r="E88" i="15" s="1"/>
  <c r="D88" i="15"/>
  <c r="B89" i="15"/>
  <c r="C89" i="15"/>
  <c r="E89" i="15" s="1"/>
  <c r="D89" i="15"/>
  <c r="B90" i="15"/>
  <c r="C90" i="15"/>
  <c r="D90" i="15"/>
  <c r="B91" i="15"/>
  <c r="C91" i="15"/>
  <c r="D91" i="15"/>
  <c r="B92" i="15"/>
  <c r="C92" i="15"/>
  <c r="D92" i="15"/>
  <c r="B93" i="15"/>
  <c r="C93" i="15"/>
  <c r="D93" i="15"/>
  <c r="B94" i="15"/>
  <c r="C94" i="15"/>
  <c r="E94" i="15"/>
  <c r="D94" i="15"/>
  <c r="B95" i="15"/>
  <c r="C95" i="15"/>
  <c r="E95" i="15"/>
  <c r="D95" i="15"/>
  <c r="E93" i="15"/>
  <c r="D83" i="15"/>
  <c r="C83" i="15"/>
  <c r="B83" i="15"/>
  <c r="B80" i="15"/>
  <c r="E80" i="15" s="1"/>
  <c r="C80" i="15"/>
  <c r="D80" i="15"/>
  <c r="D79" i="15"/>
  <c r="C79" i="15"/>
  <c r="B79" i="15"/>
  <c r="B73" i="15"/>
  <c r="C73" i="15"/>
  <c r="D73" i="15"/>
  <c r="B74" i="15"/>
  <c r="E74" i="15"/>
  <c r="C74" i="15"/>
  <c r="D74" i="15"/>
  <c r="B75" i="15"/>
  <c r="C75" i="15"/>
  <c r="E75" i="15"/>
  <c r="D75" i="15"/>
  <c r="B76" i="15"/>
  <c r="C76" i="15"/>
  <c r="D76" i="15"/>
  <c r="D72" i="15"/>
  <c r="C72" i="15"/>
  <c r="E72" i="15" s="1"/>
  <c r="B72" i="15"/>
  <c r="B66" i="15"/>
  <c r="C66" i="15"/>
  <c r="D66" i="15"/>
  <c r="B67" i="15"/>
  <c r="C67" i="15"/>
  <c r="E67" i="15" s="1"/>
  <c r="D67" i="15"/>
  <c r="B68" i="15"/>
  <c r="C68" i="15"/>
  <c r="E68" i="15"/>
  <c r="D68" i="15"/>
  <c r="B69" i="15"/>
  <c r="E69" i="15" s="1"/>
  <c r="C69" i="15"/>
  <c r="D69" i="15"/>
  <c r="D65" i="15"/>
  <c r="C65" i="15"/>
  <c r="B65" i="15"/>
  <c r="E65" i="15" s="1"/>
  <c r="B57" i="15"/>
  <c r="C57" i="15"/>
  <c r="D57" i="15"/>
  <c r="B58" i="15"/>
  <c r="C58" i="15"/>
  <c r="E58" i="15" s="1"/>
  <c r="D58" i="15"/>
  <c r="B59" i="15"/>
  <c r="E59" i="15" s="1"/>
  <c r="C59" i="15"/>
  <c r="D59" i="15"/>
  <c r="B60" i="15"/>
  <c r="C60" i="15"/>
  <c r="E60" i="15"/>
  <c r="D60" i="15"/>
  <c r="B61" i="15"/>
  <c r="C61" i="15"/>
  <c r="D61" i="15"/>
  <c r="D56" i="15"/>
  <c r="C56" i="15"/>
  <c r="E56" i="15" s="1"/>
  <c r="B56" i="15"/>
  <c r="B47" i="15"/>
  <c r="E47" i="15" s="1"/>
  <c r="C47" i="15"/>
  <c r="D47" i="15"/>
  <c r="B48" i="15"/>
  <c r="C48" i="15"/>
  <c r="D48" i="15"/>
  <c r="B49" i="15"/>
  <c r="C49" i="15"/>
  <c r="E49" i="15"/>
  <c r="D49" i="15"/>
  <c r="B50" i="15"/>
  <c r="E50" i="15" s="1"/>
  <c r="C50" i="15"/>
  <c r="D50" i="15"/>
  <c r="B51" i="15"/>
  <c r="C51" i="15"/>
  <c r="E51" i="15" s="1"/>
  <c r="D51" i="15"/>
  <c r="B52" i="15"/>
  <c r="C52" i="15"/>
  <c r="D52" i="15"/>
  <c r="B53" i="15"/>
  <c r="C53" i="15"/>
  <c r="E53" i="15" s="1"/>
  <c r="D53" i="15"/>
  <c r="D46" i="15"/>
  <c r="C46" i="15"/>
  <c r="B46" i="15"/>
  <c r="E46" i="15" s="1"/>
  <c r="B44" i="15"/>
  <c r="C44" i="15"/>
  <c r="E44" i="15" s="1"/>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E37" i="15" s="1"/>
  <c r="C37" i="15"/>
  <c r="D37" i="15"/>
  <c r="D30" i="15"/>
  <c r="C30" i="15"/>
  <c r="B30" i="15"/>
  <c r="B19" i="15"/>
  <c r="C19" i="15"/>
  <c r="D19" i="15"/>
  <c r="B20" i="15"/>
  <c r="C20" i="15"/>
  <c r="E20" i="15"/>
  <c r="D20" i="15"/>
  <c r="B21" i="15"/>
  <c r="C21" i="15"/>
  <c r="D21" i="15"/>
  <c r="B22" i="15"/>
  <c r="E22" i="15" s="1"/>
  <c r="C22" i="15"/>
  <c r="D22" i="15"/>
  <c r="B23" i="15"/>
  <c r="C23" i="15"/>
  <c r="D23" i="15"/>
  <c r="B24" i="15"/>
  <c r="C24" i="15"/>
  <c r="E24" i="15"/>
  <c r="D24" i="15"/>
  <c r="B25" i="15"/>
  <c r="C25" i="15"/>
  <c r="D25" i="15"/>
  <c r="B26" i="15"/>
  <c r="C26" i="15"/>
  <c r="E26" i="15" s="1"/>
  <c r="D26" i="15"/>
  <c r="B28" i="15"/>
  <c r="C28" i="15"/>
  <c r="D28" i="15"/>
  <c r="B5" i="15"/>
  <c r="C5" i="15"/>
  <c r="C9" i="15" s="1"/>
  <c r="B6" i="15"/>
  <c r="E6" i="15" s="1"/>
  <c r="C6" i="15"/>
  <c r="B7" i="15"/>
  <c r="C7" i="15"/>
  <c r="B8" i="15"/>
  <c r="C8" i="15"/>
  <c r="B10" i="15"/>
  <c r="B12" i="15" s="1"/>
  <c r="E12" i="15" s="1"/>
  <c r="C10" i="15"/>
  <c r="B11" i="15"/>
  <c r="C11" i="15"/>
  <c r="B14" i="15"/>
  <c r="E14" i="15" s="1"/>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73" i="15"/>
  <c r="E91" i="15"/>
  <c r="E87" i="15"/>
  <c r="E79" i="15"/>
  <c r="E90" i="15"/>
  <c r="E16" i="15"/>
  <c r="E31" i="15"/>
  <c r="E61" i="15"/>
  <c r="E57" i="15"/>
  <c r="E21" i="15"/>
  <c r="E28" i="15"/>
  <c r="E8" i="15"/>
  <c r="E48" i="15"/>
  <c r="E19" i="15"/>
  <c r="C12" i="15"/>
  <c r="E99" i="15"/>
  <c r="E23" i="15"/>
  <c r="E11" i="15"/>
  <c r="E5" i="15"/>
  <c r="E35" i="15"/>
  <c r="E83" i="15"/>
  <c r="E30" i="15"/>
  <c r="E15" i="15"/>
  <c r="E1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2" i="4" s="1"/>
  <c r="D11" i="4"/>
  <c r="D26" i="4"/>
  <c r="D38" i="4"/>
  <c r="D42" i="4"/>
  <c r="D53" i="4"/>
  <c r="D61" i="4"/>
  <c r="D69" i="4"/>
  <c r="D76" i="4"/>
  <c r="B76" i="4" s="1"/>
  <c r="D80" i="4"/>
  <c r="D95" i="4"/>
  <c r="D103" i="4"/>
  <c r="C8" i="4"/>
  <c r="C11" i="4"/>
  <c r="C26" i="4"/>
  <c r="C38" i="4"/>
  <c r="B37" i="18" s="1"/>
  <c r="C42" i="4"/>
  <c r="C53" i="4"/>
  <c r="B53" i="4" s="1"/>
  <c r="C61" i="4"/>
  <c r="C62" i="15" s="1"/>
  <c r="C69" i="4"/>
  <c r="B68" i="18" s="1"/>
  <c r="C76" i="4"/>
  <c r="B77" i="15" s="1"/>
  <c r="C80" i="4"/>
  <c r="B79" i="18" s="1"/>
  <c r="C95" i="4"/>
  <c r="B94" i="18" s="1"/>
  <c r="C103" i="4"/>
  <c r="C104" i="15" s="1"/>
  <c r="C66" i="25"/>
  <c r="Y20" i="5"/>
  <c r="Y22" i="5" s="1"/>
  <c r="AI20" i="5"/>
  <c r="AI22" i="5" s="1"/>
  <c r="S26" i="4"/>
  <c r="S38" i="4"/>
  <c r="S42" i="4"/>
  <c r="S53" i="4"/>
  <c r="S69" i="4"/>
  <c r="E68" i="18" s="1"/>
  <c r="S80" i="4"/>
  <c r="S95" i="4"/>
  <c r="E94" i="18" s="1"/>
  <c r="S103" i="4"/>
  <c r="E102" i="18" s="1"/>
  <c r="F25" i="18"/>
  <c r="F37" i="18"/>
  <c r="F41" i="18"/>
  <c r="F61" i="18" s="1"/>
  <c r="F95" i="18" s="1"/>
  <c r="F103" i="18" s="1"/>
  <c r="F105" i="18" s="1"/>
  <c r="F52" i="18"/>
  <c r="F68" i="18"/>
  <c r="F79" i="18"/>
  <c r="F94" i="18"/>
  <c r="F102" i="18"/>
  <c r="T20" i="5"/>
  <c r="T22" i="5" s="1"/>
  <c r="T26" i="4"/>
  <c r="T38" i="4"/>
  <c r="H37" i="18" s="1"/>
  <c r="T42" i="4"/>
  <c r="T53" i="4"/>
  <c r="T11" i="4"/>
  <c r="T69" i="4"/>
  <c r="H68" i="18" s="1"/>
  <c r="T80" i="4"/>
  <c r="H79" i="18" s="1"/>
  <c r="T95" i="4"/>
  <c r="H94" i="18" s="1"/>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61" i="18" s="1"/>
  <c r="J95" i="18" s="1"/>
  <c r="J103" i="18" s="1"/>
  <c r="J105" i="18" s="1"/>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38" i="4"/>
  <c r="J42" i="4"/>
  <c r="J53" i="4"/>
  <c r="J61" i="4"/>
  <c r="J69" i="4"/>
  <c r="J76" i="4"/>
  <c r="J95" i="4"/>
  <c r="J96" i="4" s="1"/>
  <c r="J104" i="4" s="1"/>
  <c r="K8" i="4"/>
  <c r="K11" i="4"/>
  <c r="K26" i="4"/>
  <c r="K38" i="4"/>
  <c r="K42" i="4"/>
  <c r="K53" i="4"/>
  <c r="K61" i="4"/>
  <c r="K69" i="4"/>
  <c r="K76" i="4"/>
  <c r="K80" i="4"/>
  <c r="K95" i="4"/>
  <c r="L8" i="4"/>
  <c r="L11" i="4"/>
  <c r="L26" i="4"/>
  <c r="L62" i="4" s="1"/>
  <c r="L96" i="4" s="1"/>
  <c r="L38" i="4"/>
  <c r="L42" i="4"/>
  <c r="L53" i="4"/>
  <c r="L61" i="4"/>
  <c r="L69" i="4"/>
  <c r="L76" i="4"/>
  <c r="L80" i="4"/>
  <c r="L95" i="4"/>
  <c r="M8" i="4"/>
  <c r="M11" i="4"/>
  <c r="M26" i="4"/>
  <c r="M38" i="4"/>
  <c r="M42" i="4"/>
  <c r="M53" i="4"/>
  <c r="M61" i="4"/>
  <c r="M69" i="4"/>
  <c r="M76" i="4"/>
  <c r="M80" i="4"/>
  <c r="M95" i="4"/>
  <c r="N8" i="4"/>
  <c r="N11" i="4"/>
  <c r="N26" i="4"/>
  <c r="N38" i="4"/>
  <c r="N42" i="4"/>
  <c r="N62" i="4" s="1"/>
  <c r="N96" i="4" s="1"/>
  <c r="N104" i="4" s="1"/>
  <c r="N53" i="4"/>
  <c r="N61" i="4"/>
  <c r="N69" i="4"/>
  <c r="N76" i="4"/>
  <c r="N80" i="4"/>
  <c r="N95" i="4"/>
  <c r="O8" i="4"/>
  <c r="O11" i="4"/>
  <c r="O62" i="4" s="1"/>
  <c r="O96" i="4" s="1"/>
  <c r="O104" i="4" s="1"/>
  <c r="O26" i="4"/>
  <c r="O38" i="4"/>
  <c r="O42" i="4"/>
  <c r="O53" i="4"/>
  <c r="O61" i="4"/>
  <c r="O69" i="4"/>
  <c r="O76" i="4"/>
  <c r="O80" i="4"/>
  <c r="O95" i="4"/>
  <c r="P8" i="4"/>
  <c r="P12" i="4" s="1"/>
  <c r="P11" i="4"/>
  <c r="P26" i="4"/>
  <c r="P38" i="4"/>
  <c r="P42" i="4"/>
  <c r="P53" i="4"/>
  <c r="P62" i="4" s="1"/>
  <c r="P96" i="4" s="1"/>
  <c r="P104" i="4" s="1"/>
  <c r="P61" i="4"/>
  <c r="P69" i="4"/>
  <c r="P76" i="4"/>
  <c r="P80" i="4"/>
  <c r="P95" i="4"/>
  <c r="Q8" i="4"/>
  <c r="Q11" i="4"/>
  <c r="Q26" i="4"/>
  <c r="Q62" i="4" s="1"/>
  <c r="Q96" i="4" s="1"/>
  <c r="Q104" i="4" s="1"/>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R80" i="4" s="1"/>
  <c r="B102" i="4"/>
  <c r="B25" i="18"/>
  <c r="G25" i="18"/>
  <c r="G37" i="18"/>
  <c r="G41" i="18"/>
  <c r="G52" i="18"/>
  <c r="G61" i="18" s="1"/>
  <c r="G95" i="18" s="1"/>
  <c r="G103" i="18" s="1"/>
  <c r="G105" i="18" s="1"/>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D61" i="18" s="1"/>
  <c r="D95" i="18" s="1"/>
  <c r="D103" i="18" s="1"/>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6" i="4" s="1"/>
  <c r="R21" i="4"/>
  <c r="R20" i="4"/>
  <c r="R19" i="4"/>
  <c r="R18" i="4"/>
  <c r="R17" i="4"/>
  <c r="R15" i="4"/>
  <c r="R14" i="4"/>
  <c r="R13" i="4"/>
  <c r="R7" i="4"/>
  <c r="R6" i="4"/>
  <c r="D5" i="15"/>
  <c r="D6" i="15"/>
  <c r="D7" i="15"/>
  <c r="D8" i="15"/>
  <c r="D10" i="15"/>
  <c r="D11" i="15"/>
  <c r="D12" i="15" s="1"/>
  <c r="D14" i="15"/>
  <c r="D15" i="15"/>
  <c r="D16" i="15"/>
  <c r="D18" i="15"/>
  <c r="E37" i="18"/>
  <c r="E41" i="18"/>
  <c r="E52" i="18"/>
  <c r="H25" i="18"/>
  <c r="H52"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62" i="4" s="1"/>
  <c r="H96" i="4" s="1"/>
  <c r="H104" i="4" s="1"/>
  <c r="H11" i="4"/>
  <c r="L12"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C39" i="15"/>
  <c r="D39" i="15"/>
  <c r="B39" i="15"/>
  <c r="B27" i="15"/>
  <c r="D27" i="15"/>
  <c r="C27" i="15"/>
  <c r="B81" i="15"/>
  <c r="D81" i="15"/>
  <c r="B11" i="4"/>
  <c r="B11" i="18"/>
  <c r="G52" i="25"/>
  <c r="AB47" i="26"/>
  <c r="I61" i="18"/>
  <c r="I95" i="18" s="1"/>
  <c r="I103" i="18" s="1"/>
  <c r="I105" i="18" s="1"/>
  <c r="K12" i="4"/>
  <c r="J12" i="4"/>
  <c r="R11" i="4"/>
  <c r="G62" i="4"/>
  <c r="G96" i="4" s="1"/>
  <c r="G104" i="4" s="1"/>
  <c r="D9" i="15"/>
  <c r="C61" i="18"/>
  <c r="C95" i="18"/>
  <c r="C103" i="18" s="1"/>
  <c r="C12" i="18"/>
  <c r="E12" i="4"/>
  <c r="M62" i="4"/>
  <c r="M96" i="4" s="1"/>
  <c r="M104" i="4" s="1"/>
  <c r="J62" i="4"/>
  <c r="C12" i="4"/>
  <c r="B12" i="18"/>
  <c r="D62" i="4"/>
  <c r="D96" i="4" s="1"/>
  <c r="D104" i="4" s="1"/>
  <c r="B75" i="18"/>
  <c r="B8" i="18"/>
  <c r="S62" i="4"/>
  <c r="E61" i="18" s="1"/>
  <c r="H12" i="4"/>
  <c r="H11" i="18"/>
  <c r="K62" i="4"/>
  <c r="K96" i="4" s="1"/>
  <c r="K104" i="4" s="1"/>
  <c r="M12" i="4"/>
  <c r="D12" i="18"/>
  <c r="T24" i="27"/>
  <c r="T24" i="26"/>
  <c r="R95" i="4" l="1"/>
  <c r="R69" i="4"/>
  <c r="R61" i="4"/>
  <c r="E62" i="4"/>
  <c r="E96" i="4" s="1"/>
  <c r="E104" i="4" s="1"/>
  <c r="R38" i="4"/>
  <c r="L104" i="4"/>
  <c r="R53" i="4"/>
  <c r="R62" i="4" s="1"/>
  <c r="R96" i="4" s="1"/>
  <c r="R104" i="4" s="1"/>
  <c r="S96" i="4"/>
  <c r="S104" i="4" s="1"/>
  <c r="C96" i="15"/>
  <c r="B96" i="15"/>
  <c r="E66" i="15"/>
  <c r="E84" i="15"/>
  <c r="B95" i="4"/>
  <c r="D96" i="15"/>
  <c r="B80" i="4"/>
  <c r="C81" i="15"/>
  <c r="E81" i="15" s="1"/>
  <c r="D77" i="15"/>
  <c r="C77" i="15"/>
  <c r="E77" i="15" s="1"/>
  <c r="D70" i="15"/>
  <c r="C70" i="15"/>
  <c r="B69" i="4"/>
  <c r="B70" i="15"/>
  <c r="E70" i="15" s="1"/>
  <c r="B60" i="18"/>
  <c r="D62" i="15"/>
  <c r="B62" i="15"/>
  <c r="E62" i="15" s="1"/>
  <c r="B61" i="4"/>
  <c r="E52" i="15"/>
  <c r="C54" i="15"/>
  <c r="D54" i="15"/>
  <c r="B54" i="15"/>
  <c r="E54" i="15" s="1"/>
  <c r="C62" i="4"/>
  <c r="C96" i="4" s="1"/>
  <c r="B97" i="15" s="1"/>
  <c r="B52" i="18"/>
  <c r="E42" i="15"/>
  <c r="E41" i="15"/>
  <c r="D43" i="15"/>
  <c r="E38" i="15"/>
  <c r="E34" i="15"/>
  <c r="E33" i="15"/>
  <c r="B38" i="4"/>
  <c r="B9" i="15"/>
  <c r="E7" i="15"/>
  <c r="D13" i="15"/>
  <c r="I58" i="9"/>
  <c r="B13" i="15"/>
  <c r="E9" i="15"/>
  <c r="B42" i="4"/>
  <c r="G58" i="9"/>
  <c r="E79" i="18"/>
  <c r="E92" i="15"/>
  <c r="BG730" i="3"/>
  <c r="AM730" i="3" s="1"/>
  <c r="T62" i="4"/>
  <c r="B41" i="18"/>
  <c r="B8" i="4"/>
  <c r="B12" i="4" s="1"/>
  <c r="C43" i="15"/>
  <c r="AB47" i="5"/>
  <c r="B43" i="15"/>
  <c r="O12" i="4"/>
  <c r="G98" i="25"/>
  <c r="C13" i="15"/>
  <c r="AI20" i="26"/>
  <c r="E39" i="15"/>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S40" i="9"/>
  <c r="S43" i="9" s="1"/>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3" i="9"/>
  <c r="O40" i="9"/>
  <c r="O43" i="9" s="1"/>
  <c r="AA43" i="9"/>
  <c r="F40" i="10"/>
  <c r="AG43" i="9"/>
  <c r="K40" i="9"/>
  <c r="K43" i="9" s="1"/>
  <c r="I40" i="9"/>
  <c r="I43" i="9" s="1"/>
  <c r="G40" i="9"/>
  <c r="G43" i="9" s="1"/>
  <c r="M40" i="9"/>
  <c r="M43" i="9" s="1"/>
  <c r="AE43" i="9"/>
  <c r="Q40" i="9"/>
  <c r="Q43" i="9" s="1"/>
  <c r="AC43" i="9"/>
  <c r="E43" i="9"/>
  <c r="I40" i="10"/>
  <c r="Z788" i="3" s="1"/>
  <c r="I16" i="9"/>
  <c r="T699" i="6"/>
  <c r="G8" i="9"/>
  <c r="E9" i="9"/>
  <c r="E96" i="15" l="1"/>
  <c r="E95" i="18"/>
  <c r="B62" i="4"/>
  <c r="B63" i="15"/>
  <c r="C63" i="15"/>
  <c r="E63" i="15" s="1"/>
  <c r="C104" i="4"/>
  <c r="AC448" i="3" s="1"/>
  <c r="D97" i="15"/>
  <c r="B95" i="18"/>
  <c r="D63" i="15"/>
  <c r="C97" i="15"/>
  <c r="E97" i="15" s="1"/>
  <c r="B96" i="4"/>
  <c r="B61" i="18"/>
  <c r="E13" i="15"/>
  <c r="E43" i="15"/>
  <c r="S106" i="4"/>
  <c r="E103" i="18"/>
  <c r="T96" i="4"/>
  <c r="H61" i="18"/>
  <c r="K58" i="9"/>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D105" i="15" l="1"/>
  <c r="B103" i="18"/>
  <c r="B104" i="4"/>
  <c r="AC447" i="3" s="1"/>
  <c r="F450" i="3" s="1"/>
  <c r="B105" i="15"/>
  <c r="C105" i="15"/>
  <c r="M58" i="9"/>
  <c r="H95" i="18"/>
  <c r="T104" i="4"/>
  <c r="E105" i="18"/>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6" l="1"/>
  <c r="AB48" i="26" s="1"/>
  <c r="AB53" i="26" s="1"/>
  <c r="AB54" i="26" s="1"/>
  <c r="AB46" i="27"/>
  <c r="AB48" i="27" s="1"/>
  <c r="AB53" i="27" s="1"/>
  <c r="AB54" i="27" s="1"/>
  <c r="J58" i="25"/>
  <c r="G71" i="25" s="1"/>
  <c r="G72" i="25" s="1"/>
  <c r="B75" i="25" s="1"/>
  <c r="AB46" i="5"/>
  <c r="AB48" i="5" s="1"/>
  <c r="AB53" i="5" s="1"/>
  <c r="AB54" i="5" s="1"/>
  <c r="E105" i="15"/>
  <c r="H103" i="18"/>
  <c r="T106" i="4"/>
  <c r="T11" i="5"/>
  <c r="T11" i="26"/>
  <c r="T23" i="26" s="1"/>
  <c r="T11" i="27"/>
  <c r="T23" i="27" s="1"/>
  <c r="Y11" i="27"/>
  <c r="Y23" i="27" s="1"/>
  <c r="Y26" i="27" s="1"/>
  <c r="Y28" i="27" s="1"/>
  <c r="Y63" i="27" s="1"/>
  <c r="Y67" i="27" s="1"/>
  <c r="Y11" i="26"/>
  <c r="Y23" i="26" s="1"/>
  <c r="Y26" i="26" s="1"/>
  <c r="Y28" i="26" s="1"/>
  <c r="Y63" i="26" s="1"/>
  <c r="Y67" i="26" s="1"/>
  <c r="U53" i="9"/>
  <c r="O58" i="9"/>
  <c r="AO694" i="6"/>
  <c r="AO693" i="6" s="1"/>
  <c r="T702" i="6" s="1"/>
  <c r="AF702" i="6" s="1"/>
  <c r="AB966" i="3"/>
  <c r="AJ967" i="3"/>
  <c r="AJ995"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O76" i="25" s="1"/>
  <c r="T26" i="27"/>
  <c r="T28" i="27" s="1"/>
  <c r="T26" i="26"/>
  <c r="T28" i="26" s="1"/>
  <c r="T23" i="5"/>
  <c r="Q58" i="9"/>
  <c r="H105" i="18"/>
  <c r="AC449" i="3"/>
  <c r="X1024" i="3"/>
  <c r="W53" i="9"/>
  <c r="AJ991" i="3"/>
  <c r="Q4" i="9"/>
  <c r="Q5" i="9" s="1"/>
  <c r="K5" i="9"/>
  <c r="G11" i="9"/>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T26" i="5" l="1"/>
  <c r="T28" i="5" s="1"/>
  <c r="AI11" i="26"/>
  <c r="AI23" i="26" s="1"/>
  <c r="AI26" i="26" s="1"/>
  <c r="AI28" i="26" s="1"/>
  <c r="AD63" i="26" s="1"/>
  <c r="AI11" i="27"/>
  <c r="AI23" i="27" s="1"/>
  <c r="AI26" i="27" s="1"/>
  <c r="AI28" i="27" s="1"/>
  <c r="AD63" i="27" s="1"/>
  <c r="AD11" i="26"/>
  <c r="AD23" i="26" s="1"/>
  <c r="AD11" i="5"/>
  <c r="AD11" i="27"/>
  <c r="AD23" i="27" s="1"/>
  <c r="S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58" i="9" l="1"/>
  <c r="AD26" i="27"/>
  <c r="AD28" i="27" s="1"/>
  <c r="T29" i="27" s="1"/>
  <c r="Y38" i="27"/>
  <c r="Y40" i="27" s="1"/>
  <c r="AD23" i="5"/>
  <c r="BE16" i="28"/>
  <c r="AD26" i="26"/>
  <c r="AD28" i="26" s="1"/>
  <c r="T29" i="26" s="1"/>
  <c r="Y38" i="26"/>
  <c r="Y40" i="26" s="1"/>
  <c r="Y63" i="5"/>
  <c r="Y67" i="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D38" i="26" l="1"/>
  <c r="AD40" i="26" s="1"/>
  <c r="Y41" i="26" s="1"/>
  <c r="AB55" i="26" s="1"/>
  <c r="AB56" i="26" s="1"/>
  <c r="AB58" i="26" s="1"/>
  <c r="AD26" i="5"/>
  <c r="AD28" i="5" s="1"/>
  <c r="T29" i="5" s="1"/>
  <c r="Q71" i="25"/>
  <c r="O75" i="25" s="1"/>
  <c r="R75" i="25" s="1"/>
  <c r="AD38" i="27"/>
  <c r="AD40" i="27" s="1"/>
  <c r="Y41" i="27" s="1"/>
  <c r="AB55" i="27" s="1"/>
  <c r="AB56" i="27" s="1"/>
  <c r="AB58" i="27" s="1"/>
  <c r="W58" i="9"/>
  <c r="W4" i="9"/>
  <c r="Y4" i="9" s="1"/>
  <c r="G67" i="9"/>
  <c r="G68" i="9"/>
  <c r="G69" i="9"/>
  <c r="D1026" i="3"/>
  <c r="Y38" i="5"/>
  <c r="Y40" i="5" s="1"/>
  <c r="CD575" i="6"/>
  <c r="BY577" i="6"/>
  <c r="K45" i="9"/>
  <c r="K60" i="9" s="1"/>
  <c r="K69" i="9" s="1"/>
  <c r="Q6" i="9"/>
  <c r="O7" i="9"/>
  <c r="O11" i="9" s="1"/>
  <c r="O37" i="9" s="1"/>
  <c r="I67" i="9"/>
  <c r="I69" i="9"/>
  <c r="I68" i="9"/>
  <c r="I66" i="9"/>
  <c r="AE15" i="9"/>
  <c r="M45" i="9"/>
  <c r="M49" i="9"/>
  <c r="W16" i="9"/>
  <c r="U22" i="9"/>
  <c r="U35" i="9" s="1"/>
  <c r="Y32" i="9"/>
  <c r="U8" i="9"/>
  <c r="S9" i="9"/>
  <c r="AB75" i="27" l="1"/>
  <c r="AB76" i="27" s="1"/>
  <c r="AB77" i="27" s="1"/>
  <c r="AB79" i="27" s="1"/>
  <c r="J80" i="27" s="1"/>
  <c r="F59" i="27"/>
  <c r="AD38" i="5"/>
  <c r="AD40" i="5" s="1"/>
  <c r="AR43" i="5" s="1"/>
  <c r="Y58" i="9"/>
  <c r="F59" i="26"/>
  <c r="AB75" i="26"/>
  <c r="AB76" i="26" s="1"/>
  <c r="AB77" i="26" s="1"/>
  <c r="AB79" i="26" s="1"/>
  <c r="J80" i="26" s="1"/>
  <c r="W5" i="9"/>
  <c r="G70" i="9"/>
  <c r="G72" i="9"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AR42" i="5" l="1"/>
  <c r="Y41" i="5" s="1"/>
  <c r="AB55" i="5" s="1"/>
  <c r="M25" i="3" s="1"/>
  <c r="AA58" i="9"/>
  <c r="CN577" i="6"/>
  <c r="BD558" i="6" s="1"/>
  <c r="K70" i="9"/>
  <c r="K72" i="9" s="1"/>
  <c r="Q45" i="9"/>
  <c r="Q49" i="9"/>
  <c r="AC4" i="9"/>
  <c r="AA5" i="9"/>
  <c r="O48" i="9"/>
  <c r="O60" i="9"/>
  <c r="O47" i="9"/>
  <c r="U6" i="9"/>
  <c r="S7" i="9"/>
  <c r="S11" i="9" s="1"/>
  <c r="S37" i="9" s="1"/>
  <c r="AA16" i="9"/>
  <c r="Y22" i="9"/>
  <c r="M66" i="9"/>
  <c r="M68" i="9"/>
  <c r="M69" i="9"/>
  <c r="M67" i="9"/>
  <c r="AC32" i="9"/>
  <c r="W9" i="9"/>
  <c r="Y8" i="9"/>
  <c r="BE15" i="28" l="1"/>
  <c r="AB56" i="5"/>
  <c r="AB58" i="5" s="1"/>
  <c r="AB75" i="5" s="1"/>
  <c r="AB76" i="5" s="1"/>
  <c r="Q22" i="28"/>
  <c r="V33" i="28" s="1"/>
  <c r="V35" i="28" s="1"/>
  <c r="AC58" i="9"/>
  <c r="P203" i="3"/>
  <c r="AT560" i="6"/>
  <c r="AW562" i="6"/>
  <c r="M70" i="9"/>
  <c r="M72" i="9" s="1"/>
  <c r="W6" i="9"/>
  <c r="U7" i="9"/>
  <c r="U11" i="9" s="1"/>
  <c r="U37" i="9" s="1"/>
  <c r="O68" i="9"/>
  <c r="O66" i="9"/>
  <c r="O69" i="9"/>
  <c r="O67" i="9"/>
  <c r="AC16" i="9"/>
  <c r="AA22" i="9"/>
  <c r="AA35" i="9" s="1"/>
  <c r="S45" i="9"/>
  <c r="S49" i="9"/>
  <c r="AC5" i="9"/>
  <c r="AE4" i="9"/>
  <c r="Q48" i="9"/>
  <c r="Q60" i="9"/>
  <c r="Q47" i="9"/>
  <c r="AE32" i="9"/>
  <c r="Y9" i="9"/>
  <c r="AA8" i="9"/>
  <c r="AG58" i="9" l="1"/>
  <c r="AE58" i="9"/>
  <c r="F59" i="5"/>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S67" i="9"/>
  <c r="S68" i="9"/>
  <c r="S69" i="9"/>
  <c r="S66" i="9"/>
  <c r="U48" i="9"/>
  <c r="U60" i="9"/>
  <c r="U47" i="9"/>
  <c r="Y7" i="9"/>
  <c r="Y11" i="9" s="1"/>
  <c r="AA6" i="9"/>
  <c r="AC9" i="9"/>
  <c r="AE8" i="9"/>
  <c r="S70" i="9" l="1"/>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AG9" i="9"/>
  <c r="AG6" i="9" l="1"/>
  <c r="AE7" i="9"/>
  <c r="AE11" i="9" s="1"/>
  <c r="AC49" i="9"/>
  <c r="AC45" i="9"/>
  <c r="AA47" i="9"/>
  <c r="AA48" i="9"/>
  <c r="AA60" i="9"/>
  <c r="W70" i="9"/>
  <c r="W72" i="9" s="1"/>
  <c r="AG7" i="9" l="1"/>
  <c r="AG11" i="9" s="1"/>
  <c r="AG37" i="9" s="1"/>
  <c r="AG49" i="9" s="1"/>
  <c r="AA68" i="9"/>
  <c r="AA69" i="9"/>
  <c r="AA66" i="9"/>
  <c r="AA67" i="9"/>
  <c r="AC48" i="9"/>
  <c r="AC60" i="9"/>
  <c r="AC47" i="9"/>
  <c r="AG45" i="9" l="1"/>
  <c r="AC69" i="9"/>
  <c r="AC68" i="9"/>
  <c r="AC66" i="9"/>
  <c r="AC67" i="9"/>
  <c r="AA70" i="9"/>
  <c r="AA72" i="9" s="1"/>
  <c r="AG47" i="9" l="1"/>
  <c r="AG48" i="9"/>
  <c r="AG60" i="9"/>
  <c r="AC70" i="9"/>
  <c r="AC72" i="9" s="1"/>
  <c r="AG67" i="9" l="1"/>
  <c r="AG69" i="9"/>
  <c r="AG68" i="9"/>
  <c r="AG70" i="9" l="1"/>
  <c r="AG72" i="9" s="1"/>
  <c r="Y35" i="9"/>
  <c r="Y37" i="9" s="1"/>
  <c r="Y49" i="9" l="1"/>
  <c r="Y45" i="9"/>
  <c r="Y48" i="9" l="1"/>
  <c r="Y60" i="9"/>
  <c r="Y47" i="9"/>
  <c r="Y66" i="9" l="1"/>
  <c r="Y67" i="9"/>
  <c r="Y68" i="9"/>
  <c r="Y69" i="9"/>
  <c r="Y70" i="9" l="1"/>
  <c r="Y72" i="9" s="1"/>
  <c r="AE35" i="9"/>
  <c r="AE37" i="9"/>
  <c r="AE49" i="9" s="1"/>
  <c r="AE45" i="9" l="1"/>
  <c r="AE47" i="9" l="1"/>
  <c r="AE48" i="9"/>
  <c r="AE60" i="9"/>
  <c r="AE69" i="9" l="1"/>
  <c r="AE66" i="9"/>
  <c r="AE67" i="9"/>
  <c r="AE68" i="9"/>
  <c r="AE70" i="9" l="1"/>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<sst xmlns="http://schemas.openxmlformats.org/spreadsheetml/2006/main" count="4747" uniqueCount="2504">
  <si>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</si>
  <si>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</si>
  <si>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</si>
  <si>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</si>
  <si>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</si>
  <si>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</si>
  <si>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</si>
  <si>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</si>
  <si>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</si>
  <si>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</si>
  <si>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</si>
  <si>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</si>
  <si>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</si>
  <si>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</si>
  <si>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</si>
  <si>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</si>
  <si>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</si>
  <si>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</si>
  <si>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</si>
  <si>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</si>
  <si>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</si>
  <si>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</si>
  <si>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</si>
  <si>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</si>
  <si>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</si>
  <si>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</si>
  <si>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</si>
  <si>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</si>
  <si>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</si>
  <si>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</si>
  <si>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</si>
  <si>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</si>
  <si>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</si>
  <si>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</si>
  <si>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</si>
  <si>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</si>
  <si>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</si>
  <si>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</si>
  <si>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</si>
  <si>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</si>
  <si>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</si>
  <si>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</si>
  <si>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</si>
  <si>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</si>
  <si>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</si>
  <si>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</si>
  <si>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</si>
  <si>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</si>
  <si>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</si>
  <si>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</si>
  <si>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</si>
  <si>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</si>
  <si>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</si>
  <si>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</si>
  <si>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</si>
  <si>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</si>
  <si>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</si>
  <si>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</si>
  <si>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</si>
  <si>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</si>
  <si>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</si>
  <si>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</si>
  <si>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</si>
  <si>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</si>
  <si>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</si>
  <si>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</si>
  <si>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</si>
  <si>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</si>
  <si>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</si>
  <si>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</si>
  <si>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</si>
  <si>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</si>
  <si>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</si>
  <si>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</si>
  <si>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</si>
  <si>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</si>
  <si>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</si>
  <si>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</si>
  <si>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</si>
  <si>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</si>
  <si>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</si>
  <si>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</si>
  <si>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</si>
  <si>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</si>
  <si>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</si>
  <si>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</si>
  <si>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</si>
  <si>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</si>
  <si>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</si>
  <si>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</si>
  <si>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</si>
  <si>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</si>
  <si>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</si>
  <si>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</si>
  <si>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</si>
  <si>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</si>
  <si>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</si>
  <si>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</si>
  <si>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</si>
  <si>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</si>
  <si>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</si>
  <si>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</si>
  <si>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</si>
  <si>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</si>
  <si>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</si>
  <si>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</si>
  <si>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</si>
  <si>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</si>
  <si>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</si>
  <si>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</si>
  <si>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</si>
  <si>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</si>
  <si>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</si>
  <si>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</si>
  <si>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</si>
  <si>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</si>
  <si>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</si>
  <si>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</si>
  <si>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</si>
  <si>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</si>
  <si>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</si>
  <si>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</si>
  <si>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</si>
  <si>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</si>
  <si>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</si>
  <si>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</si>
  <si>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</si>
  <si>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</si>
  <si>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</si>
  <si>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</si>
  <si>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</si>
  <si>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</si>
  <si>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</si>
  <si>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</si>
  <si>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</si>
  <si>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</si>
  <si>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</si>
  <si>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</si>
  <si>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</si>
  <si>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</si>
  <si>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</si>
  <si>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</si>
  <si>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</si>
  <si>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</si>
  <si>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</si>
  <si>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</si>
  <si>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</si>
  <si>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</si>
  <si>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</si>
  <si>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</si>
  <si>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</si>
  <si>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</si>
  <si>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</si>
  <si>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</si>
  <si>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</si>
  <si>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</si>
  <si>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</si>
  <si>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</si>
  <si>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</si>
  <si>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</si>
  <si>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</si>
  <si>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</si>
  <si>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</si>
  <si>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</si>
  <si>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</si>
  <si>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</si>
  <si>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</si>
  <si>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</si>
  <si>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</si>
  <si>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</si>
  <si>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</si>
  <si>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</si>
  <si>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</si>
  <si>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</si>
  <si>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</si>
  <si>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</si>
  <si>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</si>
  <si>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</si>
  <si>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</si>
  <si>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</si>
  <si>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</si>
  <si>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</si>
  <si>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</si>
  <si>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</si>
  <si>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</si>
  <si>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</si>
  <si>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</si>
  <si>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</si>
  <si>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</si>
  <si>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</si>
  <si>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</si>
  <si>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</si>
  <si>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</si>
  <si>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</si>
  <si>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</si>
  <si>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</si>
  <si>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</si>
  <si>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</si>
  <si>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</si>
  <si>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</si>
  <si>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</si>
  <si>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</si>
  <si>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</si>
  <si>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</si>
  <si>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</si>
  <si>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</si>
  <si>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</si>
  <si>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</si>
  <si>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</si>
  <si>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</si>
  <si>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</si>
  <si>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</si>
  <si>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</si>
  <si>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</si>
  <si>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</si>
  <si>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</si>
  <si>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</si>
  <si>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</si>
  <si>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</si>
  <si>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</si>
  <si>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</si>
  <si>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</si>
  <si>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</si>
  <si>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</si>
  <si>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</si>
  <si>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</si>
  <si>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</si>
  <si>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</si>
  <si>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</si>
  <si>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</si>
  <si>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</si>
  <si>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</si>
  <si>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</si>
  <si>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</si>
  <si>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</si>
  <si>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</si>
  <si>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</si>
  <si>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</si>
  <si>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</si>
  <si>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</si>
  <si>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</si>
  <si>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</si>
  <si>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</si>
  <si>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</si>
  <si>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</si>
  <si>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</si>
  <si>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</si>
  <si>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</si>
  <si>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</si>
  <si>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</si>
  <si>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</si>
  <si>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</si>
  <si>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</si>
  <si>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</si>
  <si>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</si>
  <si>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</si>
  <si>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</si>
  <si>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</si>
  <si>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</si>
  <si>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</si>
  <si>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</si>
  <si>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</si>
  <si>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</si>
  <si>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</si>
  <si>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</si>
  <si>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</si>
  <si>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</si>
  <si>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</si>
  <si>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</si>
  <si>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</si>
  <si>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</si>
  <si>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</si>
  <si>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</si>
  <si>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</si>
  <si>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</si>
  <si>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</si>
  <si>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</si>
  <si>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</si>
  <si>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</si>
  <si>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</si>
  <si>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</si>
  <si>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</si>
  <si>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</si>
  <si>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</si>
  <si>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</si>
  <si>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</si>
  <si>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</si>
  <si>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</si>
  <si>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</si>
  <si>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</si>
  <si>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</si>
  <si>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</si>
  <si>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</si>
  <si>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</si>
  <si>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</si>
  <si>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</si>
  <si>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</si>
  <si>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</si>
  <si>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</si>
  <si>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</si>
  <si>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</si>
  <si>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</si>
  <si>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</si>
  <si>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</si>
  <si>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</si>
  <si>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</si>
  <si>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</si>
  <si>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</si>
  <si>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</si>
  <si>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</si>
  <si>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</si>
  <si>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</si>
  <si>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</si>
  <si>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</si>
  <si>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</si>
  <si>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</si>
  <si>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</si>
  <si>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</si>
  <si>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</si>
  <si>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</si>
  <si>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</si>
  <si>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</si>
  <si>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</si>
  <si>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</si>
  <si>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</si>
  <si>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</si>
  <si>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</si>
  <si>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</si>
  <si>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</si>
  <si>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</si>
  <si>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</si>
  <si>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</si>
  <si>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</si>
  <si>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</si>
  <si>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</si>
  <si>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</si>
  <si>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</si>
  <si>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</si>
  <si>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</si>
  <si>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</si>
  <si>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</si>
  <si>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</si>
  <si>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</si>
  <si>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</si>
  <si>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</si>
  <si>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</si>
  <si>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</si>
  <si>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</si>
  <si>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</si>
  <si>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</si>
  <si>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</si>
  <si>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</si>
  <si>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</si>
  <si>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</si>
  <si>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</si>
  <si>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</si>
  <si>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</si>
  <si>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</si>
  <si>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</si>
  <si>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</si>
  <si>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</si>
  <si>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</si>
  <si>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</si>
  <si>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</si>
  <si>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</si>
  <si>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</si>
  <si>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</si>
  <si>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</si>
  <si>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</si>
  <si>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</si>
  <si>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</si>
  <si>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</si>
  <si>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</si>
  <si>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</si>
  <si>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</si>
  <si>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</si>
  <si>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</si>
  <si>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</si>
  <si>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</si>
  <si>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</si>
  <si>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</si>
  <si>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</si>
  <si>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</si>
  <si>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</si>
  <si>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</si>
  <si>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</si>
  <si>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</si>
  <si>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</si>
  <si>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</si>
  <si>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</si>
  <si>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</si>
  <si>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</si>
  <si>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</si>
  <si>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</si>
  <si>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</si>
  <si>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</si>
  <si>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</si>
  <si>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</si>
  <si>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</si>
  <si>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</si>
  <si>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</si>
  <si>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</si>
  <si>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</si>
  <si>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</si>
  <si>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</si>
  <si>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</si>
  <si>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</si>
  <si>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</si>
  <si>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</si>
  <si>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</si>
  <si>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</si>
  <si>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</si>
  <si>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</si>
  <si>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</si>
  <si>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</si>
  <si>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</si>
  <si>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</si>
  <si>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</si>
  <si>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</si>
  <si>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</si>
  <si>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</si>
  <si>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</si>
  <si>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</si>
  <si>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</si>
  <si>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</si>
  <si>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</si>
  <si>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</si>
  <si>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</si>
  <si>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</si>
  <si>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</si>
  <si>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</si>
  <si>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</si>
  <si>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</si>
  <si>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</si>
  <si>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</si>
  <si>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</si>
  <si>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</si>
  <si>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</si>
  <si>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</si>
  <si>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</si>
  <si>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</si>
  <si>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</si>
  <si>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</si>
  <si>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</si>
  <si>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</si>
  <si>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</si>
  <si>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</si>
  <si>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</si>
  <si>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</si>
  <si>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</si>
  <si>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</si>
  <si>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</si>
  <si>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</si>
  <si>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</si>
  <si>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</si>
  <si>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</si>
  <si>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</si>
  <si>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</si>
  <si>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</si>
  <si>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</si>
  <si>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</si>
  <si>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</si>
  <si>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</si>
  <si>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</si>
  <si>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</si>
  <si>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</si>
  <si>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</si>
  <si>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</si>
  <si>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</si>
  <si>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</si>
  <si>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</si>
  <si>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</si>
  <si>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</si>
  <si>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</si>
  <si>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</si>
  <si>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</si>
  <si>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</si>
  <si>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</si>
  <si>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</si>
  <si>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</si>
  <si>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</si>
  <si>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</si>
  <si>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</si>
  <si>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</si>
  <si>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</si>
  <si>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</si>
  <si>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</si>
  <si>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</si>
  <si>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</si>
  <si>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</si>
  <si>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</si>
  <si>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</si>
  <si>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</si>
  <si>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</si>
  <si>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</si>
  <si>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</si>
  <si>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</si>
  <si>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</si>
  <si>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</si>
  <si>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</si>
  <si>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</si>
  <si>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</si>
  <si>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</si>
  <si>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</si>
  <si>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</si>
  <si>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</si>
  <si>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</si>
  <si>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</si>
  <si>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</si>
  <si>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</si>
  <si>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</si>
  <si>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</si>
  <si>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</si>
  <si>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</si>
  <si>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</si>
  <si>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</si>
  <si>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</si>
  <si>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</si>
  <si>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</si>
  <si>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</si>
  <si>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</si>
  <si>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</si>
  <si>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</si>
  <si>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</si>
  <si>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</si>
  <si>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</si>
  <si>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</si>
  <si>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</si>
  <si>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</si>
  <si>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</si>
  <si>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</si>
  <si>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</si>
  <si>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</si>
  <si>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</si>
  <si>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</si>
  <si>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</si>
  <si>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</si>
  <si>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</si>
  <si>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</si>
  <si>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</si>
  <si>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</si>
  <si>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</si>
  <si>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</si>
  <si>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</si>
  <si>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</si>
  <si>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</si>
  <si>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</si>
  <si>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</si>
  <si>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</si>
  <si>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</si>
  <si>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</si>
  <si>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</si>
  <si>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</si>
  <si>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</si>
  <si>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</si>
  <si>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</si>
  <si>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</si>
  <si>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</si>
  <si>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</si>
  <si>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</si>
  <si>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</si>
  <si>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</si>
  <si>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</si>
  <si>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</si>
  <si>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</si>
  <si>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</si>
  <si>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</si>
  <si>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</si>
  <si>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</si>
  <si>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</si>
  <si>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</si>
  <si>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</si>
  <si>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</si>
  <si>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</si>
  <si>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</si>
  <si>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</si>
  <si>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</si>
  <si>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</si>
  <si>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</si>
  <si>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</si>
  <si>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</si>
  <si>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</si>
  <si>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</si>
  <si>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</si>
  <si>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</si>
  <si>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</si>
  <si>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</si>
  <si>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</si>
  <si>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</si>
  <si>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</si>
  <si>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</si>
  <si>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</si>
  <si>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</si>
  <si>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</si>
  <si>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</si>
  <si>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</si>
  <si>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</si>
  <si>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</si>
  <si>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</si>
  <si>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</si>
  <si>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</si>
  <si>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</si>
  <si>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</si>
  <si>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</si>
  <si>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</si>
  <si>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</si>
  <si>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</si>
  <si>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</si>
  <si>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</si>
  <si>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</si>
  <si>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</si>
  <si>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</si>
  <si>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</si>
  <si>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</si>
  <si>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</si>
  <si>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</si>
  <si>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</si>
  <si>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</si>
  <si>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</si>
  <si>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</si>
  <si>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</si>
  <si>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</si>
  <si>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</si>
  <si>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</si>
  <si>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</si>
  <si>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</si>
  <si>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</si>
  <si>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</si>
  <si>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</si>
  <si>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</si>
  <si>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</si>
  <si>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</si>
  <si>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</si>
  <si>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</si>
  <si>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</si>
  <si>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</si>
  <si>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</si>
  <si>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</si>
  <si>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</si>
  <si>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</si>
  <si>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</si>
  <si>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</si>
  <si>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</si>
  <si>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</si>
  <si>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</si>
  <si>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</si>
  <si>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</si>
  <si>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</si>
  <si>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</si>
  <si>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</si>
  <si>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</si>
  <si>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</si>
  <si>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</si>
  <si>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</si>
  <si>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</si>
  <si>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</si>
  <si>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</si>
  <si>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</si>
  <si>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</si>
  <si>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</si>
  <si>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</si>
  <si>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</si>
  <si>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</si>
  <si>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</si>
  <si>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</si>
  <si>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</si>
  <si>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</si>
  <si>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</si>
  <si>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</si>
  <si>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</si>
  <si>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</si>
  <si>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</si>
  <si>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</si>
  <si>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</si>
  <si>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</si>
  <si>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</si>
  <si>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</si>
  <si>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</si>
  <si>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</si>
  <si>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</si>
  <si>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</si>
  <si>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</si>
  <si>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</si>
  <si>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</si>
  <si>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</si>
  <si>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</si>
  <si>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</si>
  <si>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</si>
  <si>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</si>
  <si>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</si>
  <si>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</si>
  <si>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</si>
  <si>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</si>
  <si>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</si>
  <si>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</si>
  <si>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</si>
  <si>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</si>
  <si>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</si>
  <si>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</si>
  <si>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</si>
  <si>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</si>
  <si>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</si>
  <si>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</si>
  <si>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</si>
  <si>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</si>
  <si>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</si>
  <si>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</si>
  <si>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</si>
  <si>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</si>
  <si>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</si>
  <si>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</si>
  <si>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</si>
  <si>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</si>
  <si>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</si>
  <si>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</si>
  <si>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</si>
  <si>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</si>
  <si>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</si>
  <si>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</si>
  <si>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</si>
  <si>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</si>
  <si>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</si>
  <si>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</si>
  <si>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</si>
  <si>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</si>
  <si>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</si>
  <si>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</si>
  <si>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</si>
  <si>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</si>
  <si>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</si>
  <si>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</si>
  <si>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</si>
  <si>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</si>
  <si>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</si>
  <si>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</si>
  <si>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</si>
  <si>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</si>
  <si>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</si>
  <si>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</si>
  <si>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</si>
  <si>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</si>
  <si>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</si>
  <si>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</si>
  <si>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</si>
  <si>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</si>
  <si>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</si>
  <si>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</si>
  <si>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</si>
  <si>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</si>
  <si>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</si>
  <si>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</si>
  <si>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</si>
  <si>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</si>
  <si>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</si>
  <si>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</si>
  <si>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</si>
  <si>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</si>
  <si>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</si>
  <si>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</si>
  <si>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</si>
  <si>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</si>
  <si>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</si>
  <si>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</si>
  <si>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</si>
  <si>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</si>
  <si>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</si>
  <si>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</si>
  <si>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</si>
  <si>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</si>
  <si>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</si>
  <si>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</si>
  <si>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</si>
  <si>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</si>
  <si>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</si>
  <si>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</si>
  <si>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</si>
  <si>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</si>
  <si>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</si>
  <si>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</si>
  <si>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</si>
  <si>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</si>
  <si>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</si>
  <si>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</si>
  <si>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</si>
  <si>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</si>
  <si>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</si>
  <si>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</si>
  <si>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</si>
  <si>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</si>
  <si>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</si>
  <si>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</si>
  <si>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</si>
  <si>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</si>
  <si>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</si>
  <si>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</si>
  <si>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</si>
  <si>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</si>
  <si>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</si>
  <si>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</si>
  <si>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</si>
  <si>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</si>
  <si>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</si>
  <si>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</si>
  <si>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</si>
  <si>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</si>
  <si>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</si>
  <si>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</si>
  <si>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</si>
  <si>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</si>
  <si>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</si>
  <si>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</si>
  <si>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</si>
  <si>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</si>
  <si>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</si>
  <si>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</si>
  <si>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</si>
  <si>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</si>
  <si>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</si>
  <si>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</si>
  <si>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</si>
  <si>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</si>
  <si>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</si>
  <si>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</si>
  <si>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</si>
  <si>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</si>
  <si>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</si>
  <si>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</si>
  <si>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</si>
  <si>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</si>
  <si>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</si>
  <si>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</si>
  <si>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</si>
  <si>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</si>
  <si>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</si>
  <si>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</si>
  <si>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</si>
  <si>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</si>
  <si>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</si>
  <si>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</si>
  <si>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</si>
  <si>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</si>
  <si>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</si>
  <si>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</si>
  <si>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</si>
  <si>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</si>
  <si>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</si>
  <si>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</si>
  <si>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</si>
  <si>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</si>
  <si>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</si>
  <si>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</si>
  <si>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</si>
  <si>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</si>
  <si>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</si>
  <si>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</si>
  <si>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</si>
  <si>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</si>
  <si>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</si>
  <si>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</si>
  <si>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</si>
  <si>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</si>
  <si>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</si>
  <si>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</si>
  <si>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</si>
  <si>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</si>
  <si>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</si>
  <si>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</si>
  <si>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</si>
  <si>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</si>
  <si>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</si>
  <si>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</si>
  <si>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</si>
  <si>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</si>
  <si>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</si>
  <si>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</si>
  <si>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</si>
  <si>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</si>
  <si>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</si>
  <si>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</si>
  <si>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</si>
  <si>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</si>
  <si>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</si>
  <si>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</si>
  <si>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</si>
  <si>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</si>
  <si>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</si>
  <si>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</si>
  <si>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</si>
  <si>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</si>
  <si>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</si>
  <si>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</si>
  <si>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</si>
  <si>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</si>
  <si>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</si>
  <si>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</si>
  <si>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</si>
  <si>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</si>
  <si>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</si>
  <si>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</si>
  <si>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</si>
  <si>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</si>
  <si>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</si>
  <si>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</si>
  <si>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</si>
  <si>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</si>
  <si>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</si>
  <si>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</si>
  <si>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</si>
  <si>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</si>
  <si>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</si>
  <si>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</si>
  <si>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</si>
  <si>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</si>
  <si>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</si>
  <si>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</si>
  <si>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</si>
  <si>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</si>
  <si>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</si>
  <si>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</si>
  <si>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</si>
  <si>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</si>
  <si>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</si>
  <si>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</si>
  <si>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</si>
  <si>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</si>
  <si>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</si>
  <si>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</si>
  <si>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</si>
  <si>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</si>
  <si>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</si>
  <si>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</si>
  <si>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</si>
  <si>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</si>
  <si>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</si>
  <si>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</si>
  <si>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</si>
  <si>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</si>
  <si>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</si>
  <si>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</si>
  <si>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</si>
  <si>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</si>
  <si>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</si>
  <si>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</si>
  <si>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</si>
  <si>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</si>
  <si>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</si>
  <si>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</si>
  <si>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</si>
  <si>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</si>
  <si>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</si>
  <si>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</si>
  <si>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</si>
  <si>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</si>
  <si>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</si>
  <si>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</si>
  <si>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</si>
  <si>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</si>
  <si>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</si>
  <si>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</si>
  <si>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</si>
  <si>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</si>
  <si>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</si>
  <si>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</si>
  <si>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</si>
  <si>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</si>
  <si>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</si>
  <si>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</si>
  <si>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</si>
  <si>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</si>
  <si>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</si>
  <si>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</si>
  <si>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</si>
  <si>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</si>
  <si>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</si>
  <si>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</si>
  <si>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</si>
  <si>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</si>
  <si>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</si>
  <si>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</si>
  <si>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</si>
  <si>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</si>
  <si>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</si>
  <si>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</si>
  <si>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</si>
  <si>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</si>
  <si>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</si>
  <si>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</si>
  <si>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</si>
  <si>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</si>
  <si>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</si>
  <si>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</si>
  <si>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</si>
  <si>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</si>
  <si>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</si>
  <si>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</si>
  <si>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</si>
  <si>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</si>
  <si>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</si>
  <si>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</si>
  <si>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</si>
  <si>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</si>
  <si>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</si>
  <si>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</si>
  <si>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</si>
  <si>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</si>
  <si>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</si>
  <si>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</si>
  <si>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</si>
  <si>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</si>
  <si>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</si>
  <si>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</si>
  <si>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</si>
  <si>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</si>
  <si>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</si>
  <si>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</si>
  <si>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</si>
  <si>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</si>
  <si>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</si>
  <si>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</si>
  <si>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</si>
  <si>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</si>
  <si>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</si>
  <si>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</si>
  <si>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</si>
  <si>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</si>
  <si>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</si>
  <si>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</si>
  <si>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</si>
  <si>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</si>
  <si>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</si>
  <si>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</si>
  <si>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</si>
  <si>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</si>
  <si>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</si>
  <si>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</si>
  <si>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</si>
  <si>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</si>
  <si>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</si>
  <si>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</si>
  <si>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</si>
  <si>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</si>
  <si>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</si>
  <si>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</si>
  <si>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</si>
  <si>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</si>
  <si>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</si>
  <si>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</si>
  <si>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</si>
  <si>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</si>
  <si>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</si>
  <si>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</si>
  <si>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</si>
  <si>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</si>
  <si>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</si>
  <si>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</si>
  <si>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</si>
  <si>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</si>
  <si>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</si>
  <si>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</si>
  <si>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</si>
  <si>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</si>
  <si>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</si>
  <si>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</si>
  <si>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</si>
  <si>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</si>
  <si>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</si>
  <si>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</si>
  <si>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</si>
  <si>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</si>
  <si>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</si>
  <si>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</si>
  <si>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</si>
  <si>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</si>
  <si>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</si>
  <si>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</si>
  <si>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</si>
  <si>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</si>
  <si>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</si>
  <si>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</si>
  <si>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</si>
  <si>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</si>
  <si>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</si>
  <si>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</si>
  <si>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</si>
  <si>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</si>
  <si>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</si>
  <si>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</si>
  <si>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</si>
  <si>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</si>
  <si>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</si>
  <si>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</si>
  <si>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</si>
  <si>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</si>
  <si>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</si>
  <si>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</si>
  <si>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</si>
  <si>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</si>
  <si>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</si>
  <si>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</si>
  <si>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</si>
  <si>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</si>
  <si>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</si>
  <si>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</si>
  <si>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</si>
  <si>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</si>
  <si>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</si>
  <si>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</si>
  <si>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</si>
  <si>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</si>
  <si>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</si>
  <si>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</si>
  <si>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</si>
  <si>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</si>
  <si>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</si>
  <si>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</si>
  <si>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</si>
  <si>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</si>
  <si>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</si>
  <si>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</si>
  <si>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</si>
  <si>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</si>
  <si>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</si>
  <si>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</si>
  <si>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</si>
  <si>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</si>
  <si>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</si>
  <si>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</si>
  <si>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</si>
  <si>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</si>
  <si>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</si>
  <si>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</si>
  <si>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</si>
  <si>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</si>
  <si>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</si>
  <si>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</si>
  <si>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</si>
  <si>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</si>
  <si>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</si>
  <si>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</si>
  <si>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</si>
  <si>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</si>
  <si>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</si>
  <si>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</si>
  <si>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</si>
  <si>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</si>
  <si>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</si>
  <si>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</si>
  <si>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</si>
  <si>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</si>
  <si>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</si>
  <si>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</si>
  <si>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</si>
  <si>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</si>
  <si>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</si>
  <si>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</si>
  <si>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</si>
  <si>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</si>
  <si>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</si>
  <si>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</si>
  <si>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</si>
  <si>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</si>
  <si>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</si>
  <si>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</si>
  <si>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</si>
  <si>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</si>
  <si>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</si>
  <si>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</si>
  <si>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</si>
  <si>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</si>
  <si>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</si>
  <si>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</si>
  <si>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</si>
  <si>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</si>
  <si>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</si>
  <si>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</si>
  <si>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</si>
  <si>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</si>
  <si>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</si>
  <si>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</si>
  <si>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</si>
  <si>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</si>
  <si>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</si>
  <si>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</si>
  <si>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</si>
  <si>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</si>
  <si>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</si>
  <si>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</si>
  <si>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</si>
  <si>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</si>
  <si>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</si>
  <si>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</si>
  <si>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</si>
  <si>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</si>
  <si>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</si>
  <si>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</si>
  <si>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</si>
  <si>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</si>
  <si>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</si>
  <si>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</si>
  <si>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</si>
  <si>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</si>
  <si>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</si>
  <si>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</si>
  <si>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</si>
  <si>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</si>
  <si>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</si>
  <si>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</si>
  <si>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</si>
  <si>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</si>
  <si>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</si>
  <si>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</si>
  <si>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</si>
  <si>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</si>
  <si>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</si>
  <si>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</si>
  <si>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</si>
  <si>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</si>
  <si>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</si>
  <si>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</si>
  <si>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</si>
  <si>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</si>
  <si>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</si>
  <si>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</si>
  <si>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</si>
  <si>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</si>
  <si>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</si>
  <si>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</si>
  <si>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</si>
  <si>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</si>
  <si>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</si>
  <si>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</si>
  <si>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</si>
  <si>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</si>
  <si>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</si>
  <si>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</si>
  <si>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</si>
  <si>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</si>
  <si>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</si>
  <si>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</si>
  <si>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</si>
  <si>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</si>
  <si>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</si>
  <si>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</si>
  <si>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</si>
  <si>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</si>
  <si>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</si>
  <si>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</si>
  <si>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</si>
  <si>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</si>
  <si>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</si>
  <si>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</si>
  <si>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</si>
  <si>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</si>
  <si>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</si>
  <si>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</si>
  <si>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</si>
  <si>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</si>
  <si>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</si>
  <si>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</si>
  <si>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</si>
  <si>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</si>
  <si>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</si>
  <si>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</si>
  <si>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</si>
  <si>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</si>
  <si>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</si>
  <si>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</si>
  <si>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</si>
  <si>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</si>
  <si>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</si>
  <si>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</si>
  <si>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</si>
  <si>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</si>
  <si>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</si>
  <si>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</si>
  <si>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</si>
  <si>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</si>
  <si>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</si>
  <si>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</si>
  <si>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</si>
  <si>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</si>
  <si>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</si>
  <si>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</si>
  <si>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</si>
  <si>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</si>
  <si>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</si>
  <si>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</si>
  <si>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</si>
  <si>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</si>
  <si>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</si>
  <si>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</si>
  <si>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</si>
  <si>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</si>
  <si>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</si>
  <si>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</si>
  <si>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</si>
  <si>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</si>
  <si>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</si>
  <si>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</si>
  <si>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</si>
  <si>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</si>
  <si>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</si>
  <si>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</si>
  <si>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</si>
  <si>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</si>
  <si>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</si>
  <si>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</si>
  <si>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</si>
  <si>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</si>
  <si>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</si>
  <si>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</si>
  <si>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</si>
  <si>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</si>
  <si>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</si>
  <si>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</si>
  <si>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</si>
  <si>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</si>
  <si>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</si>
  <si>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</si>
  <si>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</si>
  <si>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</si>
  <si>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</si>
  <si>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</si>
  <si>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</si>
  <si>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</si>
  <si>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</si>
  <si>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</si>
  <si>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</si>
  <si>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</si>
  <si>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</si>
  <si>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</si>
  <si>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</si>
  <si>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</si>
  <si>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</si>
  <si>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</si>
  <si>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</si>
  <si>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</si>
  <si>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</si>
  <si>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</si>
  <si>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</si>
  <si>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</si>
  <si>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</si>
  <si>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</si>
  <si>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</si>
  <si>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</si>
  <si>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</si>
  <si>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</si>
  <si>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</si>
  <si>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</si>
  <si>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</si>
  <si>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</si>
  <si>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</si>
  <si>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</si>
  <si>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</si>
  <si>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</si>
  <si>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</si>
  <si>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</si>
  <si>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</si>
  <si>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</si>
  <si>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</si>
  <si>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</si>
  <si>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</si>
  <si>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</si>
  <si>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</si>
  <si>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</si>
  <si>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</si>
  <si>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</si>
  <si>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</si>
  <si>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</si>
  <si>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</si>
  <si>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</si>
  <si>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</si>
  <si>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</si>
  <si>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</si>
  <si>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</si>
  <si>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</si>
  <si>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</si>
  <si>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</si>
  <si>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</si>
  <si>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</si>
  <si>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</si>
  <si>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</si>
  <si>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</si>
  <si>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</si>
  <si>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</si>
  <si>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</si>
  <si>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</si>
  <si>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</si>
  <si>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</si>
  <si>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</si>
  <si>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</si>
  <si>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</si>
  <si>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</si>
  <si>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</si>
  <si>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</si>
  <si>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</si>
  <si>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</si>
  <si>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</si>
  <si>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</si>
  <si>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</si>
  <si>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</si>
  <si>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</si>
  <si>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</si>
  <si>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</si>
  <si>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</si>
  <si>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</si>
  <si>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</si>
  <si>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</si>
  <si>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</si>
  <si>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</si>
  <si>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</si>
  <si>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</si>
  <si>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</si>
  <si>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</si>
  <si>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</si>
  <si>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</si>
  <si>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</si>
  <si>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</si>
  <si>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</si>
  <si>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</si>
  <si>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</si>
  <si>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</si>
  <si>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</si>
  <si>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</si>
  <si>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</si>
  <si>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</si>
  <si>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</si>
  <si>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</si>
  <si>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</si>
  <si>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</si>
  <si>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</si>
  <si>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</si>
  <si>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</si>
  <si>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</si>
  <si>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</si>
  <si>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</si>
  <si>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</si>
  <si>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</si>
  <si>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</si>
  <si>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</si>
  <si>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</si>
  <si>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</si>
  <si>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</si>
  <si>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</si>
  <si>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</si>
  <si>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</si>
  <si>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</si>
  <si>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</si>
  <si>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</si>
  <si>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</si>
  <si>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</si>
  <si>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</si>
  <si>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</si>
  <si>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</si>
  <si>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</si>
  <si>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</si>
  <si>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</si>
  <si>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</si>
  <si>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</si>
  <si>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</si>
  <si>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</si>
  <si>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</si>
  <si>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</si>
  <si>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</si>
  <si>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</si>
  <si>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</si>
  <si>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</si>
  <si>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</si>
  <si>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</si>
  <si>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</si>
  <si>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</si>
  <si>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</si>
  <si>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</si>
  <si>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</si>
  <si>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</si>
  <si>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</si>
  <si>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</si>
  <si>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</si>
  <si>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</si>
  <si>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</si>
  <si>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</si>
  <si>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</si>
  <si>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</si>
  <si>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</si>
  <si>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</si>
  <si>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</si>
  <si>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</si>
  <si>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</si>
  <si>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</si>
  <si>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</si>
  <si>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</si>
  <si>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</si>
  <si>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</si>
  <si>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</si>
  <si>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</si>
  <si>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</si>
  <si>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</si>
  <si>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</si>
  <si>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</si>
  <si>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</si>
  <si>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</si>
  <si>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</si>
  <si>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</si>
  <si>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</si>
  <si>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</si>
  <si>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</si>
  <si>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</si>
  <si>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</si>
  <si>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</si>
  <si>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</si>
  <si>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</si>
  <si>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</si>
  <si>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</si>
  <si>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</si>
  <si>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</si>
  <si>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</si>
  <si>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</si>
  <si>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</si>
  <si>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</si>
  <si>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</si>
  <si>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</si>
  <si>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</si>
  <si>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</si>
  <si>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</si>
  <si>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</si>
  <si>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</si>
  <si>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</si>
  <si>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</si>
  <si>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</si>
  <si>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</si>
  <si>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</si>
  <si>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</si>
  <si>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</si>
  <si>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</si>
  <si>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</si>
  <si>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</si>
  <si>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</si>
  <si>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</si>
  <si>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</si>
  <si>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</si>
  <si>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</si>
  <si>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</si>
  <si>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</si>
  <si>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</si>
  <si>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</si>
  <si>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</si>
  <si>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</si>
  <si>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</si>
  <si>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</si>
  <si>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</si>
  <si>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</si>
  <si>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</si>
  <si>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</si>
  <si>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</si>
  <si>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</si>
  <si>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</si>
  <si>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</si>
  <si>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</si>
  <si>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</si>
  <si>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</si>
  <si>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</si>
  <si>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</si>
  <si>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</si>
  <si>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</si>
  <si>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</si>
  <si>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</si>
  <si>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</si>
  <si>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</si>
  <si>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</si>
  <si>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</si>
  <si>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</si>
  <si>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</si>
  <si>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</si>
  <si>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</si>
  <si>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</si>
  <si>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</si>
  <si>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</si>
  <si>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</si>
  <si>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</si>
  <si>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</si>
  <si>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</si>
  <si>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</si>
  <si>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</si>
  <si>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</si>
  <si>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</si>
  <si>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</si>
  <si>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</si>
  <si>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</si>
  <si>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</si>
  <si>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</si>
  <si>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</si>
  <si>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</si>
  <si>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</si>
  <si>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</si>
  <si>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</si>
  <si>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</si>
  <si>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</si>
  <si>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</si>
  <si>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</si>
  <si>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</si>
  <si>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</si>
  <si>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</si>
  <si>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</si>
  <si>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</si>
  <si>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</si>
  <si>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</si>
  <si>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</si>
  <si>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</si>
  <si>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</si>
  <si>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</si>
  <si>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</si>
  <si>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</si>
  <si>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</si>
  <si>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</si>
  <si>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</si>
  <si>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</si>
  <si>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</si>
  <si>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</si>
  <si>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</si>
  <si>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</si>
  <si>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</si>
  <si>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</si>
  <si>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</si>
  <si>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</si>
  <si>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</si>
  <si>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</si>
  <si>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</si>
  <si>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</si>
  <si>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</si>
  <si>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</si>
  <si>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</si>
  <si>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</si>
  <si>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</si>
  <si>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</si>
  <si>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</si>
  <si>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</si>
  <si>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</si>
  <si>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</si>
  <si>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</si>
  <si>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</si>
  <si>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</si>
  <si>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</si>
  <si>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</si>
  <si>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</si>
  <si>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</si>
  <si>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</si>
  <si>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</si>
  <si>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</si>
  <si>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</si>
  <si>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</si>
  <si>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</si>
  <si>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</si>
  <si>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</si>
  <si>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</si>
  <si>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</si>
  <si>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</si>
  <si>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</si>
  <si>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</si>
  <si>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</si>
  <si>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</si>
  <si>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</si>
  <si>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</si>
  <si>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</si>
  <si>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</si>
  <si>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</si>
  <si>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</si>
  <si>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</si>
  <si>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</si>
  <si>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</si>
  <si>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</si>
  <si>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</si>
  <si>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</si>
  <si>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</si>
  <si>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</si>
  <si>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</si>
  <si>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</si>
  <si>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</si>
  <si>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</si>
  <si>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</si>
  <si>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</si>
  <si>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</si>
  <si>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</si>
  <si>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</si>
  <si>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</si>
  <si>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</si>
  <si>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</si>
  <si>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</si>
  <si>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</si>
  <si>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</si>
  <si>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</si>
  <si>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</si>
  <si>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</si>
  <si>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</si>
  <si>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</si>
  <si>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</si>
  <si>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</si>
  <si>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</si>
  <si>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</si>
  <si>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</si>
  <si>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</si>
  <si>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</si>
  <si>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</si>
  <si>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</si>
  <si>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</si>
  <si>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</si>
  <si>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</si>
  <si>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</si>
  <si>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</si>
  <si>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</si>
  <si>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</si>
  <si>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</si>
  <si>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</si>
  <si>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</si>
  <si>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</si>
  <si>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</si>
  <si>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</si>
  <si>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</si>
  <si>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</si>
  <si>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</si>
  <si>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</si>
  <si>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</si>
  <si>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</si>
  <si>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</si>
  <si>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</si>
  <si>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</si>
  <si>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</si>
  <si>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</si>
  <si>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</si>
  <si>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</si>
  <si>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</si>
  <si>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</si>
  <si>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</si>
  <si>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</si>
  <si>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</si>
  <si>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</si>
  <si>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</si>
  <si>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</si>
  <si>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</si>
  <si>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</si>
  <si>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</si>
  <si>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</si>
  <si>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</si>
  <si>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</si>
  <si>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</si>
  <si>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</si>
  <si>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</si>
  <si>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</si>
  <si>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</si>
  <si>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</si>
  <si>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</si>
  <si>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</si>
  <si>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</si>
  <si>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</si>
  <si>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</si>
  <si>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</si>
  <si>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</si>
  <si>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</si>
  <si>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</si>
  <si>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</si>
  <si>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</si>
  <si>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</si>
  <si>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</si>
  <si>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</si>
  <si>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</si>
  <si>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</si>
  <si>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</si>
  <si>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</si>
  <si>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</si>
  <si>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</si>
  <si>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</si>
  <si>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</si>
  <si>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</si>
  <si>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</si>
  <si>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</si>
  <si>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</si>
  <si>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</si>
  <si>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</si>
  <si>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</si>
  <si>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</si>
  <si>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</si>
  <si>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</si>
  <si>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</si>
  <si>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</si>
  <si>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</si>
  <si>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</si>
  <si>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</si>
  <si>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</si>
  <si>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</si>
  <si>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</si>
  <si>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</si>
  <si>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</si>
  <si>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</si>
  <si>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</si>
  <si>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</si>
  <si>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</si>
  <si>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</si>
  <si>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</si>
  <si>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</si>
  <si>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</si>
  <si>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</si>
  <si>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</si>
  <si>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</si>
  <si>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</si>
  <si>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</si>
  <si>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</si>
  <si>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</si>
  <si>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</si>
  <si>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</si>
  <si>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</si>
  <si>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</si>
  <si>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</si>
  <si>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</si>
  <si>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</si>
  <si>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</si>
  <si>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</si>
  <si>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</si>
  <si>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</si>
  <si>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</si>
  <si>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</si>
  <si>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</si>
  <si>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</si>
  <si>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</si>
  <si>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</si>
  <si>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</si>
  <si>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</si>
  <si>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</si>
  <si>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</si>
  <si>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</si>
  <si>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</si>
  <si>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</si>
  <si>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</si>
  <si>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</si>
  <si>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</si>
  <si>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</si>
  <si>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</si>
  <si>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</si>
  <si>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</si>
  <si>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</si>
  <si>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</si>
  <si>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</si>
  <si>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</si>
  <si>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</si>
  <si>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</si>
  <si>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</si>
  <si>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</si>
  <si>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</si>
  <si>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</si>
  <si>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</si>
  <si>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</si>
  <si>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</si>
  <si>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</si>
  <si>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</si>
  <si>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</si>
  <si>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</si>
  <si>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</si>
  <si>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</si>
  <si>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</si>
  <si>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</si>
  <si>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</si>
  <si>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</si>
  <si>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</si>
  <si>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</si>
  <si>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</si>
  <si>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</si>
  <si>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</si>
  <si>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</si>
  <si>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</si>
  <si>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</si>
  <si>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</si>
  <si>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</si>
  <si>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</si>
  <si>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</si>
  <si>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</si>
  <si>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</si>
  <si>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</si>
  <si>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</si>
  <si>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</si>
  <si>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</si>
  <si>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</si>
  <si>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</si>
  <si>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</si>
  <si>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</si>
  <si>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</si>
  <si>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</si>
  <si>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</si>
  <si>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</si>
  <si>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</si>
  <si>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</si>
  <si>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</si>
  <si>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</si>
  <si>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</si>
  <si>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</si>
  <si>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</si>
  <si>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</si>
  <si>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</si>
  <si>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</si>
  <si>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</si>
  <si>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</si>
  <si>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</si>
  <si>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</si>
  <si>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</si>
  <si>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</si>
  <si>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</si>
  <si>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</si>
  <si>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</si>
  <si>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</si>
  <si>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</si>
  <si>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</si>
  <si>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</si>
  <si>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</si>
  <si>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</si>
  <si>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</si>
  <si>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</si>
  <si>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</si>
  <si>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</si>
  <si>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</si>
  <si>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</si>
  <si>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</si>
  <si>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</si>
  <si>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</si>
  <si>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</si>
  <si>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</si>
  <si>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</si>
  <si>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</si>
  <si>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</si>
  <si>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</si>
  <si>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</si>
  <si>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</si>
  <si>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</si>
  <si>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</si>
  <si>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</si>
  <si>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</si>
  <si>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</si>
  <si>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</si>
  <si>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</si>
  <si>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</si>
  <si>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</si>
  <si>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</si>
  <si>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</si>
  <si>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</si>
  <si>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</si>
  <si>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</si>
  <si>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</si>
  <si>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</si>
  <si>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</si>
  <si>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</si>
  <si>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</si>
  <si>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</si>
  <si>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</si>
  <si>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</si>
  <si>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</si>
  <si>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</si>
  <si>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</si>
  <si>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</si>
  <si>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</si>
  <si>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</si>
  <si>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</si>
  <si>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</si>
  <si>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</si>
  <si>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</si>
  <si>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</si>
  <si>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</si>
  <si>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</si>
  <si>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</si>
  <si>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</si>
  <si>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</si>
  <si>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</si>
  <si>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</si>
  <si>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</si>
  <si>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</si>
  <si>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</si>
  <si>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</si>
  <si>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</si>
  <si>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</si>
  <si>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</si>
  <si>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</si>
  <si>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</si>
  <si>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</si>
  <si>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</si>
  <si>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</si>
  <si>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</si>
  <si>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</si>
  <si>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</si>
  <si>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</si>
  <si>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</si>
  <si>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</si>
  <si>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</si>
  <si>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</si>
  <si>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</si>
  <si>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</si>
  <si>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</si>
  <si>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</si>
  <si>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</si>
  <si>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</si>
  <si>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</si>
  <si>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</si>
  <si>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</si>
  <si>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</si>
  <si>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</si>
  <si>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</si>
  <si>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</si>
  <si>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</si>
  <si>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</si>
  <si>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</si>
  <si>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</si>
  <si>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</si>
  <si>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</si>
  <si>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</si>
  <si>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</si>
  <si>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</si>
  <si>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</si>
  <si>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</si>
  <si>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</si>
  <si>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</si>
  <si>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</si>
  <si>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</si>
  <si>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</si>
  <si>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</si>
  <si>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</si>
  <si>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</si>
  <si>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</si>
  <si>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</si>
  <si>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</si>
  <si>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</si>
  <si>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</si>
  <si>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</si>
  <si>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</si>
  <si>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</si>
  <si>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</si>
  <si>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</si>
  <si>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</si>
  <si>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</si>
  <si>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</si>
  <si>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</si>
  <si>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</si>
  <si>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</si>
  <si>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</si>
  <si>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</si>
  <si>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</si>
  <si>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</si>
  <si>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</si>
  <si>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</si>
  <si>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</si>
  <si>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</si>
  <si>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</si>
  <si>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</si>
  <si>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</si>
  <si>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</si>
  <si>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</si>
  <si>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</si>
  <si>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</si>
  <si>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</si>
  <si>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</si>
  <si>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</si>
  <si>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</si>
  <si>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</si>
  <si>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</si>
  <si>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</si>
  <si>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</si>
  <si>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</si>
  <si>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</si>
  <si>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</si>
  <si>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</si>
  <si>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</si>
  <si>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</si>
  <si>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</si>
  <si>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</si>
  <si>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</si>
  <si>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</si>
  <si>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</si>
  <si>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</si>
  <si>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</si>
  <si>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</si>
  <si>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</si>
  <si>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</si>
  <si>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</si>
  <si>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</si>
  <si>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</si>
  <si>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</si>
  <si>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</si>
  <si>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</si>
  <si>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</si>
  <si>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</si>
  <si>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</si>
  <si>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</si>
  <si>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</si>
  <si>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</si>
  <si>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</si>
  <si>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</si>
  <si>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</si>
  <si>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</si>
  <si>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</si>
  <si>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</si>
  <si>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</si>
  <si>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</si>
  <si>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</si>
  <si>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</si>
  <si>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</si>
  <si>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</si>
  <si>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</si>
  <si>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</si>
  <si>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</si>
  <si>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</si>
  <si>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</si>
  <si>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</si>
  <si>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</si>
  <si>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</si>
  <si>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</si>
  <si>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</si>
  <si>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</si>
  <si>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</si>
  <si>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</si>
  <si>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</si>
  <si>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</si>
  <si>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</si>
  <si>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</si>
  <si>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</si>
  <si>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</si>
  <si>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</si>
  <si>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</si>
  <si>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</si>
  <si>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</si>
  <si>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</si>
  <si>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</si>
  <si>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</si>
  <si>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</si>
  <si>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</si>
  <si>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</si>
  <si>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</si>
  <si>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</si>
  <si>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</si>
  <si>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</si>
  <si>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</si>
  <si>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</si>
  <si>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</si>
  <si>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</si>
  <si>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</si>
  <si>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</si>
  <si>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</si>
  <si>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</si>
  <si>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</si>
  <si>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</si>
  <si>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</si>
  <si>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</si>
  <si>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</si>
  <si>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</si>
  <si>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</si>
  <si>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</si>
  <si>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</si>
  <si>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</si>
  <si>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</si>
  <si>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</si>
  <si>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</si>
  <si>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</si>
  <si>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</si>
  <si>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</si>
  <si>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</si>
  <si>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</si>
  <si>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</si>
  <si>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</si>
  <si>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</si>
  <si>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</si>
  <si>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</si>
  <si>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</si>
  <si>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</si>
  <si>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</si>
  <si>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</si>
  <si>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</si>
  <si>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</si>
  <si>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</si>
  <si>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</si>
  <si>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</si>
  <si>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</si>
  <si>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</si>
  <si>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</si>
  <si>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</si>
  <si>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</si>
  <si>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</si>
  <si>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</si>
  <si>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</si>
  <si>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</si>
  <si>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</si>
  <si>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</si>
  <si>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</si>
  <si>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</si>
  <si>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</si>
  <si>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</si>
  <si>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</si>
  <si>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</si>
  <si>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</si>
  <si>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</si>
  <si>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</si>
  <si>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</si>
  <si>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</si>
  <si>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</si>
  <si>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</si>
  <si>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</si>
  <si>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</si>
  <si>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</si>
  <si>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</si>
  <si>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</si>
  <si>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</si>
  <si>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</si>
  <si>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</si>
  <si>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</si>
  <si>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</si>
  <si>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</si>
  <si>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</si>
  <si>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</si>
  <si>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</si>
  <si>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</si>
  <si>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</si>
  <si>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</si>
  <si>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</si>
  <si>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</si>
  <si>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</si>
  <si>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</si>
  <si>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</si>
  <si>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</si>
  <si>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</si>
  <si>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</si>
  <si>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</si>
  <si>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</si>
  <si>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</si>
  <si>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</si>
  <si>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</si>
  <si>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</si>
  <si>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</si>
  <si>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</si>
  <si>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</si>
  <si>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</si>
  <si>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</si>
  <si>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</si>
  <si>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</si>
  <si>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</si>
  <si>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</si>
  <si>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</si>
  <si>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</si>
  <si>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</si>
  <si>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</si>
  <si>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</si>
  <si>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</si>
  <si>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</si>
  <si>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</si>
  <si>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</si>
  <si>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</si>
  <si>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</si>
  <si>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</si>
  <si>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</si>
  <si>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</si>
  <si>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</si>
  <si>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</si>
  <si>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</si>
  <si>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</si>
  <si>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</si>
  <si>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</si>
  <si>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</si>
  <si>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</si>
  <si>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</si>
  <si>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</si>
  <si>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</si>
  <si>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</si>
  <si>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</si>
  <si>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</si>
  <si>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</si>
  <si>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</si>
  <si>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</si>
  <si>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</si>
  <si>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</si>
  <si>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</si>
  <si>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</si>
  <si>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</si>
  <si>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</si>
  <si>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</si>
  <si>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</si>
  <si>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</si>
  <si>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</si>
  <si>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</si>
  <si>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</si>
  <si>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</si>
  <si>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</si>
  <si>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</si>
  <si>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</si>
  <si>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</si>
  <si>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</si>
  <si>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</si>
  <si>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</si>
  <si>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</si>
  <si>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</si>
  <si>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</si>
  <si>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</si>
  <si>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</si>
  <si>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</si>
  <si>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</si>
  <si>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</si>
  <si>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</si>
  <si>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</si>
  <si>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</si>
  <si>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</si>
  <si>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</si>
  <si>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</si>
  <si>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</si>
  <si>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</si>
  <si>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</si>
  <si>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</si>
  <si>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</si>
  <si>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</si>
  <si>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</si>
  <si>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</si>
  <si>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</si>
  <si>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</si>
  <si>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</si>
  <si>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</si>
  <si>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</si>
  <si>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</si>
  <si>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</si>
  <si>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</si>
  <si>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</si>
  <si>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</si>
  <si>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</si>
  <si>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</si>
  <si>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 xml:space="preserve">A0575 Rancho Cordova, L.P. </t>
  </si>
  <si>
    <t xml:space="preserve">Crossings at Woodberry Way </t>
  </si>
  <si>
    <t xml:space="preserve">Santa Ana </t>
  </si>
  <si>
    <t>City of Rancho Cordova</t>
  </si>
  <si>
    <t>Stefan Heisler  Housing Manager</t>
  </si>
  <si>
    <t xml:space="preserve">2729 Prospect Drive </t>
  </si>
  <si>
    <t>Rancho Cordova</t>
  </si>
  <si>
    <t>916  851-8757</t>
  </si>
  <si>
    <t>916  851-8787</t>
  </si>
  <si>
    <t>sheisler@cityofranchocordova.org</t>
  </si>
  <si>
    <t xml:space="preserve">2738 Woodberry Way </t>
  </si>
  <si>
    <t xml:space="preserve">Rancho Cordova </t>
  </si>
  <si>
    <t>057-0221-022</t>
  </si>
  <si>
    <t>40%/60%</t>
  </si>
  <si>
    <t>2000 E Fourth Street  #205</t>
  </si>
  <si>
    <t>Santa Ana</t>
  </si>
  <si>
    <t>John F. Bigley</t>
  </si>
  <si>
    <t>(714) 835-3955</t>
  </si>
  <si>
    <t>jbigley@uhcllc.net</t>
  </si>
  <si>
    <t>714 835-3275</t>
  </si>
  <si>
    <t>CA</t>
  </si>
  <si>
    <t>A0575 Rancho Cordova Holdings LLC</t>
  </si>
  <si>
    <t>2000 E Fourth Street #205</t>
  </si>
  <si>
    <t>Managing GP</t>
  </si>
  <si>
    <t>Ikaika Ohana</t>
  </si>
  <si>
    <t>A0575 Rancho Cordova Admin Holdings LLC</t>
  </si>
  <si>
    <t>Administrative GP</t>
  </si>
  <si>
    <t>Blieu Companies, LLC</t>
  </si>
  <si>
    <t>Blieu Companies LLC</t>
  </si>
  <si>
    <t>2000 E Fourth Street, #205</t>
  </si>
  <si>
    <t>Mark Irving</t>
  </si>
  <si>
    <t>714 835-3955</t>
  </si>
  <si>
    <t>mirving@uhcllc.net</t>
  </si>
  <si>
    <t>Parent entity of administrative general partner</t>
  </si>
  <si>
    <t>not selected at this time</t>
  </si>
  <si>
    <t>A0575 Rancho Cordova Development LLC</t>
  </si>
  <si>
    <t>Santa Ana, CA 92705</t>
  </si>
  <si>
    <t>714-835-3955</t>
  </si>
  <si>
    <t>KTGY</t>
  </si>
  <si>
    <t>17911 Von Karman Ave, Suite 200</t>
  </si>
  <si>
    <t>Irvine,  CA 92614</t>
  </si>
  <si>
    <t>Keith Labus</t>
  </si>
  <si>
    <t>949  221-6278</t>
  </si>
  <si>
    <t>949 797-8305</t>
  </si>
  <si>
    <t>klabus@ktgy.com</t>
  </si>
  <si>
    <t>Sabelhaus &amp; Strain PC</t>
  </si>
  <si>
    <t>1724 10th Street, Suite 110</t>
  </si>
  <si>
    <t>Sacramento,  CA 95811</t>
  </si>
  <si>
    <t>916 444-0286</t>
  </si>
  <si>
    <t>sstrain@sabelhauslaw.com</t>
  </si>
  <si>
    <t>Melas Energy Engineering</t>
  </si>
  <si>
    <t>547 Uren Street</t>
  </si>
  <si>
    <t>Nevada City, CA 95959</t>
  </si>
  <si>
    <t>Chris Miller</t>
  </si>
  <si>
    <t>530-265-2492</t>
  </si>
  <si>
    <t>530 265-2473</t>
  </si>
  <si>
    <t>chris@melasenergy.com</t>
  </si>
  <si>
    <t>Novogradac &amp; Company</t>
  </si>
  <si>
    <t>2033 N. Main St</t>
  </si>
  <si>
    <t>Walnut Creek, CA 94596</t>
  </si>
  <si>
    <t xml:space="preserve">Jon Adkins </t>
  </si>
  <si>
    <t>925 949-4251</t>
  </si>
  <si>
    <t>Jon.Adkins@novoco.com</t>
  </si>
  <si>
    <t>Granite Bay, CA 95746</t>
  </si>
  <si>
    <t>Stacie Altmann</t>
  </si>
  <si>
    <t>Raney Planning Management</t>
  </si>
  <si>
    <t xml:space="preserve">1501 Sports Drive </t>
  </si>
  <si>
    <t>Sacramento, CA 95834</t>
  </si>
  <si>
    <t>Stefanie Williams</t>
  </si>
  <si>
    <t>916 372-6100</t>
  </si>
  <si>
    <t>916 419-6108</t>
  </si>
  <si>
    <t>swilliams@laurinassociated.com</t>
  </si>
  <si>
    <t>Tucker Appraisal Valuation Service</t>
  </si>
  <si>
    <t>40981 Lacroix Avenue</t>
  </si>
  <si>
    <t>Murrieta, CA 92562</t>
  </si>
  <si>
    <t>Noble Tucker</t>
  </si>
  <si>
    <t>951  719-6652</t>
  </si>
  <si>
    <t>tuckernoble@yahoo.com</t>
  </si>
  <si>
    <t>Buckingham Property Management</t>
  </si>
  <si>
    <t>601 Pollasky Ave, Suite 201</t>
  </si>
  <si>
    <t>Clovis, CA 93612</t>
  </si>
  <si>
    <t>Rosemary Lynch</t>
  </si>
  <si>
    <t>559-801-0716</t>
  </si>
  <si>
    <t>rlynch@buckinghampm.com</t>
  </si>
  <si>
    <t>Stefan Heisler</t>
  </si>
  <si>
    <t>Housing Manager</t>
  </si>
  <si>
    <t xml:space="preserve">2729 Prospect Park Drive,  </t>
  </si>
  <si>
    <t>Rancho Cordova, CA 95670</t>
  </si>
  <si>
    <t>Linda Budge</t>
  </si>
  <si>
    <t>Mayor</t>
  </si>
  <si>
    <t>916 851-8757</t>
  </si>
  <si>
    <t>Secured by Fee Interest</t>
  </si>
  <si>
    <t>Other (Specify below)</t>
  </si>
  <si>
    <t>Three Story, stacked flat apartments with tuck under garages</t>
  </si>
  <si>
    <t>Family</t>
  </si>
  <si>
    <t>RMU-Residential Mixed Use- Folsom Blvd. Specific Plan</t>
  </si>
  <si>
    <t>RMU-40 units/acre or 54 units with density bonus</t>
  </si>
  <si>
    <t>40'</t>
  </si>
  <si>
    <t>1 space/unit-28+0.6 spaces/unit/guest- 17</t>
  </si>
  <si>
    <t>City of Rancho Cordova residual receipts</t>
  </si>
  <si>
    <t>City of Rancho Cordova-land loan</t>
  </si>
  <si>
    <t>City of Rancho Cordova deferred fees</t>
  </si>
  <si>
    <t>SHRA residual receipts</t>
  </si>
  <si>
    <t>Citibank N.A.</t>
  </si>
  <si>
    <t>City of Rancho Cordova Land Loan</t>
  </si>
  <si>
    <t xml:space="preserve">City of Rancho Cordova </t>
  </si>
  <si>
    <t>Rancho Cordova impact fee note</t>
  </si>
  <si>
    <t>A0575 Rancho Cordova Dev LLC</t>
  </si>
  <si>
    <t>Variable</t>
  </si>
  <si>
    <t>Fixed</t>
  </si>
  <si>
    <t>787 W 5th Street, 29th Floor</t>
  </si>
  <si>
    <t>Los Angeles, CA 90071</t>
  </si>
  <si>
    <t>212  239-1726</t>
  </si>
  <si>
    <t>801 12th Street</t>
  </si>
  <si>
    <t>Sacramento, CA 95814</t>
  </si>
  <si>
    <t>Christine Weichert</t>
  </si>
  <si>
    <t>916  440-1353</t>
  </si>
  <si>
    <t>2729 Prospect Park Drive</t>
  </si>
  <si>
    <t>9788 Wexford Circle</t>
  </si>
  <si>
    <t>916 790-0246</t>
  </si>
  <si>
    <t>Tax credit equity</t>
  </si>
  <si>
    <t>2000 E. 4th St, Suite 205</t>
  </si>
  <si>
    <t>Deferred Developer Fee</t>
  </si>
  <si>
    <t>Revenue Prior to Conversion</t>
  </si>
  <si>
    <t>Permanent Loan</t>
  </si>
  <si>
    <t>Air Conditioning</t>
  </si>
  <si>
    <t>Telephone and Internet</t>
  </si>
  <si>
    <t>Benefits &amp; Taxes</t>
  </si>
  <si>
    <t xml:space="preserve">Supplies </t>
  </si>
  <si>
    <t>City of Rancho Cordova, land loan</t>
  </si>
  <si>
    <t xml:space="preserve">City of Rancho Cordova Impact Fee &amp; Gen. note </t>
  </si>
  <si>
    <t>Environmental Mitigation</t>
  </si>
  <si>
    <t xml:space="preserve">Buckingham Property Management </t>
  </si>
  <si>
    <t>SACRT</t>
  </si>
  <si>
    <t>1400 29th St.</t>
  </si>
  <si>
    <t>Sacramento, CA 95818</t>
  </si>
  <si>
    <t>Customer Service</t>
  </si>
  <si>
    <t>916 321-2877</t>
  </si>
  <si>
    <t>www.sacrt.com</t>
  </si>
  <si>
    <t>Safeway Grocery</t>
  </si>
  <si>
    <t>10635 Folsom Blvd</t>
  </si>
  <si>
    <t>Store Manager</t>
  </si>
  <si>
    <t xml:space="preserve">916 364-4940					</t>
  </si>
  <si>
    <t>www.safeway.com</t>
  </si>
  <si>
    <t>Federspiel Park</t>
  </si>
  <si>
    <t>2549 Chassella Way</t>
  </si>
  <si>
    <t>Park Supervisor</t>
  </si>
  <si>
    <t>916 842-3300</t>
  </si>
  <si>
    <t>www.crpd.com/parks/federspiel-park/</t>
  </si>
  <si>
    <t>Cordova High School</t>
  </si>
  <si>
    <t>2239 Chase Drive</t>
  </si>
  <si>
    <t>Principal</t>
  </si>
  <si>
    <t xml:space="preserve">916 294-2450					</t>
  </si>
  <si>
    <t>www.fcusd.org/chs</t>
  </si>
  <si>
    <t>Rancho Cordova residual receipts loan</t>
  </si>
  <si>
    <t>Rancho Cordova land loan</t>
  </si>
  <si>
    <t>Rancho Cordova impact fees note</t>
  </si>
  <si>
    <t>SHRA  HOME Funds</t>
  </si>
  <si>
    <t>Stephen Strain</t>
  </si>
  <si>
    <t>Sacramento, CA 95811</t>
  </si>
  <si>
    <t>Hao Li</t>
  </si>
  <si>
    <t>Sacramento Housing and Redevelopment Agency</t>
  </si>
  <si>
    <t>HOME Loan</t>
  </si>
  <si>
    <t>Construction Loan</t>
  </si>
  <si>
    <t>Land Loan</t>
  </si>
  <si>
    <t>Residual Receipts Loan</t>
  </si>
  <si>
    <t>Deferred Impact Fee Loan</t>
  </si>
  <si>
    <t>Tax Credit Equity</t>
  </si>
  <si>
    <t>200 E. 4th St., Suite 205</t>
  </si>
  <si>
    <t>Santa Ana, Ca 92705</t>
  </si>
  <si>
    <t>Loan of ARPA and PIP Grant Funds</t>
  </si>
  <si>
    <t>Deferred Ipanct Fee Loan</t>
  </si>
  <si>
    <t>Loan of ARPA and PIP Grants</t>
  </si>
  <si>
    <t>ARPA and PIP Grant Funds Loan</t>
  </si>
  <si>
    <t>P&amp;P Bond</t>
  </si>
  <si>
    <t>Inspections</t>
  </si>
  <si>
    <t>Borrower Attorney</t>
  </si>
  <si>
    <t>Residual Receipts Loans</t>
  </si>
  <si>
    <t>Red Stone Equity</t>
  </si>
  <si>
    <t>Matt Grosz</t>
  </si>
  <si>
    <t>matt.grosz@redstoneequity.com</t>
  </si>
  <si>
    <t>401 West A Street, Suite 1830</t>
  </si>
  <si>
    <t>San Diego, CA 92101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</si>
</sst>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169" fontId="4" fillId="7" borderId="0" xfId="273" applyNumberFormat="1" applyFont="1" applyFill="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13" fillId="0" borderId="12" xfId="0" applyNumberFormat="1" applyFon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72" fontId="4" fillId="0" borderId="0" xfId="546" applyNumberFormat="1" applyAlignment="1">
      <alignment horizontal="center"/>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4"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4" fillId="7" borderId="4" xfId="0" applyNumberFormat="1" applyFont="1" applyFill="1" applyBorder="1" applyAlignment="1" applyProtection="1">
      <alignment horizontal="right"/>
      <protection locked="0"/>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4" xfId="0" applyFont="1" applyBorder="1" applyAlignment="1">
      <alignment horizontal="center"/>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4"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3" fillId="0" borderId="4" xfId="0" applyFont="1" applyBorder="1" applyAlignment="1" applyProtection="1">
      <alignment horizontal="left"/>
      <protection locked="0"/>
    </xf>
    <xf numFmtId="0" fontId="0" fillId="7" borderId="5" xfId="0" applyFill="1" applyBorder="1" applyProtection="1">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0" fontId="4" fillId="7" borderId="4" xfId="0" applyNumberFormat="1" applyFont="1" applyFill="1" applyBorder="1" applyAlignment="1" applyProtection="1">
      <alignment horizontal="right"/>
      <protection locked="0"/>
    </xf>
    <xf numFmtId="0" fontId="12" fillId="0" borderId="0" xfId="0" applyFont="1" applyAlignment="1">
      <alignment horizontal="center"/>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3" fontId="13"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13" fillId="7" borderId="12" xfId="0" applyFont="1" applyFill="1" applyBorder="1" applyAlignment="1" applyProtection="1">
      <alignment horizontal="center"/>
      <protection locked="0"/>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2" fillId="0" borderId="0" xfId="0" applyNumberFormat="1" applyFont="1" applyAlignment="1">
      <alignment horizontal="center" vertical="center" wrapText="1"/>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4" fillId="7" borderId="4" xfId="766" applyFill="1" applyBorder="1" applyAlignment="1" applyProtection="1">
      <alignment horizontal="left"/>
      <protection locked="0"/>
    </xf>
    <xf numFmtId="167" fontId="4" fillId="7" borderId="5" xfId="766" applyNumberFormat="1" applyFill="1" applyBorder="1" applyAlignment="1" applyProtection="1">
      <alignment horizontal="left"/>
      <protection locked="0"/>
    </xf>
    <xf numFmtId="166" fontId="12" fillId="0" borderId="21" xfId="0" applyNumberFormat="1" applyFont="1" applyBorder="1" applyAlignment="1">
      <alignment horizontal="center"/>
    </xf>
    <xf numFmtId="9" fontId="21" fillId="0" borderId="12" xfId="0" applyNumberFormat="1" applyFont="1" applyBorder="1" applyAlignment="1">
      <alignment horizontal="center"/>
    </xf>
    <xf numFmtId="0" fontId="21" fillId="0" borderId="3"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 fontId="12" fillId="0" borderId="12" xfId="0" applyNumberFormat="1" applyFont="1" applyBorder="1" applyAlignment="1">
      <alignment horizontal="center"/>
    </xf>
    <xf numFmtId="1" fontId="12" fillId="0" borderId="20" xfId="0" applyNumberFormat="1" applyFont="1" applyBorder="1" applyAlignment="1">
      <alignment horizontal="center"/>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 fontId="12" fillId="46" borderId="15" xfId="0" applyNumberFormat="1" applyFont="1" applyFill="1" applyBorder="1" applyAlignment="1">
      <alignment horizontal="center"/>
    </xf>
    <xf numFmtId="0" fontId="4" fillId="7" borderId="5" xfId="766"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66"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12" fillId="0" borderId="0" xfId="0" applyFont="1" applyAlignment="1">
      <alignment horizontal="left" vertical="top" wrapText="1"/>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1" fillId="0" borderId="0" xfId="0" applyFont="1" applyAlignment="1">
      <alignment horizontal="right"/>
    </xf>
    <xf numFmtId="9" fontId="12" fillId="7" borderId="5" xfId="0" applyNumberFormat="1" applyFont="1" applyFill="1" applyBorder="1" applyAlignment="1" applyProtection="1">
      <alignment horizontal="left"/>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0" fontId="21" fillId="0" borderId="12" xfId="0" applyFont="1" applyBorder="1" applyAlignment="1">
      <alignment horizontal="center" vertical="center" wrapText="1"/>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lignment horizontal="center" vertical="top"/>
    </xf>
    <xf numFmtId="0" fontId="11" fillId="0" borderId="50" xfId="0" applyFont="1" applyBorder="1" applyAlignment="1">
      <alignment horizontal="center" vertical="top"/>
    </xf>
    <xf numFmtId="0" fontId="0" fillId="0" borderId="49" xfId="0"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Alignment="1">
      <alignment horizontal="left" vertical="top" wrapText="1"/>
    </xf>
    <xf numFmtId="44" fontId="12" fillId="0" borderId="0" xfId="164" applyFont="1" applyFill="1" applyBorder="1" applyAlignment="1" applyProtection="1">
      <alignment horizontal="left" vertical="top" wrapText="1"/>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1" fontId="13"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0" fontId="13" fillId="0" borderId="12" xfId="0" applyFont="1"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0" borderId="0" xfId="0" applyFont="1" applyAlignment="1">
      <alignment horizontal="left" vertical="top" wrapText="1" shrinkToFit="1"/>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2" fillId="0" borderId="0" xfId="574" applyFont="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27" fillId="0" borderId="47" xfId="0" applyFont="1" applyBorder="1" applyAlignment="1">
      <alignment horizontal="left" vertical="top" wrapText="1"/>
    </xf>
    <xf numFmtId="0" fontId="27" fillId="0" borderId="0" xfId="0" applyFont="1" applyAlignment="1">
      <alignment horizontal="left" vertical="top" wrapText="1"/>
    </xf>
    <xf numFmtId="0" fontId="21" fillId="46" borderId="17" xfId="0" applyFont="1"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13" fillId="12" borderId="12" xfId="0" applyNumberFormat="1" applyFont="1" applyFill="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166" fontId="11" fillId="0" borderId="12" xfId="0" applyNumberFormat="1" applyFont="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12" xfId="0" applyFont="1" applyBorder="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21" fillId="0" borderId="0" xfId="0" applyFont="1" applyAlignment="1">
      <alignment horizontal="left" vertical="top" wrapText="1"/>
    </xf>
    <xf numFmtId="0" fontId="54" fillId="0" borderId="0" xfId="0" applyFont="1" applyAlignment="1">
      <alignment horizontal="left" vertical="top" wrapText="1"/>
    </xf>
    <xf numFmtId="0" fontId="0" fillId="7" borderId="4" xfId="0" applyFill="1" applyBorder="1" applyAlignment="1" applyProtection="1">
      <alignment horizontal="left" wrapText="1"/>
      <protection locked="0"/>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3" fillId="0" borderId="13" xfId="0" applyFont="1" applyBorder="1" applyAlignment="1">
      <alignment horizontal="left" vertical="top"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0" xfId="575" applyNumberFormat="1" applyFont="1" applyAlignment="1">
      <alignment horizontal="center"/>
    </xf>
    <xf numFmtId="2" fontId="127" fillId="0" borderId="5" xfId="575" applyNumberFormat="1"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0" fontId="127" fillId="51" borderId="5" xfId="575" applyFont="1" applyFill="1" applyBorder="1" applyAlignment="1" applyProtection="1">
      <alignment horizontal="center"/>
      <protection locked="0"/>
    </xf>
    <xf numFmtId="0" fontId="131" fillId="52" borderId="0" xfId="575" applyFont="1" applyFill="1" applyAlignment="1">
      <alignment horizontal="center"/>
    </xf>
    <xf numFmtId="49" fontId="10" fillId="5" borderId="0" xfId="278" applyNumberFormat="1" applyFont="1" applyFill="1" applyAlignment="1">
      <alignment horizontal="center" vertic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181" fontId="127"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0CD93B2B-2F95-4BD1-A1AB-8540E5C2FE89}"/>
    <cellStyle name="20% - Accent1 2 2 2 3" xfId="1035" xr:uid="{62F369F6-E506-482D-9024-FDAF2C6BCAC6}"/>
    <cellStyle name="20% - Accent1 2 2 3" xfId="580" xr:uid="{00000000-0005-0000-0000-000005000000}"/>
    <cellStyle name="20% - Accent1 2 2 3 2" xfId="1450" xr:uid="{A6FA8DCB-EFE7-47D7-8566-1583DA01FC3F}"/>
    <cellStyle name="20% - Accent1 2 2 4" xfId="1034" xr:uid="{4CBA2956-C6E1-441A-B2E1-31EB330229EF}"/>
    <cellStyle name="20% - Accent1 2 3" xfId="5" xr:uid="{00000000-0005-0000-0000-000006000000}"/>
    <cellStyle name="20% - Accent1 2 3 2" xfId="582" xr:uid="{00000000-0005-0000-0000-000007000000}"/>
    <cellStyle name="20% - Accent1 2 3 2 2" xfId="1452" xr:uid="{BC8480AA-8240-4A30-A197-3C4CEC979A8E}"/>
    <cellStyle name="20% - Accent1 2 3 3" xfId="1036" xr:uid="{F9B5FDA0-F0E1-4235-9F61-C94B5949892D}"/>
    <cellStyle name="20% - Accent1 2 4" xfId="579" xr:uid="{00000000-0005-0000-0000-000008000000}"/>
    <cellStyle name="20% - Accent1 2 4 2" xfId="1449" xr:uid="{7C7775CB-A811-4B16-9C74-87B02689CDC8}"/>
    <cellStyle name="20% - Accent1 2 5" xfId="1033" xr:uid="{E73B8AA0-708C-49B5-B5DC-EA057F885072}"/>
    <cellStyle name="20% - Accent1 3" xfId="6" xr:uid="{00000000-0005-0000-0000-000009000000}"/>
    <cellStyle name="20% - Accent1 3 2" xfId="7" xr:uid="{00000000-0005-0000-0000-00000A000000}"/>
    <cellStyle name="20% - Accent1 3 2 2" xfId="584" xr:uid="{00000000-0005-0000-0000-00000B000000}"/>
    <cellStyle name="20% - Accent1 3 2 2 2" xfId="1454" xr:uid="{62251D92-D5B1-4562-9534-6F84A7B0F049}"/>
    <cellStyle name="20% - Accent1 3 2 3" xfId="1038" xr:uid="{E4E28E5F-4FC2-44B7-B787-FE079A4B24EE}"/>
    <cellStyle name="20% - Accent1 3 3" xfId="583" xr:uid="{00000000-0005-0000-0000-00000C000000}"/>
    <cellStyle name="20% - Accent1 3 3 2" xfId="1453" xr:uid="{D417C8A6-87D4-4396-8503-4BBB732B51B2}"/>
    <cellStyle name="20% - Accent1 3 4" xfId="1037" xr:uid="{BD751439-1C0A-4234-9F84-D4036AC579C1}"/>
    <cellStyle name="20% - Accent1 4" xfId="8" xr:uid="{00000000-0005-0000-0000-00000D000000}"/>
    <cellStyle name="20% - Accent1 4 2" xfId="585" xr:uid="{00000000-0005-0000-0000-00000E000000}"/>
    <cellStyle name="20% - Accent1 4 2 2" xfId="1455" xr:uid="{0A67B534-311B-4BC5-9D38-42CE7B0E13F7}"/>
    <cellStyle name="20% - Accent1 4 3" xfId="1039" xr:uid="{91820060-F930-4900-B766-662359BCBE6F}"/>
    <cellStyle name="20% - Accent1 5" xfId="578" xr:uid="{00000000-0005-0000-0000-00000F000000}"/>
    <cellStyle name="20% - Accent1 5 2" xfId="1448" xr:uid="{FC655938-9F2B-4B5F-90D4-D9CE68D29C17}"/>
    <cellStyle name="20% - Accent1 6" xfId="1032" xr:uid="{1941D523-73AC-4E87-AC57-FC74EAC9DCE2}"/>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46964673-4612-4090-8268-C45CF7A4C019}"/>
    <cellStyle name="20% - Accent2 2 2 2 3" xfId="1043" xr:uid="{B3D00CF2-2677-440B-A27B-4730456D4ABC}"/>
    <cellStyle name="20% - Accent2 2 2 3" xfId="588" xr:uid="{00000000-0005-0000-0000-000015000000}"/>
    <cellStyle name="20% - Accent2 2 2 3 2" xfId="1458" xr:uid="{BA73EE6B-0C10-47F4-A5FC-8F8EC6392EC4}"/>
    <cellStyle name="20% - Accent2 2 2 4" xfId="1042" xr:uid="{D32D4164-9676-4410-AEE3-1D7FC8B1A903}"/>
    <cellStyle name="20% - Accent2 2 3" xfId="13" xr:uid="{00000000-0005-0000-0000-000016000000}"/>
    <cellStyle name="20% - Accent2 2 3 2" xfId="590" xr:uid="{00000000-0005-0000-0000-000017000000}"/>
    <cellStyle name="20% - Accent2 2 3 2 2" xfId="1460" xr:uid="{A6D21C69-5DAC-4122-9FB6-15AE7411ACF6}"/>
    <cellStyle name="20% - Accent2 2 3 3" xfId="1044" xr:uid="{B6FAD104-3053-475C-8166-06264202C7A8}"/>
    <cellStyle name="20% - Accent2 2 4" xfId="587" xr:uid="{00000000-0005-0000-0000-000018000000}"/>
    <cellStyle name="20% - Accent2 2 4 2" xfId="1457" xr:uid="{DA33AE8E-C35F-4FD0-A0EA-8AB735523B7C}"/>
    <cellStyle name="20% - Accent2 2 5" xfId="1041" xr:uid="{94395D3D-C7C3-4C7F-83EE-3F7B8EB7445D}"/>
    <cellStyle name="20% - Accent2 3" xfId="14" xr:uid="{00000000-0005-0000-0000-000019000000}"/>
    <cellStyle name="20% - Accent2 3 2" xfId="15" xr:uid="{00000000-0005-0000-0000-00001A000000}"/>
    <cellStyle name="20% - Accent2 3 2 2" xfId="592" xr:uid="{00000000-0005-0000-0000-00001B000000}"/>
    <cellStyle name="20% - Accent2 3 2 2 2" xfId="1462" xr:uid="{E9F325B6-943E-481C-BAA9-6BBA55A7EB7E}"/>
    <cellStyle name="20% - Accent2 3 2 3" xfId="1046" xr:uid="{128BE56F-B28E-4B52-888A-1AEF9A4A0585}"/>
    <cellStyle name="20% - Accent2 3 3" xfId="591" xr:uid="{00000000-0005-0000-0000-00001C000000}"/>
    <cellStyle name="20% - Accent2 3 3 2" xfId="1461" xr:uid="{4259FEA2-4791-40BF-B6E0-179F708008BE}"/>
    <cellStyle name="20% - Accent2 3 4" xfId="1045" xr:uid="{56A25FB8-D9E9-4B35-989B-968A48A41110}"/>
    <cellStyle name="20% - Accent2 4" xfId="16" xr:uid="{00000000-0005-0000-0000-00001D000000}"/>
    <cellStyle name="20% - Accent2 4 2" xfId="593" xr:uid="{00000000-0005-0000-0000-00001E000000}"/>
    <cellStyle name="20% - Accent2 4 2 2" xfId="1463" xr:uid="{633AFFE6-64D6-482B-8FDC-B67F193845E7}"/>
    <cellStyle name="20% - Accent2 4 3" xfId="1047" xr:uid="{15CA44BD-54E2-4425-A06D-DA8EBC5EF7E6}"/>
    <cellStyle name="20% - Accent2 5" xfId="586" xr:uid="{00000000-0005-0000-0000-00001F000000}"/>
    <cellStyle name="20% - Accent2 5 2" xfId="1456" xr:uid="{1A360079-84BE-403E-A005-E5D120B72782}"/>
    <cellStyle name="20% - Accent2 6" xfId="1040" xr:uid="{2D54E4CC-7F4F-4761-B25E-0DFDF56EBE7D}"/>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1E088D7F-E7BF-43E9-9A4A-8621DE6CDE97}"/>
    <cellStyle name="20% - Accent3 2 2 2 3" xfId="1051" xr:uid="{062FE21E-3A27-4963-9D73-AEF9397A7D83}"/>
    <cellStyle name="20% - Accent3 2 2 3" xfId="596" xr:uid="{00000000-0005-0000-0000-000025000000}"/>
    <cellStyle name="20% - Accent3 2 2 3 2" xfId="1466" xr:uid="{01B0A107-EF3B-4846-A6B4-2463BF3A857B}"/>
    <cellStyle name="20% - Accent3 2 2 4" xfId="1050" xr:uid="{E53FD6CC-D97C-4385-B84F-B99387843FB5}"/>
    <cellStyle name="20% - Accent3 2 3" xfId="21" xr:uid="{00000000-0005-0000-0000-000026000000}"/>
    <cellStyle name="20% - Accent3 2 3 2" xfId="598" xr:uid="{00000000-0005-0000-0000-000027000000}"/>
    <cellStyle name="20% - Accent3 2 3 2 2" xfId="1468" xr:uid="{D73FA2FE-6F72-468E-889D-60A9FD288A0D}"/>
    <cellStyle name="20% - Accent3 2 3 3" xfId="1052" xr:uid="{369B4211-7400-4B07-BE81-A30BC90074EA}"/>
    <cellStyle name="20% - Accent3 2 4" xfId="595" xr:uid="{00000000-0005-0000-0000-000028000000}"/>
    <cellStyle name="20% - Accent3 2 4 2" xfId="1465" xr:uid="{00708925-4D20-4866-BF71-5C828FAC8BD4}"/>
    <cellStyle name="20% - Accent3 2 5" xfId="1049" xr:uid="{FC7607CE-414E-45B8-83BD-F443DF7A164F}"/>
    <cellStyle name="20% - Accent3 3" xfId="22" xr:uid="{00000000-0005-0000-0000-000029000000}"/>
    <cellStyle name="20% - Accent3 3 2" xfId="23" xr:uid="{00000000-0005-0000-0000-00002A000000}"/>
    <cellStyle name="20% - Accent3 3 2 2" xfId="600" xr:uid="{00000000-0005-0000-0000-00002B000000}"/>
    <cellStyle name="20% - Accent3 3 2 2 2" xfId="1470" xr:uid="{917E3E0A-056C-40D1-A770-E04F92EEE311}"/>
    <cellStyle name="20% - Accent3 3 2 3" xfId="1054" xr:uid="{B63EE81A-3C13-4CA6-86AA-1D660CD55BB1}"/>
    <cellStyle name="20% - Accent3 3 3" xfId="599" xr:uid="{00000000-0005-0000-0000-00002C000000}"/>
    <cellStyle name="20% - Accent3 3 3 2" xfId="1469" xr:uid="{13CED55F-6EFA-4B4D-8148-981470038F54}"/>
    <cellStyle name="20% - Accent3 3 4" xfId="1053" xr:uid="{AE62F58C-4AC7-4B2B-98A3-CD34FE9D165F}"/>
    <cellStyle name="20% - Accent3 4" xfId="24" xr:uid="{00000000-0005-0000-0000-00002D000000}"/>
    <cellStyle name="20% - Accent3 4 2" xfId="601" xr:uid="{00000000-0005-0000-0000-00002E000000}"/>
    <cellStyle name="20% - Accent3 4 2 2" xfId="1471" xr:uid="{7D0629C1-992C-4CE3-8B6D-93450E879BA7}"/>
    <cellStyle name="20% - Accent3 4 3" xfId="1055" xr:uid="{4FFCF343-E921-4234-9A4D-D9FD646158CF}"/>
    <cellStyle name="20% - Accent3 5" xfId="594" xr:uid="{00000000-0005-0000-0000-00002F000000}"/>
    <cellStyle name="20% - Accent3 5 2" xfId="1464" xr:uid="{4A80B017-E914-4427-A17F-555B5958CED3}"/>
    <cellStyle name="20% - Accent3 6" xfId="1048" xr:uid="{4E8FAB63-1085-4CA7-8925-190F68FEDD15}"/>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805C74A5-B783-45DB-970F-B6F32525DB98}"/>
    <cellStyle name="20% - Accent4 2 2 2 3" xfId="1059" xr:uid="{58EFDB49-21A2-4FD9-85B0-12815DA61647}"/>
    <cellStyle name="20% - Accent4 2 2 3" xfId="604" xr:uid="{00000000-0005-0000-0000-000035000000}"/>
    <cellStyle name="20% - Accent4 2 2 3 2" xfId="1474" xr:uid="{DD015B0A-FFEE-48D3-981B-3E72C9C11F60}"/>
    <cellStyle name="20% - Accent4 2 2 4" xfId="1058" xr:uid="{2CB9CBC5-DEA0-4623-AC17-02A120934A97}"/>
    <cellStyle name="20% - Accent4 2 3" xfId="29" xr:uid="{00000000-0005-0000-0000-000036000000}"/>
    <cellStyle name="20% - Accent4 2 3 2" xfId="606" xr:uid="{00000000-0005-0000-0000-000037000000}"/>
    <cellStyle name="20% - Accent4 2 3 2 2" xfId="1476" xr:uid="{DB1A000B-6CFC-451E-8586-20A9012AFCF8}"/>
    <cellStyle name="20% - Accent4 2 3 3" xfId="1060" xr:uid="{1BCB5C7D-0CF2-49B5-BBBC-507403C3739F}"/>
    <cellStyle name="20% - Accent4 2 4" xfId="603" xr:uid="{00000000-0005-0000-0000-000038000000}"/>
    <cellStyle name="20% - Accent4 2 4 2" xfId="1473" xr:uid="{B490E891-BFAD-44D7-89DE-21ADDC20D22A}"/>
    <cellStyle name="20% - Accent4 2 5" xfId="1057" xr:uid="{97F74DCE-BC71-4771-A077-997165319EA5}"/>
    <cellStyle name="20% - Accent4 3" xfId="30" xr:uid="{00000000-0005-0000-0000-000039000000}"/>
    <cellStyle name="20% - Accent4 3 2" xfId="31" xr:uid="{00000000-0005-0000-0000-00003A000000}"/>
    <cellStyle name="20% - Accent4 3 2 2" xfId="608" xr:uid="{00000000-0005-0000-0000-00003B000000}"/>
    <cellStyle name="20% - Accent4 3 2 2 2" xfId="1478" xr:uid="{8D86B213-54F3-4377-9F03-DCBE8F9829A8}"/>
    <cellStyle name="20% - Accent4 3 2 3" xfId="1062" xr:uid="{16B5D626-6433-46BA-B668-3CCCF4E1D106}"/>
    <cellStyle name="20% - Accent4 3 3" xfId="607" xr:uid="{00000000-0005-0000-0000-00003C000000}"/>
    <cellStyle name="20% - Accent4 3 3 2" xfId="1477" xr:uid="{28BE6DAE-A261-4596-9170-F32EF3B74148}"/>
    <cellStyle name="20% - Accent4 3 4" xfId="1061" xr:uid="{605A61A2-4AAD-443A-9756-6C7649A2A576}"/>
    <cellStyle name="20% - Accent4 4" xfId="32" xr:uid="{00000000-0005-0000-0000-00003D000000}"/>
    <cellStyle name="20% - Accent4 4 2" xfId="609" xr:uid="{00000000-0005-0000-0000-00003E000000}"/>
    <cellStyle name="20% - Accent4 4 2 2" xfId="1479" xr:uid="{B09B634E-050A-46CF-B169-D356B4FB09A9}"/>
    <cellStyle name="20% - Accent4 4 3" xfId="1063" xr:uid="{DE2C8E79-E3DB-4F21-899D-7A16B9940B24}"/>
    <cellStyle name="20% - Accent4 5" xfId="602" xr:uid="{00000000-0005-0000-0000-00003F000000}"/>
    <cellStyle name="20% - Accent4 5 2" xfId="1472" xr:uid="{EAFC41C5-B044-4024-8155-0C9FB88B34CD}"/>
    <cellStyle name="20% - Accent4 6" xfId="1056" xr:uid="{6EE08A6A-5406-4593-A618-0D3B05B8521C}"/>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6ECCCAF2-BEE7-4C0D-A1B0-CCDB694C5D47}"/>
    <cellStyle name="20% - Accent5 2 2 2 3" xfId="1067" xr:uid="{2001560E-C211-4CCB-A36F-7E16C50A8E80}"/>
    <cellStyle name="20% - Accent5 2 2 3" xfId="612" xr:uid="{00000000-0005-0000-0000-000045000000}"/>
    <cellStyle name="20% - Accent5 2 2 3 2" xfId="1482" xr:uid="{02AA8509-95EE-4E58-B74D-EE22F9A2BEEC}"/>
    <cellStyle name="20% - Accent5 2 2 4" xfId="1066" xr:uid="{79C81611-5096-465E-85CC-3054A77C3225}"/>
    <cellStyle name="20% - Accent5 2 3" xfId="37" xr:uid="{00000000-0005-0000-0000-000046000000}"/>
    <cellStyle name="20% - Accent5 2 3 2" xfId="614" xr:uid="{00000000-0005-0000-0000-000047000000}"/>
    <cellStyle name="20% - Accent5 2 3 2 2" xfId="1484" xr:uid="{B6A26386-BB90-416F-9BC5-88A22AF7DA17}"/>
    <cellStyle name="20% - Accent5 2 3 3" xfId="1068" xr:uid="{1330E5A7-CCAA-4EFE-9D0F-C51BDE218291}"/>
    <cellStyle name="20% - Accent5 2 4" xfId="611" xr:uid="{00000000-0005-0000-0000-000048000000}"/>
    <cellStyle name="20% - Accent5 2 4 2" xfId="1481" xr:uid="{75DCD9B7-91E8-4D86-9950-7599EAB41F72}"/>
    <cellStyle name="20% - Accent5 2 5" xfId="1065" xr:uid="{8F0AFC1E-2A76-4CB5-A3E2-D2656B094E96}"/>
    <cellStyle name="20% - Accent5 3" xfId="38" xr:uid="{00000000-0005-0000-0000-000049000000}"/>
    <cellStyle name="20% - Accent5 3 2" xfId="39" xr:uid="{00000000-0005-0000-0000-00004A000000}"/>
    <cellStyle name="20% - Accent5 3 2 2" xfId="616" xr:uid="{00000000-0005-0000-0000-00004B000000}"/>
    <cellStyle name="20% - Accent5 3 2 2 2" xfId="1486" xr:uid="{4BB95A46-114A-4F53-B3A4-3BD5A6AD4BF2}"/>
    <cellStyle name="20% - Accent5 3 2 3" xfId="1070" xr:uid="{09EFEC32-B4B5-4105-BAD7-DFD5C06BA9F8}"/>
    <cellStyle name="20% - Accent5 3 3" xfId="615" xr:uid="{00000000-0005-0000-0000-00004C000000}"/>
    <cellStyle name="20% - Accent5 3 3 2" xfId="1485" xr:uid="{8CA70F94-E27A-4133-8223-5C539F98CA9E}"/>
    <cellStyle name="20% - Accent5 3 4" xfId="1069" xr:uid="{6B46FB19-CBD4-4751-A765-FA1C0CB8E718}"/>
    <cellStyle name="20% - Accent5 4" xfId="40" xr:uid="{00000000-0005-0000-0000-00004D000000}"/>
    <cellStyle name="20% - Accent5 4 2" xfId="617" xr:uid="{00000000-0005-0000-0000-00004E000000}"/>
    <cellStyle name="20% - Accent5 4 2 2" xfId="1487" xr:uid="{EC08B338-7912-425F-9C05-D4B6F1CB3C08}"/>
    <cellStyle name="20% - Accent5 4 3" xfId="1071" xr:uid="{9C831460-ADC1-490B-9A3C-EC688284780A}"/>
    <cellStyle name="20% - Accent5 5" xfId="610" xr:uid="{00000000-0005-0000-0000-00004F000000}"/>
    <cellStyle name="20% - Accent5 5 2" xfId="1480" xr:uid="{A6C58D8D-4A2E-475D-AA40-832678D192DD}"/>
    <cellStyle name="20% - Accent5 6" xfId="1064" xr:uid="{FC9AFB16-58CE-4175-8F0E-80E3D21C5E01}"/>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9E7B9199-0809-4F89-B1DD-E47DF15B5F90}"/>
    <cellStyle name="20% - Accent6 2 2 2 3" xfId="1075" xr:uid="{93894818-D1BC-4663-822D-0F09BD346806}"/>
    <cellStyle name="20% - Accent6 2 2 3" xfId="620" xr:uid="{00000000-0005-0000-0000-000055000000}"/>
    <cellStyle name="20% - Accent6 2 2 3 2" xfId="1490" xr:uid="{FA79AFDB-9BD1-4936-9220-D9AB4C580A40}"/>
    <cellStyle name="20% - Accent6 2 2 4" xfId="1074" xr:uid="{E89307B8-89BC-4353-9CA7-34D595241764}"/>
    <cellStyle name="20% - Accent6 2 3" xfId="45" xr:uid="{00000000-0005-0000-0000-000056000000}"/>
    <cellStyle name="20% - Accent6 2 3 2" xfId="622" xr:uid="{00000000-0005-0000-0000-000057000000}"/>
    <cellStyle name="20% - Accent6 2 3 2 2" xfId="1492" xr:uid="{C6613B14-1A80-4207-98E3-1B3F715DD624}"/>
    <cellStyle name="20% - Accent6 2 3 3" xfId="1076" xr:uid="{3509992B-E95E-48A2-9CD5-7408508D9C60}"/>
    <cellStyle name="20% - Accent6 2 4" xfId="619" xr:uid="{00000000-0005-0000-0000-000058000000}"/>
    <cellStyle name="20% - Accent6 2 4 2" xfId="1489" xr:uid="{3C697566-F14E-4D5A-9D9E-000A12815598}"/>
    <cellStyle name="20% - Accent6 2 5" xfId="1073" xr:uid="{04D0C146-7299-4870-A1E5-E19EE119D6CE}"/>
    <cellStyle name="20% - Accent6 3" xfId="46" xr:uid="{00000000-0005-0000-0000-000059000000}"/>
    <cellStyle name="20% - Accent6 3 2" xfId="47" xr:uid="{00000000-0005-0000-0000-00005A000000}"/>
    <cellStyle name="20% - Accent6 3 2 2" xfId="624" xr:uid="{00000000-0005-0000-0000-00005B000000}"/>
    <cellStyle name="20% - Accent6 3 2 2 2" xfId="1494" xr:uid="{5379651F-599D-426E-A5ED-8015A1FF68AF}"/>
    <cellStyle name="20% - Accent6 3 2 3" xfId="1078" xr:uid="{A0D1B0DE-8F44-4683-A957-3D0982C8E45C}"/>
    <cellStyle name="20% - Accent6 3 3" xfId="623" xr:uid="{00000000-0005-0000-0000-00005C000000}"/>
    <cellStyle name="20% - Accent6 3 3 2" xfId="1493" xr:uid="{DDBFEFBF-9850-40BF-A4CB-3700B418FBA6}"/>
    <cellStyle name="20% - Accent6 3 4" xfId="1077" xr:uid="{397FC188-4F18-4E2E-8C3E-781C0F595926}"/>
    <cellStyle name="20% - Accent6 4" xfId="48" xr:uid="{00000000-0005-0000-0000-00005D000000}"/>
    <cellStyle name="20% - Accent6 4 2" xfId="625" xr:uid="{00000000-0005-0000-0000-00005E000000}"/>
    <cellStyle name="20% - Accent6 4 2 2" xfId="1495" xr:uid="{82F95A75-29F4-40AA-9F36-3ECF72DF7AAC}"/>
    <cellStyle name="20% - Accent6 4 3" xfId="1079" xr:uid="{A6905A23-9EDE-4193-98F9-DF5F7BB56A9D}"/>
    <cellStyle name="20% - Accent6 5" xfId="618" xr:uid="{00000000-0005-0000-0000-00005F000000}"/>
    <cellStyle name="20% - Accent6 5 2" xfId="1488" xr:uid="{48280A88-FA67-4434-986D-BBD56864012F}"/>
    <cellStyle name="20% - Accent6 6" xfId="1072" xr:uid="{FCD88547-73D5-4B7E-916F-7A5291D05AC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5C27FA74-925B-4623-A1C1-9F005826636A}"/>
    <cellStyle name="40% - Accent1 2 2 2 3" xfId="1083" xr:uid="{9A9E0655-1021-4AEE-AA1B-47F9466D6812}"/>
    <cellStyle name="40% - Accent1 2 2 3" xfId="628" xr:uid="{00000000-0005-0000-0000-000065000000}"/>
    <cellStyle name="40% - Accent1 2 2 3 2" xfId="1498" xr:uid="{86BAEB88-650A-44D1-A57A-C1EDAF221719}"/>
    <cellStyle name="40% - Accent1 2 2 4" xfId="1082" xr:uid="{A2885356-0702-4DB5-9B15-5AD1859B1549}"/>
    <cellStyle name="40% - Accent1 2 3" xfId="53" xr:uid="{00000000-0005-0000-0000-000066000000}"/>
    <cellStyle name="40% - Accent1 2 3 2" xfId="630" xr:uid="{00000000-0005-0000-0000-000067000000}"/>
    <cellStyle name="40% - Accent1 2 3 2 2" xfId="1500" xr:uid="{E392AE09-5AF7-4E0A-B1B1-806744217AC6}"/>
    <cellStyle name="40% - Accent1 2 3 3" xfId="1084" xr:uid="{9B9EA913-A71F-43DA-919C-C3DE1044C6D3}"/>
    <cellStyle name="40% - Accent1 2 4" xfId="627" xr:uid="{00000000-0005-0000-0000-000068000000}"/>
    <cellStyle name="40% - Accent1 2 4 2" xfId="1497" xr:uid="{AAEC1B04-BCF5-411A-B329-3C1CA1B28195}"/>
    <cellStyle name="40% - Accent1 2 5" xfId="1081" xr:uid="{46AB80C0-7DE3-4768-8FA4-583164A755CF}"/>
    <cellStyle name="40% - Accent1 3" xfId="54" xr:uid="{00000000-0005-0000-0000-000069000000}"/>
    <cellStyle name="40% - Accent1 3 2" xfId="55" xr:uid="{00000000-0005-0000-0000-00006A000000}"/>
    <cellStyle name="40% - Accent1 3 2 2" xfId="632" xr:uid="{00000000-0005-0000-0000-00006B000000}"/>
    <cellStyle name="40% - Accent1 3 2 2 2" xfId="1502" xr:uid="{1D39A161-6FDD-448F-A103-AC50BD0A4628}"/>
    <cellStyle name="40% - Accent1 3 2 3" xfId="1086" xr:uid="{39717D46-3285-4AD2-ACB5-5BF3CF5BCA06}"/>
    <cellStyle name="40% - Accent1 3 3" xfId="631" xr:uid="{00000000-0005-0000-0000-00006C000000}"/>
    <cellStyle name="40% - Accent1 3 3 2" xfId="1501" xr:uid="{782B12A8-BC0E-4F8D-A970-0669EB26291C}"/>
    <cellStyle name="40% - Accent1 3 4" xfId="1085" xr:uid="{D512629D-5C1D-4EAA-9DA9-5D3D7B04A204}"/>
    <cellStyle name="40% - Accent1 4" xfId="56" xr:uid="{00000000-0005-0000-0000-00006D000000}"/>
    <cellStyle name="40% - Accent1 4 2" xfId="633" xr:uid="{00000000-0005-0000-0000-00006E000000}"/>
    <cellStyle name="40% - Accent1 4 2 2" xfId="1503" xr:uid="{444747E0-721C-498B-A57E-0F51D28D4549}"/>
    <cellStyle name="40% - Accent1 4 3" xfId="1087" xr:uid="{EEC935F4-0D59-4FB3-86EA-E2FCC342AD20}"/>
    <cellStyle name="40% - Accent1 5" xfId="626" xr:uid="{00000000-0005-0000-0000-00006F000000}"/>
    <cellStyle name="40% - Accent1 5 2" xfId="1496" xr:uid="{89111EE4-E639-4026-A355-D9BA7CE6DC28}"/>
    <cellStyle name="40% - Accent1 6" xfId="1080" xr:uid="{FD5C5F89-BA5C-4C1F-BC57-9D848C871442}"/>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EB085C1F-B379-45F7-9893-76677E653914}"/>
    <cellStyle name="40% - Accent2 2 2 2 3" xfId="1091" xr:uid="{C91F1305-2F90-4DA6-BFA7-4BE51D219385}"/>
    <cellStyle name="40% - Accent2 2 2 3" xfId="636" xr:uid="{00000000-0005-0000-0000-000075000000}"/>
    <cellStyle name="40% - Accent2 2 2 3 2" xfId="1506" xr:uid="{CE0C965F-8437-4320-A5D6-C1264AE531A5}"/>
    <cellStyle name="40% - Accent2 2 2 4" xfId="1090" xr:uid="{26061420-C05E-48D9-84E4-9504A03C75DA}"/>
    <cellStyle name="40% - Accent2 2 3" xfId="61" xr:uid="{00000000-0005-0000-0000-000076000000}"/>
    <cellStyle name="40% - Accent2 2 3 2" xfId="638" xr:uid="{00000000-0005-0000-0000-000077000000}"/>
    <cellStyle name="40% - Accent2 2 3 2 2" xfId="1508" xr:uid="{C8253E3F-2475-4ACF-A5EB-25EE11EBA5DB}"/>
    <cellStyle name="40% - Accent2 2 3 3" xfId="1092" xr:uid="{3858519E-A1D1-4A1F-A774-22608DE57F6C}"/>
    <cellStyle name="40% - Accent2 2 4" xfId="635" xr:uid="{00000000-0005-0000-0000-000078000000}"/>
    <cellStyle name="40% - Accent2 2 4 2" xfId="1505" xr:uid="{E4D28C01-088B-4369-B990-FECCF60A5208}"/>
    <cellStyle name="40% - Accent2 2 5" xfId="1089" xr:uid="{7B3CB3DE-2E4F-484E-BE42-B767D8DAC67E}"/>
    <cellStyle name="40% - Accent2 3" xfId="62" xr:uid="{00000000-0005-0000-0000-000079000000}"/>
    <cellStyle name="40% - Accent2 3 2" xfId="63" xr:uid="{00000000-0005-0000-0000-00007A000000}"/>
    <cellStyle name="40% - Accent2 3 2 2" xfId="640" xr:uid="{00000000-0005-0000-0000-00007B000000}"/>
    <cellStyle name="40% - Accent2 3 2 2 2" xfId="1510" xr:uid="{F76DF87F-9CA8-4746-8B5C-8F05E8A4E0F1}"/>
    <cellStyle name="40% - Accent2 3 2 3" xfId="1094" xr:uid="{4CBAD691-5E58-4979-91A2-67C660068CAF}"/>
    <cellStyle name="40% - Accent2 3 3" xfId="639" xr:uid="{00000000-0005-0000-0000-00007C000000}"/>
    <cellStyle name="40% - Accent2 3 3 2" xfId="1509" xr:uid="{4F7D1389-3707-4E26-8EFF-90F3A31085ED}"/>
    <cellStyle name="40% - Accent2 3 4" xfId="1093" xr:uid="{FC1C113A-19F2-498D-9D81-96E4E20EC0CA}"/>
    <cellStyle name="40% - Accent2 4" xfId="64" xr:uid="{00000000-0005-0000-0000-00007D000000}"/>
    <cellStyle name="40% - Accent2 4 2" xfId="641" xr:uid="{00000000-0005-0000-0000-00007E000000}"/>
    <cellStyle name="40% - Accent2 4 2 2" xfId="1511" xr:uid="{A767028E-F358-4375-92B0-A4B8F1757AD2}"/>
    <cellStyle name="40% - Accent2 4 3" xfId="1095" xr:uid="{A36CDB60-321C-4301-933F-306D0E76DCCB}"/>
    <cellStyle name="40% - Accent2 5" xfId="634" xr:uid="{00000000-0005-0000-0000-00007F000000}"/>
    <cellStyle name="40% - Accent2 5 2" xfId="1504" xr:uid="{807F8438-8204-4F06-A603-2649E9D7557D}"/>
    <cellStyle name="40% - Accent2 6" xfId="1088" xr:uid="{C7217829-83ED-4D6D-9F7D-55B189478EAF}"/>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6D8FA897-74AE-46EA-ACE4-EF7D36BAFBF1}"/>
    <cellStyle name="40% - Accent3 2 2 2 3" xfId="1099" xr:uid="{8001956C-E62E-4B1B-8602-A7D9B8DD4D54}"/>
    <cellStyle name="40% - Accent3 2 2 3" xfId="644" xr:uid="{00000000-0005-0000-0000-000085000000}"/>
    <cellStyle name="40% - Accent3 2 2 3 2" xfId="1514" xr:uid="{4F0AA72E-EB56-4A0A-9374-461E25BC9960}"/>
    <cellStyle name="40% - Accent3 2 2 4" xfId="1098" xr:uid="{7EF907EA-4358-4AE1-A910-AA15F5B07553}"/>
    <cellStyle name="40% - Accent3 2 3" xfId="69" xr:uid="{00000000-0005-0000-0000-000086000000}"/>
    <cellStyle name="40% - Accent3 2 3 2" xfId="646" xr:uid="{00000000-0005-0000-0000-000087000000}"/>
    <cellStyle name="40% - Accent3 2 3 2 2" xfId="1516" xr:uid="{9FE430CD-DC13-46F6-9A09-DBC5C4DA5795}"/>
    <cellStyle name="40% - Accent3 2 3 3" xfId="1100" xr:uid="{13781C57-C83A-4924-90D6-7B9A729FFCC8}"/>
    <cellStyle name="40% - Accent3 2 4" xfId="643" xr:uid="{00000000-0005-0000-0000-000088000000}"/>
    <cellStyle name="40% - Accent3 2 4 2" xfId="1513" xr:uid="{F733AC84-8282-4029-A4C2-B279A2AF615C}"/>
    <cellStyle name="40% - Accent3 2 5" xfId="1097" xr:uid="{2B821A73-BB53-4341-9D43-F7B58E4424DE}"/>
    <cellStyle name="40% - Accent3 3" xfId="70" xr:uid="{00000000-0005-0000-0000-000089000000}"/>
    <cellStyle name="40% - Accent3 3 2" xfId="71" xr:uid="{00000000-0005-0000-0000-00008A000000}"/>
    <cellStyle name="40% - Accent3 3 2 2" xfId="648" xr:uid="{00000000-0005-0000-0000-00008B000000}"/>
    <cellStyle name="40% - Accent3 3 2 2 2" xfId="1518" xr:uid="{429237D3-9BE7-41F9-8A3A-86C2C7F0D5A1}"/>
    <cellStyle name="40% - Accent3 3 2 3" xfId="1102" xr:uid="{328B98DB-268A-475B-B7E0-C7D8FE7AC3AE}"/>
    <cellStyle name="40% - Accent3 3 3" xfId="647" xr:uid="{00000000-0005-0000-0000-00008C000000}"/>
    <cellStyle name="40% - Accent3 3 3 2" xfId="1517" xr:uid="{66280825-D428-47CA-AC83-A73F385E6D02}"/>
    <cellStyle name="40% - Accent3 3 4" xfId="1101" xr:uid="{1849C726-73F8-408D-A948-9FB1CF726C32}"/>
    <cellStyle name="40% - Accent3 4" xfId="72" xr:uid="{00000000-0005-0000-0000-00008D000000}"/>
    <cellStyle name="40% - Accent3 4 2" xfId="649" xr:uid="{00000000-0005-0000-0000-00008E000000}"/>
    <cellStyle name="40% - Accent3 4 2 2" xfId="1519" xr:uid="{9FD1D975-47BE-4F53-97D5-AEB0C9C791BC}"/>
    <cellStyle name="40% - Accent3 4 3" xfId="1103" xr:uid="{52B65B00-CC6F-461D-89C7-66474DC49527}"/>
    <cellStyle name="40% - Accent3 5" xfId="642" xr:uid="{00000000-0005-0000-0000-00008F000000}"/>
    <cellStyle name="40% - Accent3 5 2" xfId="1512" xr:uid="{EC58C56C-294F-4434-B9CA-851841996D57}"/>
    <cellStyle name="40% - Accent3 6" xfId="1096" xr:uid="{E8B1F4BB-B112-4111-826B-52E4B6695C71}"/>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81A72B99-30C7-4314-86C3-9084648776A4}"/>
    <cellStyle name="40% - Accent4 2 2 2 3" xfId="1107" xr:uid="{03840BBC-A306-4B12-8B28-0D593EDD2F9C}"/>
    <cellStyle name="40% - Accent4 2 2 3" xfId="652" xr:uid="{00000000-0005-0000-0000-000095000000}"/>
    <cellStyle name="40% - Accent4 2 2 3 2" xfId="1522" xr:uid="{83B8FD41-778D-4498-A838-3C353378D6C9}"/>
    <cellStyle name="40% - Accent4 2 2 4" xfId="1106" xr:uid="{249B15B5-9B09-49F0-BA7F-93E71C6D7AF3}"/>
    <cellStyle name="40% - Accent4 2 3" xfId="77" xr:uid="{00000000-0005-0000-0000-000096000000}"/>
    <cellStyle name="40% - Accent4 2 3 2" xfId="654" xr:uid="{00000000-0005-0000-0000-000097000000}"/>
    <cellStyle name="40% - Accent4 2 3 2 2" xfId="1524" xr:uid="{E412EA9C-52B2-4125-A156-DD1E6256230E}"/>
    <cellStyle name="40% - Accent4 2 3 3" xfId="1108" xr:uid="{8CCE1C23-DCC7-41E5-A779-3217C73611CC}"/>
    <cellStyle name="40% - Accent4 2 4" xfId="651" xr:uid="{00000000-0005-0000-0000-000098000000}"/>
    <cellStyle name="40% - Accent4 2 4 2" xfId="1521" xr:uid="{C9738CC6-DA6C-44D9-8A44-C8DA2FF1415D}"/>
    <cellStyle name="40% - Accent4 2 5" xfId="1105" xr:uid="{F998EB03-62AE-46A1-ACAF-61C12B2B3638}"/>
    <cellStyle name="40% - Accent4 3" xfId="78" xr:uid="{00000000-0005-0000-0000-000099000000}"/>
    <cellStyle name="40% - Accent4 3 2" xfId="79" xr:uid="{00000000-0005-0000-0000-00009A000000}"/>
    <cellStyle name="40% - Accent4 3 2 2" xfId="656" xr:uid="{00000000-0005-0000-0000-00009B000000}"/>
    <cellStyle name="40% - Accent4 3 2 2 2" xfId="1526" xr:uid="{2678CC3F-C23A-4896-9C68-6BDE7C1F9869}"/>
    <cellStyle name="40% - Accent4 3 2 3" xfId="1110" xr:uid="{AB77A0C4-1364-45B5-B2B5-2DB3CCBB5159}"/>
    <cellStyle name="40% - Accent4 3 3" xfId="655" xr:uid="{00000000-0005-0000-0000-00009C000000}"/>
    <cellStyle name="40% - Accent4 3 3 2" xfId="1525" xr:uid="{6C50A5BA-3682-47F1-BF20-192E84D1D753}"/>
    <cellStyle name="40% - Accent4 3 4" xfId="1109" xr:uid="{DFB6D3A7-F616-42DC-8B9E-8148D7F90309}"/>
    <cellStyle name="40% - Accent4 4" xfId="80" xr:uid="{00000000-0005-0000-0000-00009D000000}"/>
    <cellStyle name="40% - Accent4 4 2" xfId="657" xr:uid="{00000000-0005-0000-0000-00009E000000}"/>
    <cellStyle name="40% - Accent4 4 2 2" xfId="1527" xr:uid="{771A7C23-D8ED-418B-90EE-F6A81C05F75A}"/>
    <cellStyle name="40% - Accent4 4 3" xfId="1111" xr:uid="{15A74E5C-D3CF-458C-A613-25DB8E4D45B7}"/>
    <cellStyle name="40% - Accent4 5" xfId="650" xr:uid="{00000000-0005-0000-0000-00009F000000}"/>
    <cellStyle name="40% - Accent4 5 2" xfId="1520" xr:uid="{C44F2B75-FFBD-4BDF-98AD-7CF4F3FD6373}"/>
    <cellStyle name="40% - Accent4 6" xfId="1104" xr:uid="{2F953F22-3D9C-449C-8955-3B6C8283A40D}"/>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FEB7592C-BACF-4431-B753-5348FCBC6909}"/>
    <cellStyle name="40% - Accent5 2 2 2 3" xfId="1115" xr:uid="{C0930EFD-8C37-49D7-A4E3-39CA7783586E}"/>
    <cellStyle name="40% - Accent5 2 2 3" xfId="660" xr:uid="{00000000-0005-0000-0000-0000A5000000}"/>
    <cellStyle name="40% - Accent5 2 2 3 2" xfId="1530" xr:uid="{45414B69-BA64-4D26-9457-CBAB5BAB0C4E}"/>
    <cellStyle name="40% - Accent5 2 2 4" xfId="1114" xr:uid="{3EC61A6C-8367-4218-A40F-FD2912CDA982}"/>
    <cellStyle name="40% - Accent5 2 3" xfId="85" xr:uid="{00000000-0005-0000-0000-0000A6000000}"/>
    <cellStyle name="40% - Accent5 2 3 2" xfId="662" xr:uid="{00000000-0005-0000-0000-0000A7000000}"/>
    <cellStyle name="40% - Accent5 2 3 2 2" xfId="1532" xr:uid="{CBCE4E02-74DE-4C32-B02A-05ACB313539B}"/>
    <cellStyle name="40% - Accent5 2 3 3" xfId="1116" xr:uid="{88BC35D0-BFAC-41CA-8195-E03382EDFA15}"/>
    <cellStyle name="40% - Accent5 2 4" xfId="659" xr:uid="{00000000-0005-0000-0000-0000A8000000}"/>
    <cellStyle name="40% - Accent5 2 4 2" xfId="1529" xr:uid="{2AFABAB4-7C3A-4197-BE82-DA5EF33902FF}"/>
    <cellStyle name="40% - Accent5 2 5" xfId="1113" xr:uid="{5831808C-C710-4909-9472-01692D373DDE}"/>
    <cellStyle name="40% - Accent5 3" xfId="86" xr:uid="{00000000-0005-0000-0000-0000A9000000}"/>
    <cellStyle name="40% - Accent5 3 2" xfId="87" xr:uid="{00000000-0005-0000-0000-0000AA000000}"/>
    <cellStyle name="40% - Accent5 3 2 2" xfId="664" xr:uid="{00000000-0005-0000-0000-0000AB000000}"/>
    <cellStyle name="40% - Accent5 3 2 2 2" xfId="1534" xr:uid="{022B18BA-B0A3-481E-9D95-358BA86042A9}"/>
    <cellStyle name="40% - Accent5 3 2 3" xfId="1118" xr:uid="{F17E5982-5BEC-4A5D-B635-330EA2A8D427}"/>
    <cellStyle name="40% - Accent5 3 3" xfId="663" xr:uid="{00000000-0005-0000-0000-0000AC000000}"/>
    <cellStyle name="40% - Accent5 3 3 2" xfId="1533" xr:uid="{0989E2A5-5153-44A8-BD96-AA5DE61C5AF8}"/>
    <cellStyle name="40% - Accent5 3 4" xfId="1117" xr:uid="{BE44A175-C6E3-4225-8678-B81EC8D57CC2}"/>
    <cellStyle name="40% - Accent5 4" xfId="88" xr:uid="{00000000-0005-0000-0000-0000AD000000}"/>
    <cellStyle name="40% - Accent5 4 2" xfId="665" xr:uid="{00000000-0005-0000-0000-0000AE000000}"/>
    <cellStyle name="40% - Accent5 4 2 2" xfId="1535" xr:uid="{BB9CF865-462C-4348-B448-980CE2B7EC4E}"/>
    <cellStyle name="40% - Accent5 4 3" xfId="1119" xr:uid="{4E15A5EA-C53B-44D6-BD99-0076EA85254E}"/>
    <cellStyle name="40% - Accent5 5" xfId="658" xr:uid="{00000000-0005-0000-0000-0000AF000000}"/>
    <cellStyle name="40% - Accent5 5 2" xfId="1528" xr:uid="{25A28E1B-0A51-4F01-9F07-168065230F93}"/>
    <cellStyle name="40% - Accent5 6" xfId="1112" xr:uid="{48BCF39C-78BA-47B6-84A8-A12286B2D106}"/>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79CC9FA9-9F88-4CEF-BFFE-A180133F7A5C}"/>
    <cellStyle name="40% - Accent6 2 2 2 3" xfId="1123" xr:uid="{ED19304D-F7FB-434F-8FA3-1117FC2149E8}"/>
    <cellStyle name="40% - Accent6 2 2 3" xfId="668" xr:uid="{00000000-0005-0000-0000-0000B5000000}"/>
    <cellStyle name="40% - Accent6 2 2 3 2" xfId="1538" xr:uid="{C372D9AE-8D47-4215-8CE9-8D1FF40465E2}"/>
    <cellStyle name="40% - Accent6 2 2 4" xfId="1122" xr:uid="{2354BBCA-FECE-4BF9-B50B-76B3B418186D}"/>
    <cellStyle name="40% - Accent6 2 3" xfId="93" xr:uid="{00000000-0005-0000-0000-0000B6000000}"/>
    <cellStyle name="40% - Accent6 2 3 2" xfId="670" xr:uid="{00000000-0005-0000-0000-0000B7000000}"/>
    <cellStyle name="40% - Accent6 2 3 2 2" xfId="1540" xr:uid="{4B956ADA-9A32-4FA3-A1C0-5C7055C8F05F}"/>
    <cellStyle name="40% - Accent6 2 3 3" xfId="1124" xr:uid="{3BE48B6B-BD96-4B90-B509-BBDB84FF95F9}"/>
    <cellStyle name="40% - Accent6 2 4" xfId="667" xr:uid="{00000000-0005-0000-0000-0000B8000000}"/>
    <cellStyle name="40% - Accent6 2 4 2" xfId="1537" xr:uid="{FC02B338-D742-4EC7-B788-BD6112F12B98}"/>
    <cellStyle name="40% - Accent6 2 5" xfId="1121" xr:uid="{E4C87E2A-A501-4B3B-A248-1EBD80DA22C8}"/>
    <cellStyle name="40% - Accent6 3" xfId="94" xr:uid="{00000000-0005-0000-0000-0000B9000000}"/>
    <cellStyle name="40% - Accent6 3 2" xfId="95" xr:uid="{00000000-0005-0000-0000-0000BA000000}"/>
    <cellStyle name="40% - Accent6 3 2 2" xfId="672" xr:uid="{00000000-0005-0000-0000-0000BB000000}"/>
    <cellStyle name="40% - Accent6 3 2 2 2" xfId="1542" xr:uid="{FAE173F8-F629-4139-A424-44B1F6229957}"/>
    <cellStyle name="40% - Accent6 3 2 3" xfId="1126" xr:uid="{D1429F6C-EBB6-4811-B8C4-690670E60E69}"/>
    <cellStyle name="40% - Accent6 3 3" xfId="671" xr:uid="{00000000-0005-0000-0000-0000BC000000}"/>
    <cellStyle name="40% - Accent6 3 3 2" xfId="1541" xr:uid="{23AE58D8-64E7-4188-B95F-D5A8AAF17D51}"/>
    <cellStyle name="40% - Accent6 3 4" xfId="1125" xr:uid="{597D6FF8-04FB-40F4-B353-4A9213429FCB}"/>
    <cellStyle name="40% - Accent6 4" xfId="96" xr:uid="{00000000-0005-0000-0000-0000BD000000}"/>
    <cellStyle name="40% - Accent6 4 2" xfId="673" xr:uid="{00000000-0005-0000-0000-0000BE000000}"/>
    <cellStyle name="40% - Accent6 4 2 2" xfId="1543" xr:uid="{DD45EC5A-4D7A-4E11-8CA9-53C722B7776D}"/>
    <cellStyle name="40% - Accent6 4 3" xfId="1127" xr:uid="{9F8678B3-B2C5-470E-B1AB-0EE856C86617}"/>
    <cellStyle name="40% - Accent6 5" xfId="666" xr:uid="{00000000-0005-0000-0000-0000BF000000}"/>
    <cellStyle name="40% - Accent6 5 2" xfId="1536" xr:uid="{375057F2-885F-4A02-B88A-6989650151E9}"/>
    <cellStyle name="40% - Accent6 6" xfId="1120" xr:uid="{021627D0-1CDE-4F0C-9928-87729C2986A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6E67F37D-F739-4F2F-96AF-5C1597F41B74}"/>
    <cellStyle name="Comma 4 2 2 2 2 2 3" xfId="1130" xr:uid="{2EDBCD64-D9AC-4D65-A9E0-39E00CBE9787}"/>
    <cellStyle name="Comma 4 2 2 2 2 3" xfId="675" xr:uid="{00000000-0005-0000-0000-0000E3000000}"/>
    <cellStyle name="Comma 4 2 2 2 2 3 2" xfId="1545" xr:uid="{2CEEF639-253F-4BD7-93D6-58E3C175CD1A}"/>
    <cellStyle name="Comma 4 2 2 2 2 4" xfId="1129" xr:uid="{C23D022A-EF48-4875-BA03-B93D334645C1}"/>
    <cellStyle name="Comma 4 2 2 2 3" xfId="131" xr:uid="{00000000-0005-0000-0000-0000E4000000}"/>
    <cellStyle name="Comma 4 2 2 2 3 2" xfId="677" xr:uid="{00000000-0005-0000-0000-0000E5000000}"/>
    <cellStyle name="Comma 4 2 2 2 3 2 2" xfId="1547" xr:uid="{207ABF4F-0F83-4EB9-A1BA-A53F478DE3B6}"/>
    <cellStyle name="Comma 4 2 2 2 3 3" xfId="1131" xr:uid="{26AF21EB-E4D6-4BD3-A200-5C55D6E4F774}"/>
    <cellStyle name="Comma 4 2 2 2 4" xfId="674" xr:uid="{00000000-0005-0000-0000-0000E6000000}"/>
    <cellStyle name="Comma 4 2 2 2 4 2" xfId="1544" xr:uid="{2A0FD2AA-DED6-4826-8EC7-C7FEEFB08DF9}"/>
    <cellStyle name="Comma 4 2 2 2 5" xfId="1128" xr:uid="{0165FA5E-EC8F-47B0-AA61-1017C8BDAC06}"/>
    <cellStyle name="Comma 4 2 2 3" xfId="132" xr:uid="{00000000-0005-0000-0000-0000E7000000}"/>
    <cellStyle name="Comma 4 2 2 3 2" xfId="133" xr:uid="{00000000-0005-0000-0000-0000E8000000}"/>
    <cellStyle name="Comma 4 2 2 3 2 2" xfId="679" xr:uid="{00000000-0005-0000-0000-0000E9000000}"/>
    <cellStyle name="Comma 4 2 2 3 2 2 2" xfId="1549" xr:uid="{87941AEF-BC7B-4371-92A2-AE0805B1105F}"/>
    <cellStyle name="Comma 4 2 2 3 2 3" xfId="1133" xr:uid="{935E9E0B-8D76-4088-A94E-E2F31F78F289}"/>
    <cellStyle name="Comma 4 2 2 3 3" xfId="678" xr:uid="{00000000-0005-0000-0000-0000EA000000}"/>
    <cellStyle name="Comma 4 2 2 3 3 2" xfId="1548" xr:uid="{9A763661-7D0D-4359-9CD3-72E3CF00A4AA}"/>
    <cellStyle name="Comma 4 2 2 3 4" xfId="1132" xr:uid="{76D92DAB-B838-4362-B874-EA9851291923}"/>
    <cellStyle name="Comma 4 2 2 4" xfId="134" xr:uid="{00000000-0005-0000-0000-0000EB000000}"/>
    <cellStyle name="Comma 4 2 2 4 2" xfId="680" xr:uid="{00000000-0005-0000-0000-0000EC000000}"/>
    <cellStyle name="Comma 4 2 2 4 2 2" xfId="1550" xr:uid="{B68EAACA-9940-4E84-886F-5FD206529228}"/>
    <cellStyle name="Comma 4 2 2 4 3" xfId="1134" xr:uid="{CBCC9ACE-9A71-4C41-AAE4-230D9A4BADE8}"/>
    <cellStyle name="Comma 4 2 2 5" xfId="135" xr:uid="{00000000-0005-0000-0000-0000ED000000}"/>
    <cellStyle name="Comma 4 2 2 5 2" xfId="681" xr:uid="{00000000-0005-0000-0000-0000EE000000}"/>
    <cellStyle name="Comma 4 2 2 5 2 2" xfId="1551" xr:uid="{1F134776-2869-4B0C-B28D-7371262A9E46}"/>
    <cellStyle name="Comma 4 2 2 5 3" xfId="1135" xr:uid="{16331E03-0F9E-480B-8077-DC790BE5BE9B}"/>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DB4C81E0-EABF-4518-B6D4-8C60F7FA7528}"/>
    <cellStyle name="Comma 4 2 3 2 2 3" xfId="1138" xr:uid="{756D425D-F049-4E33-96DA-EE96CE439F96}"/>
    <cellStyle name="Comma 4 2 3 2 3" xfId="683" xr:uid="{00000000-0005-0000-0000-0000F3000000}"/>
    <cellStyle name="Comma 4 2 3 2 3 2" xfId="1553" xr:uid="{CE9CB41C-574D-4F26-A8E4-F3ACF14E2786}"/>
    <cellStyle name="Comma 4 2 3 2 4" xfId="1137" xr:uid="{C2CB0EDB-D982-400F-AE4B-9CD0FA295FF1}"/>
    <cellStyle name="Comma 4 2 3 3" xfId="139" xr:uid="{00000000-0005-0000-0000-0000F4000000}"/>
    <cellStyle name="Comma 4 2 3 3 2" xfId="685" xr:uid="{00000000-0005-0000-0000-0000F5000000}"/>
    <cellStyle name="Comma 4 2 3 3 2 2" xfId="1555" xr:uid="{6BBF1086-C459-4B7E-810B-0013F5AC8B01}"/>
    <cellStyle name="Comma 4 2 3 3 3" xfId="1139" xr:uid="{36598590-1A43-46A5-B8A0-D67724C72649}"/>
    <cellStyle name="Comma 4 2 3 4" xfId="682" xr:uid="{00000000-0005-0000-0000-0000F6000000}"/>
    <cellStyle name="Comma 4 2 3 4 2" xfId="1552" xr:uid="{C90C94A7-8AA3-49BF-B8D5-56E65AD5D7D0}"/>
    <cellStyle name="Comma 4 2 3 5" xfId="1136" xr:uid="{E4D04D5A-7360-448E-BEEC-A75017428D89}"/>
    <cellStyle name="Comma 4 2 4" xfId="140" xr:uid="{00000000-0005-0000-0000-0000F7000000}"/>
    <cellStyle name="Comma 4 2 4 2" xfId="141" xr:uid="{00000000-0005-0000-0000-0000F8000000}"/>
    <cellStyle name="Comma 4 2 4 2 2" xfId="687" xr:uid="{00000000-0005-0000-0000-0000F9000000}"/>
    <cellStyle name="Comma 4 2 4 2 2 2" xfId="1557" xr:uid="{510241C6-922A-4B97-AAB9-60FE1FDDC6FB}"/>
    <cellStyle name="Comma 4 2 4 2 3" xfId="1141" xr:uid="{32B30F2D-8002-4ACC-B848-F71B3A2F0C7E}"/>
    <cellStyle name="Comma 4 2 4 3" xfId="686" xr:uid="{00000000-0005-0000-0000-0000FA000000}"/>
    <cellStyle name="Comma 4 2 4 3 2" xfId="1556" xr:uid="{812BA5B2-E30C-47FC-B187-92CD94BCEE7C}"/>
    <cellStyle name="Comma 4 2 4 4" xfId="1140" xr:uid="{0415B379-6BD8-4DD5-8FC1-1CB33ACD3FA6}"/>
    <cellStyle name="Comma 4 2 5" xfId="142" xr:uid="{00000000-0005-0000-0000-0000FB000000}"/>
    <cellStyle name="Comma 4 2 5 2" xfId="688" xr:uid="{00000000-0005-0000-0000-0000FC000000}"/>
    <cellStyle name="Comma 4 2 5 2 2" xfId="1558" xr:uid="{F274EDEA-6303-43FD-98D5-9E568C50667D}"/>
    <cellStyle name="Comma 4 2 5 3" xfId="1142" xr:uid="{A5883596-37D8-4E9F-99B7-639D7C091D8A}"/>
    <cellStyle name="Comma 4 2 6" xfId="143" xr:uid="{00000000-0005-0000-0000-0000FD000000}"/>
    <cellStyle name="Comma 4 2 6 2" xfId="689" xr:uid="{00000000-0005-0000-0000-0000FE000000}"/>
    <cellStyle name="Comma 4 2 6 2 2" xfId="1559" xr:uid="{0F51FB82-AA65-4E57-A283-9083DA73FD81}"/>
    <cellStyle name="Comma 4 2 6 3" xfId="1143" xr:uid="{850E7965-12C9-4213-AD15-CF15133150F3}"/>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2EC66626-1D04-4BB0-9481-865198678E38}"/>
    <cellStyle name="Comma 4 3 2 2 2 3" xfId="1146" xr:uid="{B6157629-59FA-430B-B9F9-F88549133E2F}"/>
    <cellStyle name="Comma 4 3 2 2 3" xfId="691" xr:uid="{00000000-0005-0000-0000-000004010000}"/>
    <cellStyle name="Comma 4 3 2 2 3 2" xfId="1561" xr:uid="{AC16CE45-BF7C-4D3B-84D6-EA9CE76B5ADA}"/>
    <cellStyle name="Comma 4 3 2 2 4" xfId="1145" xr:uid="{38B5666C-D846-495F-9C5F-04BB6D8F4BEA}"/>
    <cellStyle name="Comma 4 3 2 3" xfId="148" xr:uid="{00000000-0005-0000-0000-000005010000}"/>
    <cellStyle name="Comma 4 3 2 3 2" xfId="693" xr:uid="{00000000-0005-0000-0000-000006010000}"/>
    <cellStyle name="Comma 4 3 2 3 2 2" xfId="1563" xr:uid="{37C168FE-C5F1-4254-8680-A9D8E7195A18}"/>
    <cellStyle name="Comma 4 3 2 3 3" xfId="1147" xr:uid="{1614CAC0-ECDF-4391-8C74-E0A962662776}"/>
    <cellStyle name="Comma 4 3 2 4" xfId="690" xr:uid="{00000000-0005-0000-0000-000007010000}"/>
    <cellStyle name="Comma 4 3 2 4 2" xfId="1560" xr:uid="{BCC55B49-FBB3-4A4F-B8EB-612E3FD35129}"/>
    <cellStyle name="Comma 4 3 2 5" xfId="1144" xr:uid="{38B9699E-D5CC-485A-8845-324551B5AA95}"/>
    <cellStyle name="Comma 4 3 3" xfId="149" xr:uid="{00000000-0005-0000-0000-000008010000}"/>
    <cellStyle name="Comma 4 3 3 2" xfId="150" xr:uid="{00000000-0005-0000-0000-000009010000}"/>
    <cellStyle name="Comma 4 3 3 2 2" xfId="695" xr:uid="{00000000-0005-0000-0000-00000A010000}"/>
    <cellStyle name="Comma 4 3 3 2 2 2" xfId="1565" xr:uid="{89B9924C-2648-4B60-9C81-5B343ABFC304}"/>
    <cellStyle name="Comma 4 3 3 2 3" xfId="1149" xr:uid="{CDC1C162-6822-435A-83F3-0322EA25ACF2}"/>
    <cellStyle name="Comma 4 3 3 3" xfId="694" xr:uid="{00000000-0005-0000-0000-00000B010000}"/>
    <cellStyle name="Comma 4 3 3 3 2" xfId="1564" xr:uid="{D8C62E5F-E038-4FED-827D-F6B4896F250F}"/>
    <cellStyle name="Comma 4 3 3 4" xfId="1148" xr:uid="{8FCF8883-0968-4D89-9AD5-9EBC749E6B32}"/>
    <cellStyle name="Comma 4 3 4" xfId="151" xr:uid="{00000000-0005-0000-0000-00000C010000}"/>
    <cellStyle name="Comma 4 3 4 2" xfId="696" xr:uid="{00000000-0005-0000-0000-00000D010000}"/>
    <cellStyle name="Comma 4 3 4 2 2" xfId="1566" xr:uid="{969603D0-FCD6-469C-AF7A-03D11E0D2E1B}"/>
    <cellStyle name="Comma 4 3 4 3" xfId="1150" xr:uid="{DEE0419F-0489-43B2-82AC-EDA289E0F9B6}"/>
    <cellStyle name="Comma 4 3 5" xfId="152" xr:uid="{00000000-0005-0000-0000-00000E010000}"/>
    <cellStyle name="Comma 4 3 5 2" xfId="697" xr:uid="{00000000-0005-0000-0000-00000F010000}"/>
    <cellStyle name="Comma 4 3 5 2 2" xfId="1567" xr:uid="{28F57B44-2F34-4DD8-B836-8E26C13B1DB6}"/>
    <cellStyle name="Comma 4 3 5 3" xfId="1151" xr:uid="{F7158B44-BB99-4295-B355-690E4C13128A}"/>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C6358659-CE2A-41BA-BEE2-6D235CBBC3EC}"/>
    <cellStyle name="Comma 4 4 2 2 3" xfId="1154" xr:uid="{C67A4727-A48F-477E-A168-76A3FA4942B8}"/>
    <cellStyle name="Comma 4 4 2 3" xfId="699" xr:uid="{00000000-0005-0000-0000-000014010000}"/>
    <cellStyle name="Comma 4 4 2 3 2" xfId="1569" xr:uid="{92E03420-EE23-4DF8-A89D-48C3D460ED53}"/>
    <cellStyle name="Comma 4 4 2 4" xfId="1153" xr:uid="{4D8E5391-37DE-4FB1-8CD7-55E4ACCFD300}"/>
    <cellStyle name="Comma 4 4 3" xfId="156" xr:uid="{00000000-0005-0000-0000-000015010000}"/>
    <cellStyle name="Comma 4 4 3 2" xfId="701" xr:uid="{00000000-0005-0000-0000-000016010000}"/>
    <cellStyle name="Comma 4 4 3 2 2" xfId="1571" xr:uid="{7C600E2D-F260-4DE9-9860-AEBB5D9A1228}"/>
    <cellStyle name="Comma 4 4 3 3" xfId="1155" xr:uid="{789C8FEF-8005-4E67-8535-10A9FD15BA34}"/>
    <cellStyle name="Comma 4 4 4" xfId="698" xr:uid="{00000000-0005-0000-0000-000017010000}"/>
    <cellStyle name="Comma 4 4 4 2" xfId="1568" xr:uid="{0B036911-5982-405D-83C9-9BA5E0D57C59}"/>
    <cellStyle name="Comma 4 4 5" xfId="1152" xr:uid="{6A678C13-1AF4-4823-9C7F-F5D55EA50E73}"/>
    <cellStyle name="Comma 4 5" xfId="157" xr:uid="{00000000-0005-0000-0000-000018010000}"/>
    <cellStyle name="Comma 4 5 2" xfId="158" xr:uid="{00000000-0005-0000-0000-000019010000}"/>
    <cellStyle name="Comma 4 5 2 2" xfId="703" xr:uid="{00000000-0005-0000-0000-00001A010000}"/>
    <cellStyle name="Comma 4 5 2 2 2" xfId="1573" xr:uid="{1AAE3255-170C-4B13-8139-7D3FF58FE4DA}"/>
    <cellStyle name="Comma 4 5 2 3" xfId="1157" xr:uid="{95FA7C3B-4DD2-4963-AD39-C63F9E2404B1}"/>
    <cellStyle name="Comma 4 5 3" xfId="702" xr:uid="{00000000-0005-0000-0000-00001B010000}"/>
    <cellStyle name="Comma 4 5 3 2" xfId="1572" xr:uid="{7056098F-16A1-48CA-A251-B5F1747B22AE}"/>
    <cellStyle name="Comma 4 5 4" xfId="1156" xr:uid="{ED69FF2A-A8C5-4D19-9F71-DE8D9459AB4B}"/>
    <cellStyle name="Comma 4 6" xfId="159" xr:uid="{00000000-0005-0000-0000-00001C010000}"/>
    <cellStyle name="Comma 4 6 2" xfId="704" xr:uid="{00000000-0005-0000-0000-00001D010000}"/>
    <cellStyle name="Comma 4 6 2 2" xfId="1574" xr:uid="{4625840C-9A5F-4CC5-AB0D-E572EA22BBDA}"/>
    <cellStyle name="Comma 4 6 3" xfId="1158" xr:uid="{962F9C90-9065-4CD2-84B0-B127125B8EE8}"/>
    <cellStyle name="Comma 4 7" xfId="160" xr:uid="{00000000-0005-0000-0000-00001E010000}"/>
    <cellStyle name="Comma 4 7 2" xfId="705" xr:uid="{00000000-0005-0000-0000-00001F010000}"/>
    <cellStyle name="Comma 4 7 2 2" xfId="1575" xr:uid="{8A1EF81F-C8FD-48FB-9757-28E1E943F189}"/>
    <cellStyle name="Comma 4 7 3" xfId="1159" xr:uid="{9E7CAB6A-7B94-457D-BB57-730AC1D7A348}"/>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AC2117A3-C3D9-45FB-8428-5FA5A8ACDD4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683FB5F1-B0D5-45D3-AAFB-33C99B696D8B}"/>
    <cellStyle name="Currency 3 2 2 2 2 3" xfId="1162" xr:uid="{798CF7A3-1908-46C8-B6B8-F1031DD74DC2}"/>
    <cellStyle name="Currency 3 2 2 2 3" xfId="716" xr:uid="{00000000-0005-0000-0000-000040010000}"/>
    <cellStyle name="Currency 3 2 2 2 3 2" xfId="1577" xr:uid="{DBC2EEC8-8A92-4E83-A8A1-68CE9885E93B}"/>
    <cellStyle name="Currency 3 2 2 2 4" xfId="1161" xr:uid="{B2FB4772-70E2-460F-B2FD-D8AE04783090}"/>
    <cellStyle name="Currency 3 2 2 3" xfId="182" xr:uid="{00000000-0005-0000-0000-000041010000}"/>
    <cellStyle name="Currency 3 2 2 3 2" xfId="718" xr:uid="{00000000-0005-0000-0000-000042010000}"/>
    <cellStyle name="Currency 3 2 2 3 2 2" xfId="1579" xr:uid="{1141BEC7-53AD-459E-AE18-9E9D01024500}"/>
    <cellStyle name="Currency 3 2 2 3 3" xfId="1163" xr:uid="{EC97BC4D-2E08-4CDA-BA4C-EB3BFD26DF82}"/>
    <cellStyle name="Currency 3 2 2 4" xfId="715" xr:uid="{00000000-0005-0000-0000-000043010000}"/>
    <cellStyle name="Currency 3 2 2 4 2" xfId="1576" xr:uid="{922EAE58-76CB-4882-A48E-7B8A4DFF0F7B}"/>
    <cellStyle name="Currency 3 2 2 5" xfId="1160" xr:uid="{7553517D-6886-4313-885B-496BEEF71FAE}"/>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E0D3C078-4FAA-4562-97AA-BE6F75F0C12E}"/>
    <cellStyle name="Currency 3 2 3 2 3" xfId="1165" xr:uid="{0B002C7A-C4EF-48A0-97CF-04A5E5553D88}"/>
    <cellStyle name="Currency 3 2 3 3" xfId="719" xr:uid="{00000000-0005-0000-0000-000047010000}"/>
    <cellStyle name="Currency 3 2 3 3 2" xfId="1580" xr:uid="{B3D1BA88-F36E-4411-A2D7-ABC51327A702}"/>
    <cellStyle name="Currency 3 2 3 4" xfId="1164" xr:uid="{0BBECD4C-1C1B-4836-BE7D-9E7943C6A986}"/>
    <cellStyle name="Currency 3 2 4" xfId="185" xr:uid="{00000000-0005-0000-0000-000048010000}"/>
    <cellStyle name="Currency 3 2 4 2" xfId="721" xr:uid="{00000000-0005-0000-0000-000049010000}"/>
    <cellStyle name="Currency 3 2 4 2 2" xfId="1582" xr:uid="{1EDFAC6F-1448-4A38-BB58-B13A9EFDF7F4}"/>
    <cellStyle name="Currency 3 2 4 3" xfId="1166" xr:uid="{0AD8BA2A-8396-445F-8F21-470DB9C62B8C}"/>
    <cellStyle name="Currency 3 2 5" xfId="186" xr:uid="{00000000-0005-0000-0000-00004A010000}"/>
    <cellStyle name="Currency 3 2 5 2" xfId="722" xr:uid="{00000000-0005-0000-0000-00004B010000}"/>
    <cellStyle name="Currency 3 2 5 2 2" xfId="1583" xr:uid="{967C7635-386A-482E-90A0-70D88D0FAB3A}"/>
    <cellStyle name="Currency 3 2 5 3" xfId="1167" xr:uid="{8DEEF9DD-000E-4881-A4E9-6B577142D946}"/>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B5771F9B-23DF-41DB-95FD-E0BABE0534DC}"/>
    <cellStyle name="Currency 5 2 2 2 2 2 3" xfId="1170" xr:uid="{439B7402-A9A9-4CC9-8476-55DA0A345F70}"/>
    <cellStyle name="Currency 5 2 2 2 2 3" xfId="731" xr:uid="{00000000-0005-0000-0000-00005F010000}"/>
    <cellStyle name="Currency 5 2 2 2 2 3 2" xfId="1585" xr:uid="{88ED0455-19B3-4DC0-B97E-631836AF5144}"/>
    <cellStyle name="Currency 5 2 2 2 2 4" xfId="1169" xr:uid="{DEAC8FD4-9B45-49BD-A16A-B61A624BF098}"/>
    <cellStyle name="Currency 5 2 2 2 3" xfId="200" xr:uid="{00000000-0005-0000-0000-000060010000}"/>
    <cellStyle name="Currency 5 2 2 2 3 2" xfId="733" xr:uid="{00000000-0005-0000-0000-000061010000}"/>
    <cellStyle name="Currency 5 2 2 2 3 2 2" xfId="1587" xr:uid="{15DDFA67-C588-453A-82CC-08CF706280CB}"/>
    <cellStyle name="Currency 5 2 2 2 3 3" xfId="1171" xr:uid="{1FDDB8FA-7BCC-40F5-8764-4678E6883B2E}"/>
    <cellStyle name="Currency 5 2 2 2 4" xfId="730" xr:uid="{00000000-0005-0000-0000-000062010000}"/>
    <cellStyle name="Currency 5 2 2 2 4 2" xfId="1584" xr:uid="{32DA6809-B7A8-4C48-B5E4-8279AF609C10}"/>
    <cellStyle name="Currency 5 2 2 2 5" xfId="1168" xr:uid="{F6F9401D-98C0-45B9-8129-A16DFAEA8197}"/>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C761341E-8F38-4B58-8D4C-67BF7A145C51}"/>
    <cellStyle name="Currency 5 2 2 3 2 3" xfId="1173" xr:uid="{A8FDC672-938D-4073-9B14-FB18953DC0C6}"/>
    <cellStyle name="Currency 5 2 2 3 3" xfId="734" xr:uid="{00000000-0005-0000-0000-000066010000}"/>
    <cellStyle name="Currency 5 2 2 3 3 2" xfId="1588" xr:uid="{728CA6E7-662B-496D-97DA-BCEECE7CCF39}"/>
    <cellStyle name="Currency 5 2 2 3 4" xfId="1172" xr:uid="{D964D8A1-DC10-453B-ACEE-40BDE6C6C928}"/>
    <cellStyle name="Currency 5 2 2 4" xfId="203" xr:uid="{00000000-0005-0000-0000-000067010000}"/>
    <cellStyle name="Currency 5 2 2 4 2" xfId="736" xr:uid="{00000000-0005-0000-0000-000068010000}"/>
    <cellStyle name="Currency 5 2 2 4 2 2" xfId="1590" xr:uid="{E82F9DD9-F5BF-4AD7-8C3E-646AE774800D}"/>
    <cellStyle name="Currency 5 2 2 4 3" xfId="1174" xr:uid="{A640B562-1C7B-436A-80B3-93414D2F802F}"/>
    <cellStyle name="Currency 5 2 2 5" xfId="204" xr:uid="{00000000-0005-0000-0000-000069010000}"/>
    <cellStyle name="Currency 5 2 2 5 2" xfId="737" xr:uid="{00000000-0005-0000-0000-00006A010000}"/>
    <cellStyle name="Currency 5 2 2 5 2 2" xfId="1591" xr:uid="{A5856253-9ADD-4566-8A3F-8F5B28B2935C}"/>
    <cellStyle name="Currency 5 2 2 5 3" xfId="1175" xr:uid="{ACCA7FDA-9F89-44F9-86F4-F220D32BB901}"/>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8012358B-2845-47F8-BBD6-A40C816FE747}"/>
    <cellStyle name="Currency 5 2 4 2 3" xfId="1177" xr:uid="{7FCE799C-E39D-40A0-B585-1DD074A9ACEB}"/>
    <cellStyle name="Currency 5 2 4 3" xfId="739" xr:uid="{00000000-0005-0000-0000-000070010000}"/>
    <cellStyle name="Currency 5 2 4 3 2" xfId="1592" xr:uid="{6EE347FC-977F-4B6D-8ECD-2A8BA3C01427}"/>
    <cellStyle name="Currency 5 2 4 4" xfId="1176" xr:uid="{C3C26988-5AEF-4225-B907-0207FEFD2255}"/>
    <cellStyle name="Currency 5 2 5" xfId="208" xr:uid="{00000000-0005-0000-0000-000071010000}"/>
    <cellStyle name="Currency 5 2 5 2" xfId="741" xr:uid="{00000000-0005-0000-0000-000072010000}"/>
    <cellStyle name="Currency 5 2 5 2 2" xfId="1594" xr:uid="{B63783DB-15F8-4437-B1A7-6316AEF83999}"/>
    <cellStyle name="Currency 5 2 5 3" xfId="1178" xr:uid="{4439FD91-40F2-4527-A61E-5422FB3D218B}"/>
    <cellStyle name="Currency 5 2 6" xfId="209" xr:uid="{00000000-0005-0000-0000-000073010000}"/>
    <cellStyle name="Currency 5 2 6 2" xfId="742" xr:uid="{00000000-0005-0000-0000-000074010000}"/>
    <cellStyle name="Currency 5 2 6 2 2" xfId="1595" xr:uid="{53B1D789-197D-405D-8E26-29BBE4F15A1A}"/>
    <cellStyle name="Currency 5 2 6 3" xfId="1179" xr:uid="{A6FB215A-53DD-4E23-8CCB-1156483BDA72}"/>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A9610CB5-19B9-4A3A-A575-3184A48055B4}"/>
    <cellStyle name="Currency 5 3 2 2 2 3" xfId="1182" xr:uid="{85B784BE-E492-4F94-B8D6-7B5836F6B8D5}"/>
    <cellStyle name="Currency 5 3 2 2 3" xfId="744" xr:uid="{00000000-0005-0000-0000-00007B010000}"/>
    <cellStyle name="Currency 5 3 2 2 3 2" xfId="1597" xr:uid="{57A3DE9D-B0C6-4472-BBDC-4142228BF7D9}"/>
    <cellStyle name="Currency 5 3 2 2 4" xfId="1181" xr:uid="{203FD073-1C16-485F-8CC9-A1ECBDB6C41C}"/>
    <cellStyle name="Currency 5 3 2 3" xfId="214" xr:uid="{00000000-0005-0000-0000-00007C010000}"/>
    <cellStyle name="Currency 5 3 2 3 2" xfId="746" xr:uid="{00000000-0005-0000-0000-00007D010000}"/>
    <cellStyle name="Currency 5 3 2 3 2 2" xfId="1599" xr:uid="{3C19F1C4-77F9-4022-9368-7FBD3047645E}"/>
    <cellStyle name="Currency 5 3 2 3 3" xfId="1183" xr:uid="{15F3540F-56AD-44FD-B503-79A0EA7AC2DD}"/>
    <cellStyle name="Currency 5 3 2 4" xfId="743" xr:uid="{00000000-0005-0000-0000-00007E010000}"/>
    <cellStyle name="Currency 5 3 2 4 2" xfId="1596" xr:uid="{2A2B16CB-4793-4FDA-8A2C-4B0551D07B71}"/>
    <cellStyle name="Currency 5 3 2 5" xfId="1180" xr:uid="{4F35ACBC-3B06-46A6-BA5F-6156B1AABDE7}"/>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1E640E75-D05D-4F10-953A-0CD52984F73C}"/>
    <cellStyle name="Currency 5 3 3 2 3" xfId="1185" xr:uid="{967BA1B7-7304-4EA2-81CF-035E73AE0DF8}"/>
    <cellStyle name="Currency 5 3 3 3" xfId="747" xr:uid="{00000000-0005-0000-0000-000082010000}"/>
    <cellStyle name="Currency 5 3 3 3 2" xfId="1600" xr:uid="{9E131867-05CB-4426-81A2-5819655F41AC}"/>
    <cellStyle name="Currency 5 3 3 4" xfId="1184" xr:uid="{21A3B1A4-7F7F-4E8A-90B8-C74350AFC973}"/>
    <cellStyle name="Currency 5 3 4" xfId="217" xr:uid="{00000000-0005-0000-0000-000083010000}"/>
    <cellStyle name="Currency 5 3 4 2" xfId="749" xr:uid="{00000000-0005-0000-0000-000084010000}"/>
    <cellStyle name="Currency 5 3 4 2 2" xfId="1602" xr:uid="{1D448D78-DEBC-45CE-8568-DA50D96DF959}"/>
    <cellStyle name="Currency 5 3 4 3" xfId="1186" xr:uid="{D0AF5084-615B-4566-91BD-23E06B38AF80}"/>
    <cellStyle name="Currency 5 3 5" xfId="218" xr:uid="{00000000-0005-0000-0000-000085010000}"/>
    <cellStyle name="Currency 5 3 5 2" xfId="750" xr:uid="{00000000-0005-0000-0000-000086010000}"/>
    <cellStyle name="Currency 5 3 5 2 2" xfId="1603" xr:uid="{14F90311-85B2-4E65-BECC-6E238FAE0852}"/>
    <cellStyle name="Currency 5 3 5 3" xfId="1187" xr:uid="{46B997C6-66FF-4355-8C72-8C0A40A1B8AE}"/>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F78C9C29-24EC-4B90-BA30-FAEE35F0B2B2}"/>
    <cellStyle name="Currency 5 5 2 3" xfId="1189" xr:uid="{C0421FD7-E62A-446D-B7B6-AB38990E3FAC}"/>
    <cellStyle name="Currency 5 5 3" xfId="752" xr:uid="{00000000-0005-0000-0000-00008C010000}"/>
    <cellStyle name="Currency 5 5 3 2" xfId="1604" xr:uid="{3F26EA86-3A3D-481E-A2A0-524A51951545}"/>
    <cellStyle name="Currency 5 5 4" xfId="1188" xr:uid="{7B23940B-7CCE-4913-ABCB-46A565146132}"/>
    <cellStyle name="Currency 5 6" xfId="222" xr:uid="{00000000-0005-0000-0000-00008D010000}"/>
    <cellStyle name="Currency 5 6 2" xfId="754" xr:uid="{00000000-0005-0000-0000-00008E010000}"/>
    <cellStyle name="Currency 5 6 2 2" xfId="1606" xr:uid="{4C81C4F3-19C6-4CE4-88B9-4830F762E8B3}"/>
    <cellStyle name="Currency 5 6 3" xfId="1190" xr:uid="{EF184546-4D7F-42E4-A71B-34503D0DA54B}"/>
    <cellStyle name="Currency 5 7" xfId="223" xr:uid="{00000000-0005-0000-0000-00008F010000}"/>
    <cellStyle name="Currency 5 7 2" xfId="755" xr:uid="{00000000-0005-0000-0000-000090010000}"/>
    <cellStyle name="Currency 5 7 2 2" xfId="1607" xr:uid="{4E12119C-5AA3-41B1-A96B-523BD327E66A}"/>
    <cellStyle name="Currency 5 7 3" xfId="1191" xr:uid="{986B55BE-54DB-45FB-85A0-411A6072C829}"/>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680E92BD-910A-40A7-9B06-67326BD6F499}"/>
    <cellStyle name="Normal 12 2 2 2 3" xfId="1195" xr:uid="{AC0ECB55-70D8-465F-8C7A-5FE5716CAECE}"/>
    <cellStyle name="Normal 12 2 2 3" xfId="770" xr:uid="{00000000-0005-0000-0000-0000C9010000}"/>
    <cellStyle name="Normal 12 2 2 3 2" xfId="1610" xr:uid="{48A308CA-B83C-4CE2-B944-847755FAC712}"/>
    <cellStyle name="Normal 12 2 2 4" xfId="1194" xr:uid="{E76B0D7C-C7EB-47F8-93C0-77912A4A3899}"/>
    <cellStyle name="Normal 12 2 3" xfId="265" xr:uid="{00000000-0005-0000-0000-0000CA010000}"/>
    <cellStyle name="Normal 12 2 3 2" xfId="772" xr:uid="{00000000-0005-0000-0000-0000CB010000}"/>
    <cellStyle name="Normal 12 2 3 2 2" xfId="1612" xr:uid="{B0DF5F4F-808C-4DD7-86CF-D0E707E2B70F}"/>
    <cellStyle name="Normal 12 2 3 3" xfId="1196" xr:uid="{5D749781-7D5D-414C-B548-43BF89D1CF03}"/>
    <cellStyle name="Normal 12 2 4" xfId="769" xr:uid="{00000000-0005-0000-0000-0000CC010000}"/>
    <cellStyle name="Normal 12 2 4 2" xfId="1609" xr:uid="{C0011961-02A5-432F-9113-8A3DFD2917CE}"/>
    <cellStyle name="Normal 12 2 5" xfId="1193" xr:uid="{0716E882-8FC8-445F-926B-DA0268444932}"/>
    <cellStyle name="Normal 12 3" xfId="266" xr:uid="{00000000-0005-0000-0000-0000CD010000}"/>
    <cellStyle name="Normal 12 3 2" xfId="267" xr:uid="{00000000-0005-0000-0000-0000CE010000}"/>
    <cellStyle name="Normal 12 3 2 2" xfId="774" xr:uid="{00000000-0005-0000-0000-0000CF010000}"/>
    <cellStyle name="Normal 12 3 2 2 2" xfId="1614" xr:uid="{C09F7B2B-3691-442D-BD42-642DCC252017}"/>
    <cellStyle name="Normal 12 3 2 3" xfId="1198" xr:uid="{A54D0189-2014-4286-A127-E07F54AB19A4}"/>
    <cellStyle name="Normal 12 3 3" xfId="773" xr:uid="{00000000-0005-0000-0000-0000D0010000}"/>
    <cellStyle name="Normal 12 3 3 2" xfId="1613" xr:uid="{2CC359EC-D845-4540-BD61-E011BD708865}"/>
    <cellStyle name="Normal 12 3 4" xfId="1197" xr:uid="{C346B037-E98F-4BEF-9426-62B7D2A317A5}"/>
    <cellStyle name="Normal 12 4" xfId="268" xr:uid="{00000000-0005-0000-0000-0000D1010000}"/>
    <cellStyle name="Normal 12 4 2" xfId="775" xr:uid="{00000000-0005-0000-0000-0000D2010000}"/>
    <cellStyle name="Normal 12 4 2 2" xfId="1615" xr:uid="{86DEDF2E-B2FC-4CBF-9675-1C710F46CB56}"/>
    <cellStyle name="Normal 12 4 3" xfId="1199" xr:uid="{766220BD-2652-4D6C-A51B-604D723A2D31}"/>
    <cellStyle name="Normal 12 5" xfId="269" xr:uid="{00000000-0005-0000-0000-0000D3010000}"/>
    <cellStyle name="Normal 12 6" xfId="768" xr:uid="{00000000-0005-0000-0000-0000D4010000}"/>
    <cellStyle name="Normal 12 6 2" xfId="1608" xr:uid="{779F9659-F38A-422E-8E14-49EDD5A1BE8A}"/>
    <cellStyle name="Normal 12 7" xfId="1192" xr:uid="{CFD68B59-D7F5-4853-9DD5-884A28E961C4}"/>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5CC9FEF1-6FDD-4FA0-9C37-F8E6BE542538}"/>
    <cellStyle name="Normal 14 3" xfId="1200" xr:uid="{5149FC39-4FFA-4D08-B616-FB2D05C543FF}"/>
    <cellStyle name="Normal 15" xfId="575" xr:uid="{00000000-0005-0000-0000-0000D9010000}"/>
    <cellStyle name="Normal 15 2" xfId="1445" xr:uid="{ED12B443-B28A-4D7C-9635-E7C93FA19BB2}"/>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9E30FB4B-F0D7-4D9C-9971-7C4F2A3F24DB}"/>
    <cellStyle name="Normal 2 4 2 3 2 2 2 3" xfId="1205" xr:uid="{61423317-8E24-44EA-A542-66A4E5AF35F7}"/>
    <cellStyle name="Normal 2 4 2 3 2 2 3" xfId="782" xr:uid="{00000000-0005-0000-0000-0000EC010000}"/>
    <cellStyle name="Normal 2 4 2 3 2 2 3 2" xfId="1620" xr:uid="{1D8533DA-B0C8-40BA-91D0-EE86ED7005C5}"/>
    <cellStyle name="Normal 2 4 2 3 2 2 4" xfId="1204" xr:uid="{F0388C4E-5898-4F11-95CF-B172F5A11CC0}"/>
    <cellStyle name="Normal 2 4 2 3 2 3" xfId="288" xr:uid="{00000000-0005-0000-0000-0000ED010000}"/>
    <cellStyle name="Normal 2 4 2 3 2 3 2" xfId="784" xr:uid="{00000000-0005-0000-0000-0000EE010000}"/>
    <cellStyle name="Normal 2 4 2 3 2 3 2 2" xfId="1622" xr:uid="{C27E5DA0-FFB6-4B70-AA92-23A693CE5640}"/>
    <cellStyle name="Normal 2 4 2 3 2 3 3" xfId="1206" xr:uid="{FAC03539-6EE4-4C62-87D6-56919DA4253C}"/>
    <cellStyle name="Normal 2 4 2 3 2 4" xfId="781" xr:uid="{00000000-0005-0000-0000-0000EF010000}"/>
    <cellStyle name="Normal 2 4 2 3 2 4 2" xfId="1619" xr:uid="{FBC5D9A3-36FF-4226-B3B8-55E5D1DF6C8B}"/>
    <cellStyle name="Normal 2 4 2 3 2 5" xfId="1203" xr:uid="{0C45F23A-E555-4058-A4D1-5FC4463F5288}"/>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46688277-62A0-4B5F-87E4-8B6885BC64A2}"/>
    <cellStyle name="Normal 2 4 2 3 3 2 3" xfId="1208" xr:uid="{EF96AEEC-1E72-4EF1-9A4D-8EB9BFDE987D}"/>
    <cellStyle name="Normal 2 4 2 3 3 3" xfId="785" xr:uid="{00000000-0005-0000-0000-0000F3010000}"/>
    <cellStyle name="Normal 2 4 2 3 3 3 2" xfId="1623" xr:uid="{0DC3ABEF-8E55-477F-A776-CBA9AF737C11}"/>
    <cellStyle name="Normal 2 4 2 3 3 4" xfId="1207" xr:uid="{9094C90F-5B7D-4C92-9325-2613F5CE51EB}"/>
    <cellStyle name="Normal 2 4 2 3 4" xfId="291" xr:uid="{00000000-0005-0000-0000-0000F4010000}"/>
    <cellStyle name="Normal 2 4 2 3 4 2" xfId="787" xr:uid="{00000000-0005-0000-0000-0000F5010000}"/>
    <cellStyle name="Normal 2 4 2 3 4 2 2" xfId="1625" xr:uid="{6F052613-3B23-4C68-A87F-7B2C567E21A3}"/>
    <cellStyle name="Normal 2 4 2 3 4 3" xfId="1209" xr:uid="{B8121E2F-767F-4F5F-B77B-8A4C13C29F3C}"/>
    <cellStyle name="Normal 2 4 2 3 5" xfId="780" xr:uid="{00000000-0005-0000-0000-0000F6010000}"/>
    <cellStyle name="Normal 2 4 2 3 5 2" xfId="1618" xr:uid="{01A9A844-9F23-462B-94B4-4C1665B5D2B3}"/>
    <cellStyle name="Normal 2 4 2 3 6" xfId="1202" xr:uid="{AEF900D4-6209-427B-B052-D662A9B3C19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63901E3E-2BB0-481B-B5A0-58681639695E}"/>
    <cellStyle name="Normal 2 4 2 4 2 2 3" xfId="1212" xr:uid="{F3EC4EA7-2B4B-407D-8165-21FA33D4D155}"/>
    <cellStyle name="Normal 2 4 2 4 2 3" xfId="789" xr:uid="{00000000-0005-0000-0000-0000FB010000}"/>
    <cellStyle name="Normal 2 4 2 4 2 3 2" xfId="1627" xr:uid="{5C1B2D5B-3C71-4D7B-91A0-4F801079388A}"/>
    <cellStyle name="Normal 2 4 2 4 2 4" xfId="1211" xr:uid="{6AAB53B5-71A7-4772-8537-B47228E86F95}"/>
    <cellStyle name="Normal 2 4 2 4 3" xfId="295" xr:uid="{00000000-0005-0000-0000-0000FC010000}"/>
    <cellStyle name="Normal 2 4 2 4 3 2" xfId="791" xr:uid="{00000000-0005-0000-0000-0000FD010000}"/>
    <cellStyle name="Normal 2 4 2 4 3 2 2" xfId="1629" xr:uid="{D92D616E-392C-45C8-AFE6-CBD52EA151F3}"/>
    <cellStyle name="Normal 2 4 2 4 3 3" xfId="1213" xr:uid="{9F3F8033-DF0F-44F6-8704-0F2DEA0CB7CD}"/>
    <cellStyle name="Normal 2 4 2 4 4" xfId="788" xr:uid="{00000000-0005-0000-0000-0000FE010000}"/>
    <cellStyle name="Normal 2 4 2 4 4 2" xfId="1626" xr:uid="{FA57A0D5-5582-4F8A-87A3-F5F6C11D0DA9}"/>
    <cellStyle name="Normal 2 4 2 4 5" xfId="1210" xr:uid="{A29E1015-2C55-4B27-AA85-ADC1C039403A}"/>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59E659AA-7920-4C11-9C1F-CEF0436DD5E7}"/>
    <cellStyle name="Normal 2 4 2 5 2 3" xfId="1215" xr:uid="{3C118D2A-B7F7-4A53-A28A-557B5E907F3A}"/>
    <cellStyle name="Normal 2 4 2 5 3" xfId="792" xr:uid="{00000000-0005-0000-0000-000002020000}"/>
    <cellStyle name="Normal 2 4 2 5 3 2" xfId="1630" xr:uid="{C4419706-4349-4972-92F0-E7930E756D72}"/>
    <cellStyle name="Normal 2 4 2 5 4" xfId="1214" xr:uid="{2C5A18BE-C70F-4531-AE85-9ECB371C025D}"/>
    <cellStyle name="Normal 2 4 2 6" xfId="298" xr:uid="{00000000-0005-0000-0000-000003020000}"/>
    <cellStyle name="Normal 2 4 2 6 2" xfId="794" xr:uid="{00000000-0005-0000-0000-000004020000}"/>
    <cellStyle name="Normal 2 4 2 6 2 2" xfId="1632" xr:uid="{71F800D5-201D-41DA-8D2E-51E0D9BB8105}"/>
    <cellStyle name="Normal 2 4 2 6 3" xfId="1216" xr:uid="{071435CA-6FD9-428D-A978-297B34F76F15}"/>
    <cellStyle name="Normal 2 4 2 7" xfId="779" xr:uid="{00000000-0005-0000-0000-000005020000}"/>
    <cellStyle name="Normal 2 4 2 7 2" xfId="1617" xr:uid="{DBE501C0-1979-462C-84ED-734642476AD3}"/>
    <cellStyle name="Normal 2 4 2 8" xfId="1201" xr:uid="{98306DC7-F850-4A74-AD2C-9CE37C3EF9CB}"/>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62DC0D2D-9F95-4459-AC36-EBD4DC26E4B9}"/>
    <cellStyle name="Normal 2 4 3 3 2 2 3" xfId="1220" xr:uid="{6CADFD66-BBF2-485D-9D1C-6DC88A6B6414}"/>
    <cellStyle name="Normal 2 4 3 3 2 3" xfId="797" xr:uid="{00000000-0005-0000-0000-00000C020000}"/>
    <cellStyle name="Normal 2 4 3 3 2 3 2" xfId="1635" xr:uid="{3D7CB838-0736-43DF-93E7-05F772B89B33}"/>
    <cellStyle name="Normal 2 4 3 3 2 4" xfId="1219" xr:uid="{3C8AC597-D617-496F-9A1E-8582F19EF83A}"/>
    <cellStyle name="Normal 2 4 3 3 3" xfId="304" xr:uid="{00000000-0005-0000-0000-00000D020000}"/>
    <cellStyle name="Normal 2 4 3 3 3 2" xfId="799" xr:uid="{00000000-0005-0000-0000-00000E020000}"/>
    <cellStyle name="Normal 2 4 3 3 3 2 2" xfId="1637" xr:uid="{0E9B4F98-5C81-4E53-B765-AD967FC9E76D}"/>
    <cellStyle name="Normal 2 4 3 3 3 3" xfId="1221" xr:uid="{4F4C271D-9BE7-4F9B-AF3E-83A6A50CBC60}"/>
    <cellStyle name="Normal 2 4 3 3 4" xfId="796" xr:uid="{00000000-0005-0000-0000-00000F020000}"/>
    <cellStyle name="Normal 2 4 3 3 4 2" xfId="1634" xr:uid="{8AF9D31B-D0F9-4037-8FAA-9B2965B2999A}"/>
    <cellStyle name="Normal 2 4 3 3 5" xfId="1218" xr:uid="{F48C8723-02D4-4227-985F-8CC51B12B8BC}"/>
    <cellStyle name="Normal 2 4 3 4" xfId="795" xr:uid="{00000000-0005-0000-0000-000010020000}"/>
    <cellStyle name="Normal 2 4 3 4 2" xfId="1633" xr:uid="{B6AF528D-C87C-4E7D-BC47-E3DEE7FABD0A}"/>
    <cellStyle name="Normal 2 4 3 5" xfId="1217" xr:uid="{C6BB8217-BF4D-4090-A167-05C155F5EA21}"/>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7D856B5C-6398-4013-AF38-31D39628BA9D}"/>
    <cellStyle name="Normal 2 4 5 2 2 2 3" xfId="1225" xr:uid="{2BD84BBA-9F45-4525-B41B-B0C50DAA5AF7}"/>
    <cellStyle name="Normal 2 4 5 2 2 3" xfId="802" xr:uid="{00000000-0005-0000-0000-000017020000}"/>
    <cellStyle name="Normal 2 4 5 2 2 3 2" xfId="1640" xr:uid="{2005B3AC-7E5A-4A67-A7B3-18E5E71F5AC2}"/>
    <cellStyle name="Normal 2 4 5 2 2 4" xfId="1224" xr:uid="{E23A43BF-7FB3-4C2D-9810-E0211DE48C34}"/>
    <cellStyle name="Normal 2 4 5 2 3" xfId="310" xr:uid="{00000000-0005-0000-0000-000018020000}"/>
    <cellStyle name="Normal 2 4 5 2 3 2" xfId="804" xr:uid="{00000000-0005-0000-0000-000019020000}"/>
    <cellStyle name="Normal 2 4 5 2 3 2 2" xfId="1642" xr:uid="{6B2586DF-6971-4D09-A1B8-361CDFD778DE}"/>
    <cellStyle name="Normal 2 4 5 2 3 3" xfId="1226" xr:uid="{6CA2FC56-23EA-4FBE-A200-7D2CB3A40D30}"/>
    <cellStyle name="Normal 2 4 5 2 4" xfId="801" xr:uid="{00000000-0005-0000-0000-00001A020000}"/>
    <cellStyle name="Normal 2 4 5 2 4 2" xfId="1639" xr:uid="{63A86BB0-E0C8-4307-920E-DE89AAB2A5ED}"/>
    <cellStyle name="Normal 2 4 5 2 5" xfId="1223" xr:uid="{11EB7522-BAA3-4B78-993E-014E9810EB15}"/>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7F2DE5DF-02A2-4672-9DCE-CB14ACA1632F}"/>
    <cellStyle name="Normal 2 4 5 3 2 3" xfId="1228" xr:uid="{1F741CCB-4AF0-485C-850B-3101B7351D21}"/>
    <cellStyle name="Normal 2 4 5 3 3" xfId="805" xr:uid="{00000000-0005-0000-0000-00001E020000}"/>
    <cellStyle name="Normal 2 4 5 3 3 2" xfId="1643" xr:uid="{176C9391-30C1-4BAF-A49B-EF380A7FB6CD}"/>
    <cellStyle name="Normal 2 4 5 3 4" xfId="1227" xr:uid="{720633AB-1BC9-4346-B311-C705F77E16F9}"/>
    <cellStyle name="Normal 2 4 5 4" xfId="313" xr:uid="{00000000-0005-0000-0000-00001F020000}"/>
    <cellStyle name="Normal 2 4 5 4 2" xfId="807" xr:uid="{00000000-0005-0000-0000-000020020000}"/>
    <cellStyle name="Normal 2 4 5 4 2 2" xfId="1645" xr:uid="{05A71F04-CDDC-4266-BBB3-4D7C64E99008}"/>
    <cellStyle name="Normal 2 4 5 4 3" xfId="1229" xr:uid="{34A99270-6D3D-43A5-97D0-3D3AFDB00126}"/>
    <cellStyle name="Normal 2 4 5 5" xfId="800" xr:uid="{00000000-0005-0000-0000-000021020000}"/>
    <cellStyle name="Normal 2 4 5 5 2" xfId="1638" xr:uid="{2D3C9FAA-B69C-4207-9F16-0E45A9398198}"/>
    <cellStyle name="Normal 2 4 5 6" xfId="1222" xr:uid="{1CAEF112-DA71-4003-A13B-2EAD5B1C211A}"/>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73C63799-1064-4FC7-9804-A82820D17571}"/>
    <cellStyle name="Normal 2 4 7 2 3" xfId="1231" xr:uid="{47802F9E-FF4B-4C46-8181-9CD773EB38E1}"/>
    <cellStyle name="Normal 2 4 7 3" xfId="808" xr:uid="{00000000-0005-0000-0000-000026020000}"/>
    <cellStyle name="Normal 2 4 7 3 2" xfId="1646" xr:uid="{A2BFB369-F667-4F96-912B-B614DB49CD62}"/>
    <cellStyle name="Normal 2 4 7 4" xfId="1230" xr:uid="{C0CDD7FD-E31D-412C-BDE4-2EB70510ADBC}"/>
    <cellStyle name="Normal 2 4 8" xfId="317" xr:uid="{00000000-0005-0000-0000-000027020000}"/>
    <cellStyle name="Normal 2 4 8 2" xfId="810" xr:uid="{00000000-0005-0000-0000-000028020000}"/>
    <cellStyle name="Normal 2 4 8 2 2" xfId="1648" xr:uid="{6FD30B2F-F2B2-4C60-B92E-58A3A79B8F28}"/>
    <cellStyle name="Normal 2 4 8 3" xfId="1232" xr:uid="{41932FAB-50BF-48AF-ACE0-F2EC0FEE34AD}"/>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E9154330-1293-42BD-A5FC-BC84A1143E65}"/>
    <cellStyle name="Normal 2 5 4 2 2 3" xfId="1236" xr:uid="{39FF461F-D87B-493D-A8AB-DBE3C02567A3}"/>
    <cellStyle name="Normal 2 5 4 2 3" xfId="813" xr:uid="{00000000-0005-0000-0000-000030020000}"/>
    <cellStyle name="Normal 2 5 4 2 3 2" xfId="1651" xr:uid="{5CC05FCC-BB2C-47C1-A447-DBD5B97B4EE3}"/>
    <cellStyle name="Normal 2 5 4 2 4" xfId="1235" xr:uid="{A55C3DE0-7D80-4264-BE3F-50874451148A}"/>
    <cellStyle name="Normal 2 5 4 3" xfId="324" xr:uid="{00000000-0005-0000-0000-000031020000}"/>
    <cellStyle name="Normal 2 5 4 3 2" xfId="815" xr:uid="{00000000-0005-0000-0000-000032020000}"/>
    <cellStyle name="Normal 2 5 4 3 2 2" xfId="1653" xr:uid="{75ABC4FE-24AB-4460-8505-1AF9561FE820}"/>
    <cellStyle name="Normal 2 5 4 3 3" xfId="1237" xr:uid="{32A23418-B525-4A3C-8C86-E5713F541D30}"/>
    <cellStyle name="Normal 2 5 4 4" xfId="812" xr:uid="{00000000-0005-0000-0000-000033020000}"/>
    <cellStyle name="Normal 2 5 4 4 2" xfId="1650" xr:uid="{524AF58A-215B-4AFE-9BB6-F5F15DAE5115}"/>
    <cellStyle name="Normal 2 5 4 5" xfId="1234" xr:uid="{8A319F1C-003E-439E-9137-16019252EB5A}"/>
    <cellStyle name="Normal 2 5 5" xfId="811" xr:uid="{00000000-0005-0000-0000-000034020000}"/>
    <cellStyle name="Normal 2 5 5 2" xfId="1649" xr:uid="{186E43FC-2AB9-4EFC-BE95-E22933236B77}"/>
    <cellStyle name="Normal 2 5 6" xfId="1233" xr:uid="{E5D8A08C-63F9-45DB-97C5-B65AA6F88D7E}"/>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7BA33E8E-E6FF-4ADA-B6AD-2DFAC80C8A2A}"/>
    <cellStyle name="Normal 3 2 3 2 2 3" xfId="1241" xr:uid="{CAEFABFD-0ABB-480E-92BD-377EA7D5080F}"/>
    <cellStyle name="Normal 3 2 3 2 3" xfId="820" xr:uid="{00000000-0005-0000-0000-00003F020000}"/>
    <cellStyle name="Normal 3 2 3 2 3 2" xfId="1656" xr:uid="{A8957C9C-0F6B-4BC0-83BB-644FD678860D}"/>
    <cellStyle name="Normal 3 2 3 2 4" xfId="1240" xr:uid="{37ACBC22-3ECC-4F76-A694-8560F7E594BE}"/>
    <cellStyle name="Normal 3 2 3 3" xfId="332" xr:uid="{00000000-0005-0000-0000-000040020000}"/>
    <cellStyle name="Normal 3 2 3 3 2" xfId="822" xr:uid="{00000000-0005-0000-0000-000041020000}"/>
    <cellStyle name="Normal 3 2 3 3 2 2" xfId="1658" xr:uid="{864ECA19-BFA9-4C0D-B9AC-898F78C21922}"/>
    <cellStyle name="Normal 3 2 3 3 3" xfId="1242" xr:uid="{37806104-4E40-496D-91B1-2FB8EFD69EA4}"/>
    <cellStyle name="Normal 3 2 3 4" xfId="819" xr:uid="{00000000-0005-0000-0000-000042020000}"/>
    <cellStyle name="Normal 3 2 3 4 2" xfId="1655" xr:uid="{654E9159-C9DB-4AF6-B279-B3108C10704B}"/>
    <cellStyle name="Normal 3 2 3 5" xfId="1239" xr:uid="{01639909-63B2-44A1-968D-A2ACAD63C6FA}"/>
    <cellStyle name="Normal 3 2 4" xfId="817" xr:uid="{00000000-0005-0000-0000-000043020000}"/>
    <cellStyle name="Normal 3 2 4 2" xfId="1654" xr:uid="{E311CB21-4429-445B-9627-B547635AD4D4}"/>
    <cellStyle name="Normal 3 2 5" xfId="1238" xr:uid="{488A81EC-876C-4252-AA6B-F41BE90A3CAA}"/>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12FE18B6-62A9-48FA-B265-90F856C96C35}"/>
    <cellStyle name="Normal 4 2 2 3 2 2 2 3" xfId="1247" xr:uid="{207AC350-BA77-40CC-B15E-18E156A25F67}"/>
    <cellStyle name="Normal 4 2 2 3 2 2 3" xfId="826" xr:uid="{00000000-0005-0000-0000-000053020000}"/>
    <cellStyle name="Normal 4 2 2 3 2 2 3 2" xfId="1662" xr:uid="{A2AC7050-6613-44E9-BD0D-B625963FEBA2}"/>
    <cellStyle name="Normal 4 2 2 3 2 2 4" xfId="1246" xr:uid="{8E8190F3-FF16-4C5D-AF8B-8F42194B5382}"/>
    <cellStyle name="Normal 4 2 2 3 2 3" xfId="346" xr:uid="{00000000-0005-0000-0000-000054020000}"/>
    <cellStyle name="Normal 4 2 2 3 2 3 2" xfId="828" xr:uid="{00000000-0005-0000-0000-000055020000}"/>
    <cellStyle name="Normal 4 2 2 3 2 3 2 2" xfId="1664" xr:uid="{CCBA696E-8C63-4B77-99DD-200523203354}"/>
    <cellStyle name="Normal 4 2 2 3 2 3 3" xfId="1248" xr:uid="{BAC3D298-5A0E-4E9B-B214-1DE4046DF1A3}"/>
    <cellStyle name="Normal 4 2 2 3 2 4" xfId="825" xr:uid="{00000000-0005-0000-0000-000056020000}"/>
    <cellStyle name="Normal 4 2 2 3 2 4 2" xfId="1661" xr:uid="{5F47A783-0FB8-4B1E-9808-3DDEE29F95C8}"/>
    <cellStyle name="Normal 4 2 2 3 2 5" xfId="1245" xr:uid="{17274917-0A40-4754-A8A6-481A9C18FAEB}"/>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FA35258A-1ED9-438A-9EC0-84C5165FBA35}"/>
    <cellStyle name="Normal 4 2 2 3 3 2 3" xfId="1250" xr:uid="{1FF1F8F9-21B8-4FF8-AE94-69D452683EA2}"/>
    <cellStyle name="Normal 4 2 2 3 3 3" xfId="829" xr:uid="{00000000-0005-0000-0000-00005A020000}"/>
    <cellStyle name="Normal 4 2 2 3 3 3 2" xfId="1665" xr:uid="{BA815213-B94E-4159-A1D3-72AE444696DF}"/>
    <cellStyle name="Normal 4 2 2 3 3 4" xfId="1249" xr:uid="{06B12082-9E91-4E1B-9AD4-D296AE76E527}"/>
    <cellStyle name="Normal 4 2 2 3 4" xfId="349" xr:uid="{00000000-0005-0000-0000-00005B020000}"/>
    <cellStyle name="Normal 4 2 2 3 4 2" xfId="831" xr:uid="{00000000-0005-0000-0000-00005C020000}"/>
    <cellStyle name="Normal 4 2 2 3 4 2 2" xfId="1667" xr:uid="{8906F071-76E6-4532-B81C-3FBC4BEF1812}"/>
    <cellStyle name="Normal 4 2 2 3 4 3" xfId="1251" xr:uid="{920F6DFA-7229-4BEA-8887-5C564FCE7D06}"/>
    <cellStyle name="Normal 4 2 2 3 5" xfId="824" xr:uid="{00000000-0005-0000-0000-00005D020000}"/>
    <cellStyle name="Normal 4 2 2 3 5 2" xfId="1660" xr:uid="{2901A6C9-7FD3-4505-B704-D17457E2B08B}"/>
    <cellStyle name="Normal 4 2 2 3 6" xfId="1244" xr:uid="{2A43C720-AC48-4B05-94B8-52389BF503EC}"/>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87FBCFD7-F252-4FDE-9C20-7BD9CCC579AE}"/>
    <cellStyle name="Normal 4 2 2 4 2 2 3" xfId="1254" xr:uid="{1945CCC2-895A-4858-84DA-F42EC77DDFCC}"/>
    <cellStyle name="Normal 4 2 2 4 2 3" xfId="833" xr:uid="{00000000-0005-0000-0000-000062020000}"/>
    <cellStyle name="Normal 4 2 2 4 2 3 2" xfId="1669" xr:uid="{7956DB98-D470-4DFD-A46D-990F89CD3595}"/>
    <cellStyle name="Normal 4 2 2 4 2 4" xfId="1253" xr:uid="{CF236C8F-CB8D-4A84-81F8-51246E926B7F}"/>
    <cellStyle name="Normal 4 2 2 4 3" xfId="353" xr:uid="{00000000-0005-0000-0000-000063020000}"/>
    <cellStyle name="Normal 4 2 2 4 3 2" xfId="835" xr:uid="{00000000-0005-0000-0000-000064020000}"/>
    <cellStyle name="Normal 4 2 2 4 3 2 2" xfId="1671" xr:uid="{E3FBE2B5-A12A-41F7-A0BA-5B2B9CB60E2B}"/>
    <cellStyle name="Normal 4 2 2 4 3 3" xfId="1255" xr:uid="{B6A2DE03-656F-4D11-BF57-94FFDD50A6BE}"/>
    <cellStyle name="Normal 4 2 2 4 4" xfId="832" xr:uid="{00000000-0005-0000-0000-000065020000}"/>
    <cellStyle name="Normal 4 2 2 4 4 2" xfId="1668" xr:uid="{3DCF4B62-306D-4996-9888-038C1581C4F2}"/>
    <cellStyle name="Normal 4 2 2 4 5" xfId="1252" xr:uid="{7F696756-07A0-4ED4-910D-7FF32B3C9C84}"/>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A33A523B-B1C0-4A03-8B1C-EB8EDA82F89C}"/>
    <cellStyle name="Normal 4 2 2 5 2 3" xfId="1257" xr:uid="{20259EFA-4ED2-4565-9150-19D0D10784F3}"/>
    <cellStyle name="Normal 4 2 2 5 3" xfId="836" xr:uid="{00000000-0005-0000-0000-000069020000}"/>
    <cellStyle name="Normal 4 2 2 5 3 2" xfId="1672" xr:uid="{1180AB6B-0A93-4130-9A6E-1B3760E5BA5D}"/>
    <cellStyle name="Normal 4 2 2 5 4" xfId="1256" xr:uid="{18148BD0-6BB9-4A01-A551-6C551C90DA64}"/>
    <cellStyle name="Normal 4 2 2 6" xfId="356" xr:uid="{00000000-0005-0000-0000-00006A020000}"/>
    <cellStyle name="Normal 4 2 2 6 2" xfId="838" xr:uid="{00000000-0005-0000-0000-00006B020000}"/>
    <cellStyle name="Normal 4 2 2 6 2 2" xfId="1674" xr:uid="{C3CB88F5-20A4-4159-A543-0537AAB83BEB}"/>
    <cellStyle name="Normal 4 2 2 6 3" xfId="1258" xr:uid="{29C1BD5D-11CB-4BB1-95D4-C518F1ED166F}"/>
    <cellStyle name="Normal 4 2 2 7" xfId="823" xr:uid="{00000000-0005-0000-0000-00006C020000}"/>
    <cellStyle name="Normal 4 2 2 7 2" xfId="1659" xr:uid="{E555B539-692A-4DA9-AEFD-68FCB39E2443}"/>
    <cellStyle name="Normal 4 2 2 8" xfId="1243" xr:uid="{66BAEAF9-BCAB-4FFF-9DD6-2C8C7B4678F2}"/>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33E0060E-FD1A-4D79-AB93-FB57664E5CE1}"/>
    <cellStyle name="Normal 4 2 4 2 2 2 3" xfId="1262" xr:uid="{E85C0EEF-92D5-49C7-9CB0-3D6B611563AB}"/>
    <cellStyle name="Normal 4 2 4 2 2 3" xfId="841" xr:uid="{00000000-0005-0000-0000-000073020000}"/>
    <cellStyle name="Normal 4 2 4 2 2 3 2" xfId="1677" xr:uid="{9FA96849-56CA-4E18-A8D4-99395F095120}"/>
    <cellStyle name="Normal 4 2 4 2 2 4" xfId="1261" xr:uid="{D38A459E-86CA-4EF9-8B85-579F40BF45F8}"/>
    <cellStyle name="Normal 4 2 4 2 3" xfId="362" xr:uid="{00000000-0005-0000-0000-000074020000}"/>
    <cellStyle name="Normal 4 2 4 2 3 2" xfId="843" xr:uid="{00000000-0005-0000-0000-000075020000}"/>
    <cellStyle name="Normal 4 2 4 2 3 2 2" xfId="1679" xr:uid="{84B77423-3CA7-4887-A7C5-3423CE28974C}"/>
    <cellStyle name="Normal 4 2 4 2 3 3" xfId="1263" xr:uid="{B3586CE7-2C68-4E96-9F69-56EE00A0D48C}"/>
    <cellStyle name="Normal 4 2 4 2 4" xfId="840" xr:uid="{00000000-0005-0000-0000-000076020000}"/>
    <cellStyle name="Normal 4 2 4 2 4 2" xfId="1676" xr:uid="{A4E38FD5-917A-48E5-98AB-34920373ED3C}"/>
    <cellStyle name="Normal 4 2 4 2 5" xfId="1260" xr:uid="{954FF603-D57A-46A6-B3BF-5A32D7130850}"/>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5AE2168A-6357-490A-8AD1-73C22BB59F4D}"/>
    <cellStyle name="Normal 4 2 4 3 2 3" xfId="1265" xr:uid="{3EE9AF2A-6D27-4C80-9E02-8FCDDA6DB7B2}"/>
    <cellStyle name="Normal 4 2 4 3 3" xfId="844" xr:uid="{00000000-0005-0000-0000-00007A020000}"/>
    <cellStyle name="Normal 4 2 4 3 3 2" xfId="1680" xr:uid="{232AA88A-6A87-4751-ADCA-895AAA46A4C5}"/>
    <cellStyle name="Normal 4 2 4 3 4" xfId="1264" xr:uid="{15BA835B-6770-408A-A77F-0733BC65AB7C}"/>
    <cellStyle name="Normal 4 2 4 4" xfId="365" xr:uid="{00000000-0005-0000-0000-00007B020000}"/>
    <cellStyle name="Normal 4 2 4 4 2" xfId="846" xr:uid="{00000000-0005-0000-0000-00007C020000}"/>
    <cellStyle name="Normal 4 2 4 4 2 2" xfId="1682" xr:uid="{4392D718-5173-493D-B7A6-7086A0DEFD2B}"/>
    <cellStyle name="Normal 4 2 4 4 3" xfId="1266" xr:uid="{E3DEB255-D886-4170-B13A-95F259E2BDFB}"/>
    <cellStyle name="Normal 4 2 4 5" xfId="839" xr:uid="{00000000-0005-0000-0000-00007D020000}"/>
    <cellStyle name="Normal 4 2 4 5 2" xfId="1675" xr:uid="{67226C10-93E9-4C67-B545-F25D014C2F79}"/>
    <cellStyle name="Normal 4 2 4 6" xfId="1259" xr:uid="{251F13E3-AD4E-42B0-B879-1008C3840A6C}"/>
    <cellStyle name="Normal 4 2 5" xfId="366" xr:uid="{00000000-0005-0000-0000-00007E020000}"/>
    <cellStyle name="Normal 4 2 5 2" xfId="367" xr:uid="{00000000-0005-0000-0000-00007F020000}"/>
    <cellStyle name="Normal 4 2 5 2 2" xfId="848" xr:uid="{00000000-0005-0000-0000-000080020000}"/>
    <cellStyle name="Normal 4 2 5 2 2 2" xfId="1684" xr:uid="{748AD695-4FBA-4585-9D41-F0143D3D25BA}"/>
    <cellStyle name="Normal 4 2 5 2 3" xfId="1268" xr:uid="{C96A5DB2-35B1-47F8-87C9-01DDE196B921}"/>
    <cellStyle name="Normal 4 2 5 3" xfId="847" xr:uid="{00000000-0005-0000-0000-000081020000}"/>
    <cellStyle name="Normal 4 2 5 3 2" xfId="1683" xr:uid="{59D23255-66E4-4216-B52E-433AD14651FF}"/>
    <cellStyle name="Normal 4 2 5 4" xfId="1267" xr:uid="{37D87746-C5F2-4609-8C1F-33FDAD941C85}"/>
    <cellStyle name="Normal 4 2 6" xfId="368" xr:uid="{00000000-0005-0000-0000-000082020000}"/>
    <cellStyle name="Normal 4 2 6 2" xfId="849" xr:uid="{00000000-0005-0000-0000-000083020000}"/>
    <cellStyle name="Normal 4 2 6 2 2" xfId="1685" xr:uid="{7B45E0A9-882B-4CE2-99B9-3E05C309BD25}"/>
    <cellStyle name="Normal 4 2 6 3" xfId="1269" xr:uid="{B8CAB777-2B8B-4A24-A469-D6A1FB653CE9}"/>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C6B7EA4E-49AC-4741-9B60-D67D720645CF}"/>
    <cellStyle name="Normal 4 3 2 2 2 2 2 3" xfId="1273" xr:uid="{FE686746-4A6B-4731-B103-704D67B69A08}"/>
    <cellStyle name="Normal 4 3 2 2 2 2 3" xfId="853" xr:uid="{00000000-0005-0000-0000-00008B020000}"/>
    <cellStyle name="Normal 4 3 2 2 2 2 3 2" xfId="1688" xr:uid="{A4059A34-43F6-4109-9E05-50DDF8428A58}"/>
    <cellStyle name="Normal 4 3 2 2 2 2 4" xfId="1272" xr:uid="{583F4DE5-13B4-4784-8EA2-DC7A5A27490A}"/>
    <cellStyle name="Normal 4 3 2 2 2 3" xfId="375" xr:uid="{00000000-0005-0000-0000-00008C020000}"/>
    <cellStyle name="Normal 4 3 2 2 2 3 2" xfId="855" xr:uid="{00000000-0005-0000-0000-00008D020000}"/>
    <cellStyle name="Normal 4 3 2 2 2 3 2 2" xfId="1690" xr:uid="{1F8DD419-074E-4924-8139-6332F4C41422}"/>
    <cellStyle name="Normal 4 3 2 2 2 3 3" xfId="1274" xr:uid="{1F0BEDD1-C725-460C-A03F-A37264A55693}"/>
    <cellStyle name="Normal 4 3 2 2 2 4" xfId="852" xr:uid="{00000000-0005-0000-0000-00008E020000}"/>
    <cellStyle name="Normal 4 3 2 2 2 4 2" xfId="1687" xr:uid="{C02E1E67-9471-4E40-BEA7-CB5D9933FDFE}"/>
    <cellStyle name="Normal 4 3 2 2 2 5" xfId="1271" xr:uid="{313FB3A3-2474-4FC9-9032-A123FCB8675D}"/>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B71D29A0-147B-4779-89AB-E18744853E6E}"/>
    <cellStyle name="Normal 4 3 3 2 2 3" xfId="1277" xr:uid="{28DD93AA-8074-40F0-948D-86B19B6B1D49}"/>
    <cellStyle name="Normal 4 3 3 2 3" xfId="858" xr:uid="{00000000-0005-0000-0000-000096020000}"/>
    <cellStyle name="Normal 4 3 3 2 3 2" xfId="1692" xr:uid="{C6150F50-89E6-4A7D-A476-52E0DCF00FE2}"/>
    <cellStyle name="Normal 4 3 3 2 4" xfId="1276" xr:uid="{989AFB5D-074D-4E6B-9CDA-0FE08BBDB2C1}"/>
    <cellStyle name="Normal 4 3 3 3" xfId="380" xr:uid="{00000000-0005-0000-0000-000097020000}"/>
    <cellStyle name="Normal 4 3 3 3 2" xfId="860" xr:uid="{00000000-0005-0000-0000-000098020000}"/>
    <cellStyle name="Normal 4 3 3 3 2 2" xfId="1694" xr:uid="{D827DA71-78CA-4706-ADE5-8592F6F6E7EA}"/>
    <cellStyle name="Normal 4 3 3 3 3" xfId="1278" xr:uid="{5201B9F3-AE38-4CE6-9CF9-8CF0262DF227}"/>
    <cellStyle name="Normal 4 3 3 4" xfId="857" xr:uid="{00000000-0005-0000-0000-000099020000}"/>
    <cellStyle name="Normal 4 3 3 4 2" xfId="1691" xr:uid="{014E8323-3827-4712-9921-2038D1526A9E}"/>
    <cellStyle name="Normal 4 3 3 5" xfId="1275" xr:uid="{43A4810D-0E0A-444D-A456-FAFA55B9A6CC}"/>
    <cellStyle name="Normal 4 3 4" xfId="850" xr:uid="{00000000-0005-0000-0000-00009A020000}"/>
    <cellStyle name="Normal 4 3 4 2" xfId="1686" xr:uid="{47CE5F65-8E06-4B30-B8F8-6CEE14A901AF}"/>
    <cellStyle name="Normal 4 3 5" xfId="1270" xr:uid="{322027FD-E393-4C9D-B3ED-99F17E83AEBA}"/>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71BB8FC0-CA5B-467D-AA3F-E937CA45D830}"/>
    <cellStyle name="Normal 4 4 2 2 2 2 3" xfId="1283" xr:uid="{A06A1159-FDEA-4587-963F-00F476E4E0B3}"/>
    <cellStyle name="Normal 4 4 2 2 2 3" xfId="864" xr:uid="{00000000-0005-0000-0000-0000A1020000}"/>
    <cellStyle name="Normal 4 4 2 2 2 3 2" xfId="1698" xr:uid="{9CC7ACDD-F306-4D5D-BBDB-DE40303DBD56}"/>
    <cellStyle name="Normal 4 4 2 2 2 4" xfId="1282" xr:uid="{5BCD1A98-1E33-4048-BADC-E501BAE2BE65}"/>
    <cellStyle name="Normal 4 4 2 2 3" xfId="386" xr:uid="{00000000-0005-0000-0000-0000A2020000}"/>
    <cellStyle name="Normal 4 4 2 2 3 2" xfId="866" xr:uid="{00000000-0005-0000-0000-0000A3020000}"/>
    <cellStyle name="Normal 4 4 2 2 3 2 2" xfId="1700" xr:uid="{1E3E5EC5-A1A2-4EC4-8625-A88BB8B27C4D}"/>
    <cellStyle name="Normal 4 4 2 2 3 3" xfId="1284" xr:uid="{E3BCB187-19C3-4486-9220-D392DB628992}"/>
    <cellStyle name="Normal 4 4 2 2 4" xfId="863" xr:uid="{00000000-0005-0000-0000-0000A4020000}"/>
    <cellStyle name="Normal 4 4 2 2 4 2" xfId="1697" xr:uid="{49B6A496-9B51-4F93-8211-D41B30B334A2}"/>
    <cellStyle name="Normal 4 4 2 2 5" xfId="1281" xr:uid="{FEB79FA4-3FC6-48ED-B898-20C00289112F}"/>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06DF4F39-7AA1-4F6C-8031-DB2E1956BD0D}"/>
    <cellStyle name="Normal 4 4 2 3 2 3" xfId="1286" xr:uid="{FF75F8C3-F76B-4CDF-99E1-6CDB6EACD2EE}"/>
    <cellStyle name="Normal 4 4 2 3 3" xfId="867" xr:uid="{00000000-0005-0000-0000-0000A8020000}"/>
    <cellStyle name="Normal 4 4 2 3 3 2" xfId="1701" xr:uid="{F18DEA09-06DD-49DF-B150-E42F4C0ABFBE}"/>
    <cellStyle name="Normal 4 4 2 3 4" xfId="1285" xr:uid="{255928D5-105C-4B20-8EF4-9A09F60D57D2}"/>
    <cellStyle name="Normal 4 4 2 4" xfId="389" xr:uid="{00000000-0005-0000-0000-0000A9020000}"/>
    <cellStyle name="Normal 4 4 2 4 2" xfId="869" xr:uid="{00000000-0005-0000-0000-0000AA020000}"/>
    <cellStyle name="Normal 4 4 2 4 2 2" xfId="1703" xr:uid="{AFD43EE0-CDEE-4FCE-B365-2B7694536A0B}"/>
    <cellStyle name="Normal 4 4 2 4 3" xfId="1287" xr:uid="{A40F8580-E47C-4F7F-98CA-8AF7F1E894CC}"/>
    <cellStyle name="Normal 4 4 2 5" xfId="862" xr:uid="{00000000-0005-0000-0000-0000AB020000}"/>
    <cellStyle name="Normal 4 4 2 5 2" xfId="1696" xr:uid="{174DF895-A751-4615-99A7-9B26C9C160A1}"/>
    <cellStyle name="Normal 4 4 2 6" xfId="1280" xr:uid="{98AEE03B-CE73-4352-B9BC-0B1A7F139B1A}"/>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2A77C4F7-0EEB-4604-8E0A-739F0473CDA4}"/>
    <cellStyle name="Normal 4 4 3 2 2 3" xfId="1290" xr:uid="{49612E51-CEA7-4E0C-926B-B55F0C50C134}"/>
    <cellStyle name="Normal 4 4 3 2 3" xfId="871" xr:uid="{00000000-0005-0000-0000-0000B0020000}"/>
    <cellStyle name="Normal 4 4 3 2 3 2" xfId="1705" xr:uid="{66926F0D-2730-4931-86F6-F9C88CEA7492}"/>
    <cellStyle name="Normal 4 4 3 2 4" xfId="1289" xr:uid="{561CAE0E-136E-4C44-A5DA-AA695632BEE6}"/>
    <cellStyle name="Normal 4 4 3 3" xfId="393" xr:uid="{00000000-0005-0000-0000-0000B1020000}"/>
    <cellStyle name="Normal 4 4 3 3 2" xfId="873" xr:uid="{00000000-0005-0000-0000-0000B2020000}"/>
    <cellStyle name="Normal 4 4 3 3 2 2" xfId="1707" xr:uid="{E475D967-20F8-4B1F-9231-C47CC74EAB3B}"/>
    <cellStyle name="Normal 4 4 3 3 3" xfId="1291" xr:uid="{3B94F447-DC6A-496F-B0B9-152C657FB648}"/>
    <cellStyle name="Normal 4 4 3 4" xfId="870" xr:uid="{00000000-0005-0000-0000-0000B3020000}"/>
    <cellStyle name="Normal 4 4 3 4 2" xfId="1704" xr:uid="{750B16F1-C3BA-49B1-A638-5051A5F2C3C6}"/>
    <cellStyle name="Normal 4 4 3 5" xfId="1288" xr:uid="{860B2814-3D02-4E93-88DE-90DAC35166AA}"/>
    <cellStyle name="Normal 4 4 4" xfId="394" xr:uid="{00000000-0005-0000-0000-0000B4020000}"/>
    <cellStyle name="Normal 4 4 4 2" xfId="395" xr:uid="{00000000-0005-0000-0000-0000B5020000}"/>
    <cellStyle name="Normal 4 4 4 2 2" xfId="875" xr:uid="{00000000-0005-0000-0000-0000B6020000}"/>
    <cellStyle name="Normal 4 4 4 2 2 2" xfId="1709" xr:uid="{6B21844B-D5D1-47F1-BD6E-D62D42E0BAFB}"/>
    <cellStyle name="Normal 4 4 4 2 3" xfId="1293" xr:uid="{19818461-1765-44D1-887B-5448D27F1428}"/>
    <cellStyle name="Normal 4 4 4 3" xfId="874" xr:uid="{00000000-0005-0000-0000-0000B7020000}"/>
    <cellStyle name="Normal 4 4 4 3 2" xfId="1708" xr:uid="{A539F83C-C662-4F5B-898E-2E3B160ECBB0}"/>
    <cellStyle name="Normal 4 4 4 4" xfId="1292" xr:uid="{7343C49E-F8AA-4CC8-B85F-FA9B72A3B5A4}"/>
    <cellStyle name="Normal 4 4 5" xfId="396" xr:uid="{00000000-0005-0000-0000-0000B8020000}"/>
    <cellStyle name="Normal 4 4 5 2" xfId="876" xr:uid="{00000000-0005-0000-0000-0000B9020000}"/>
    <cellStyle name="Normal 4 4 5 2 2" xfId="1710" xr:uid="{06BD2562-5189-4AEA-9B4C-E9115E1C04B0}"/>
    <cellStyle name="Normal 4 4 5 3" xfId="1294" xr:uid="{862C53EF-7706-488B-8C1A-7FB4803CB3D7}"/>
    <cellStyle name="Normal 4 4 6" xfId="861" xr:uid="{00000000-0005-0000-0000-0000BA020000}"/>
    <cellStyle name="Normal 4 4 6 2" xfId="1695" xr:uid="{59734F3C-E684-4ED5-9344-CAAE76FA4F03}"/>
    <cellStyle name="Normal 4 4 7" xfId="1279" xr:uid="{EE7C9387-0BE3-405C-963B-3B8454D966CA}"/>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5FD56FDC-7BDC-420C-AA64-A0E51FC221A9}"/>
    <cellStyle name="Normal 4 6 2 2 2 3" xfId="1298" xr:uid="{DDCB47C9-2AEC-4AE0-8678-A4BE3A3F368B}"/>
    <cellStyle name="Normal 4 6 2 2 3" xfId="879" xr:uid="{00000000-0005-0000-0000-0000C1020000}"/>
    <cellStyle name="Normal 4 6 2 2 3 2" xfId="1713" xr:uid="{CC330D01-E637-4326-91A7-F38F11669D43}"/>
    <cellStyle name="Normal 4 6 2 2 4" xfId="1297" xr:uid="{116B8D3B-621D-445F-A83E-2955F780BABC}"/>
    <cellStyle name="Normal 4 6 2 3" xfId="402" xr:uid="{00000000-0005-0000-0000-0000C2020000}"/>
    <cellStyle name="Normal 4 6 2 3 2" xfId="881" xr:uid="{00000000-0005-0000-0000-0000C3020000}"/>
    <cellStyle name="Normal 4 6 2 3 2 2" xfId="1715" xr:uid="{F9BCB91E-093D-472E-87FE-4C7AB586E564}"/>
    <cellStyle name="Normal 4 6 2 3 3" xfId="1299" xr:uid="{CB9B35A6-3E35-4134-9AE1-6FB99ED9E4DC}"/>
    <cellStyle name="Normal 4 6 2 4" xfId="878" xr:uid="{00000000-0005-0000-0000-0000C4020000}"/>
    <cellStyle name="Normal 4 6 2 4 2" xfId="1712" xr:uid="{CEFE5780-046E-46D4-812F-434BE81EB914}"/>
    <cellStyle name="Normal 4 6 2 5" xfId="1296" xr:uid="{31A991B7-CD9D-4BD8-AFFD-E6A9069E152A}"/>
    <cellStyle name="Normal 4 6 3" xfId="403" xr:uid="{00000000-0005-0000-0000-0000C5020000}"/>
    <cellStyle name="Normal 4 6 3 2" xfId="404" xr:uid="{00000000-0005-0000-0000-0000C6020000}"/>
    <cellStyle name="Normal 4 6 3 2 2" xfId="883" xr:uid="{00000000-0005-0000-0000-0000C7020000}"/>
    <cellStyle name="Normal 4 6 3 2 2 2" xfId="1717" xr:uid="{71D6A128-8DA0-49B4-AF07-694AAE9E83FD}"/>
    <cellStyle name="Normal 4 6 3 2 3" xfId="1301" xr:uid="{03A28691-4F45-4435-9216-B2FA5A9896EE}"/>
    <cellStyle name="Normal 4 6 3 3" xfId="882" xr:uid="{00000000-0005-0000-0000-0000C8020000}"/>
    <cellStyle name="Normal 4 6 3 3 2" xfId="1716" xr:uid="{FB27E297-CE49-402B-880B-6B11D4D4652B}"/>
    <cellStyle name="Normal 4 6 3 4" xfId="1300" xr:uid="{C25335AE-EFF3-4D89-95AC-CB4E0E1E4843}"/>
    <cellStyle name="Normal 4 6 4" xfId="405" xr:uid="{00000000-0005-0000-0000-0000C9020000}"/>
    <cellStyle name="Normal 4 6 4 2" xfId="884" xr:uid="{00000000-0005-0000-0000-0000CA020000}"/>
    <cellStyle name="Normal 4 6 4 2 2" xfId="1718" xr:uid="{7AEB4328-C332-432F-BC9C-EB0921059535}"/>
    <cellStyle name="Normal 4 6 4 3" xfId="1302" xr:uid="{0C9D7636-C785-489B-86CC-055133A21513}"/>
    <cellStyle name="Normal 4 6 5" xfId="877" xr:uid="{00000000-0005-0000-0000-0000CB020000}"/>
    <cellStyle name="Normal 4 6 5 2" xfId="1711" xr:uid="{5A1D9B2D-5727-4C2C-AA1C-F87DC4F4A053}"/>
    <cellStyle name="Normal 4 6 6" xfId="1295" xr:uid="{FCE990AB-219F-45C1-AD61-24EA02B6C95B}"/>
    <cellStyle name="Normal 4 7" xfId="406" xr:uid="{00000000-0005-0000-0000-0000CC020000}"/>
    <cellStyle name="Normal 4 7 2" xfId="407" xr:uid="{00000000-0005-0000-0000-0000CD020000}"/>
    <cellStyle name="Normal 4 7 2 2" xfId="886" xr:uid="{00000000-0005-0000-0000-0000CE020000}"/>
    <cellStyle name="Normal 4 7 2 2 2" xfId="1720" xr:uid="{F2E45DEF-3D35-4C1C-9222-89A1D20D90E8}"/>
    <cellStyle name="Normal 4 7 2 3" xfId="1304" xr:uid="{8EA03FF5-4CF3-4BBF-8950-1579B91AE16A}"/>
    <cellStyle name="Normal 4 7 3" xfId="885" xr:uid="{00000000-0005-0000-0000-0000CF020000}"/>
    <cellStyle name="Normal 4 7 3 2" xfId="1719" xr:uid="{2944017C-9A53-496A-8D44-57E4F544DF5C}"/>
    <cellStyle name="Normal 4 7 4" xfId="1303" xr:uid="{28201BFE-0A9F-47C6-9C59-695EDE2B0E7E}"/>
    <cellStyle name="Normal 4 8" xfId="408" xr:uid="{00000000-0005-0000-0000-0000D0020000}"/>
    <cellStyle name="Normal 4 8 2" xfId="887" xr:uid="{00000000-0005-0000-0000-0000D1020000}"/>
    <cellStyle name="Normal 4 8 2 2" xfId="1721" xr:uid="{28D8D370-3783-4539-8646-E3E063549EA0}"/>
    <cellStyle name="Normal 4 8 3" xfId="1305" xr:uid="{A9A6A1DC-DF8E-48CA-9D0A-58B8DAF29D65}"/>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D48E9CE6-AEA5-4DAE-A5CD-95C3DF28017D}"/>
    <cellStyle name="Normal 5 2 2 2 2 2 2 3" xfId="1312" xr:uid="{DF97A489-EE2C-4305-8DDA-6BAD02CD62F5}"/>
    <cellStyle name="Normal 5 2 2 2 2 2 3" xfId="893" xr:uid="{00000000-0005-0000-0000-0000DA020000}"/>
    <cellStyle name="Normal 5 2 2 2 2 2 3 2" xfId="1727" xr:uid="{3A944EEF-4E89-4C8F-8B73-ACA3D5ABE0E6}"/>
    <cellStyle name="Normal 5 2 2 2 2 2 4" xfId="1311" xr:uid="{CACFB2C7-B6D6-4928-8DDB-8191B9EE07D7}"/>
    <cellStyle name="Normal 5 2 2 2 2 3" xfId="416" xr:uid="{00000000-0005-0000-0000-0000DB020000}"/>
    <cellStyle name="Normal 5 2 2 2 2 3 2" xfId="895" xr:uid="{00000000-0005-0000-0000-0000DC020000}"/>
    <cellStyle name="Normal 5 2 2 2 2 3 2 2" xfId="1729" xr:uid="{F29D8162-F91D-4B6B-8502-8DE2F65D7183}"/>
    <cellStyle name="Normal 5 2 2 2 2 3 3" xfId="1313" xr:uid="{F1B24A36-7457-40DB-8296-2B9E53621D63}"/>
    <cellStyle name="Normal 5 2 2 2 2 4" xfId="892" xr:uid="{00000000-0005-0000-0000-0000DD020000}"/>
    <cellStyle name="Normal 5 2 2 2 2 4 2" xfId="1726" xr:uid="{F4FEB61E-2313-4A2E-BEF0-4357C254AA02}"/>
    <cellStyle name="Normal 5 2 2 2 2 5" xfId="1310" xr:uid="{76AE9BDF-E77D-4035-A947-80251CAA3378}"/>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1A850C07-A86C-4B57-AA34-30AD5984BABA}"/>
    <cellStyle name="Normal 5 2 2 2 3 2 3" xfId="1315" xr:uid="{0D3989A1-D375-4849-8FC8-20DE3C575EA7}"/>
    <cellStyle name="Normal 5 2 2 2 3 3" xfId="896" xr:uid="{00000000-0005-0000-0000-0000E1020000}"/>
    <cellStyle name="Normal 5 2 2 2 3 3 2" xfId="1730" xr:uid="{3FC5A3E9-7015-4628-9466-E4B56A72E7D2}"/>
    <cellStyle name="Normal 5 2 2 2 3 4" xfId="1314" xr:uid="{FC18AA34-1F2B-49E1-9033-542BF37016E9}"/>
    <cellStyle name="Normal 5 2 2 2 4" xfId="419" xr:uid="{00000000-0005-0000-0000-0000E2020000}"/>
    <cellStyle name="Normal 5 2 2 2 4 2" xfId="898" xr:uid="{00000000-0005-0000-0000-0000E3020000}"/>
    <cellStyle name="Normal 5 2 2 2 4 2 2" xfId="1732" xr:uid="{98ADDD26-42E4-46A1-B6E0-F09DCA212225}"/>
    <cellStyle name="Normal 5 2 2 2 4 3" xfId="1316" xr:uid="{34693A30-3D44-47D0-8ACE-6185573B01AA}"/>
    <cellStyle name="Normal 5 2 2 2 5" xfId="891" xr:uid="{00000000-0005-0000-0000-0000E4020000}"/>
    <cellStyle name="Normal 5 2 2 2 5 2" xfId="1725" xr:uid="{6D76DCE1-BDB6-4B85-AE31-84E82978C5DC}"/>
    <cellStyle name="Normal 5 2 2 2 6" xfId="1309" xr:uid="{5B57E2A4-A4DC-4128-B007-BB9ED0E8D19E}"/>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35F8E401-ADEE-4B9E-BCFE-6DC95F149B97}"/>
    <cellStyle name="Normal 5 2 2 3 2 2 3" xfId="1319" xr:uid="{4E738654-5E62-42AB-BBBF-E1A7A1199CF2}"/>
    <cellStyle name="Normal 5 2 2 3 2 3" xfId="900" xr:uid="{00000000-0005-0000-0000-0000E9020000}"/>
    <cellStyle name="Normal 5 2 2 3 2 3 2" xfId="1734" xr:uid="{3BD74BA5-D67B-4F8D-96DC-1C3F5C02AB2A}"/>
    <cellStyle name="Normal 5 2 2 3 2 4" xfId="1318" xr:uid="{95823040-F3B4-42E1-AB88-9B4C0FDAA663}"/>
    <cellStyle name="Normal 5 2 2 3 3" xfId="423" xr:uid="{00000000-0005-0000-0000-0000EA020000}"/>
    <cellStyle name="Normal 5 2 2 3 3 2" xfId="902" xr:uid="{00000000-0005-0000-0000-0000EB020000}"/>
    <cellStyle name="Normal 5 2 2 3 3 2 2" xfId="1736" xr:uid="{8C4E156B-B42B-4347-851F-EBDB59C641A9}"/>
    <cellStyle name="Normal 5 2 2 3 3 3" xfId="1320" xr:uid="{957A369F-F96B-4A81-B3FD-7CA734A4CEB5}"/>
    <cellStyle name="Normal 5 2 2 3 4" xfId="899" xr:uid="{00000000-0005-0000-0000-0000EC020000}"/>
    <cellStyle name="Normal 5 2 2 3 4 2" xfId="1733" xr:uid="{65405301-CD99-4A22-9716-C81318735C3F}"/>
    <cellStyle name="Normal 5 2 2 3 5" xfId="1317" xr:uid="{F1B43BBB-3226-41A4-8DDB-B23398F2D12B}"/>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EAF12E26-9B89-4BBD-A4A2-B6CAEEB59C5A}"/>
    <cellStyle name="Normal 5 2 2 4 2 3" xfId="1322" xr:uid="{911E13E2-D068-4ADD-A7CC-89CEB3DE5DE3}"/>
    <cellStyle name="Normal 5 2 2 4 3" xfId="903" xr:uid="{00000000-0005-0000-0000-0000F0020000}"/>
    <cellStyle name="Normal 5 2 2 4 3 2" xfId="1737" xr:uid="{50B687B8-A14D-4CA4-9A56-B4AE8FC0D798}"/>
    <cellStyle name="Normal 5 2 2 4 4" xfId="1321" xr:uid="{313D18C0-4FAD-47B7-8FCD-0A220545337C}"/>
    <cellStyle name="Normal 5 2 2 5" xfId="426" xr:uid="{00000000-0005-0000-0000-0000F1020000}"/>
    <cellStyle name="Normal 5 2 2 5 2" xfId="905" xr:uid="{00000000-0005-0000-0000-0000F2020000}"/>
    <cellStyle name="Normal 5 2 2 5 2 2" xfId="1739" xr:uid="{A004CE20-7E76-4684-AA9B-907560F8048E}"/>
    <cellStyle name="Normal 5 2 2 5 3" xfId="1323" xr:uid="{1940C5A7-280D-4A31-AC63-8E513931638B}"/>
    <cellStyle name="Normal 5 2 2 6" xfId="890" xr:uid="{00000000-0005-0000-0000-0000F3020000}"/>
    <cellStyle name="Normal 5 2 2 6 2" xfId="1724" xr:uid="{10FBA534-9871-4492-895D-48F3FA03596F}"/>
    <cellStyle name="Normal 5 2 2 7" xfId="1308" xr:uid="{81B43883-ABAF-4F82-8880-5E25CC2F17B2}"/>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8A1B4CDE-7067-4205-8EB3-3B9FA6C1D61B}"/>
    <cellStyle name="Normal 5 2 3 2 2 2 3" xfId="1327" xr:uid="{BC802B6F-8D78-4CA6-8544-BA00BA447819}"/>
    <cellStyle name="Normal 5 2 3 2 2 3" xfId="908" xr:uid="{00000000-0005-0000-0000-0000F9020000}"/>
    <cellStyle name="Normal 5 2 3 2 2 3 2" xfId="1742" xr:uid="{41F85B7D-F7A0-4F0A-959A-AF44CED4053A}"/>
    <cellStyle name="Normal 5 2 3 2 2 4" xfId="1326" xr:uid="{876C18F1-C0EF-4F38-8FFF-A9348F0AB8FC}"/>
    <cellStyle name="Normal 5 2 3 2 3" xfId="431" xr:uid="{00000000-0005-0000-0000-0000FA020000}"/>
    <cellStyle name="Normal 5 2 3 2 3 2" xfId="910" xr:uid="{00000000-0005-0000-0000-0000FB020000}"/>
    <cellStyle name="Normal 5 2 3 2 3 2 2" xfId="1744" xr:uid="{216B482A-1AD9-457E-8985-BF23EDE4CE35}"/>
    <cellStyle name="Normal 5 2 3 2 3 3" xfId="1328" xr:uid="{4E4E4639-1843-4252-B484-736FCE3F2019}"/>
    <cellStyle name="Normal 5 2 3 2 4" xfId="907" xr:uid="{00000000-0005-0000-0000-0000FC020000}"/>
    <cellStyle name="Normal 5 2 3 2 4 2" xfId="1741" xr:uid="{04ED5D94-0146-468C-BBAD-BE0EDC183997}"/>
    <cellStyle name="Normal 5 2 3 2 5" xfId="1325" xr:uid="{4FC6F986-B119-4C15-A3B8-E6AE90799B92}"/>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7D2ABD18-9851-49C7-B2FE-033ACF982C91}"/>
    <cellStyle name="Normal 5 2 3 3 2 3" xfId="1330" xr:uid="{D5461449-E6E6-459C-B230-8677D5CC0D03}"/>
    <cellStyle name="Normal 5 2 3 3 3" xfId="911" xr:uid="{00000000-0005-0000-0000-000000030000}"/>
    <cellStyle name="Normal 5 2 3 3 3 2" xfId="1745" xr:uid="{949393C4-4C00-4681-9707-3DF0216CACA5}"/>
    <cellStyle name="Normal 5 2 3 3 4" xfId="1329" xr:uid="{B178E8F6-3040-4164-80C4-D7E78E4EF044}"/>
    <cellStyle name="Normal 5 2 3 4" xfId="434" xr:uid="{00000000-0005-0000-0000-000001030000}"/>
    <cellStyle name="Normal 5 2 3 4 2" xfId="913" xr:uid="{00000000-0005-0000-0000-000002030000}"/>
    <cellStyle name="Normal 5 2 3 4 2 2" xfId="1747" xr:uid="{8801AFE8-C483-4321-9254-4550AF2E65BC}"/>
    <cellStyle name="Normal 5 2 3 4 3" xfId="1331" xr:uid="{B12B8C66-375F-4423-9E7E-32D65EE0DB6F}"/>
    <cellStyle name="Normal 5 2 3 5" xfId="906" xr:uid="{00000000-0005-0000-0000-000003030000}"/>
    <cellStyle name="Normal 5 2 3 5 2" xfId="1740" xr:uid="{9C547570-2E74-4925-A292-AD2E910692D9}"/>
    <cellStyle name="Normal 5 2 3 6" xfId="1324" xr:uid="{18D7883B-8D57-40FA-B5D0-9EDB05A5E027}"/>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C45834DE-F9D8-4EDF-B4AB-74F0B4B0FD3B}"/>
    <cellStyle name="Normal 5 2 4 2 2 3" xfId="1334" xr:uid="{5DAA154A-CF4A-413B-B1C5-8370BA7475DE}"/>
    <cellStyle name="Normal 5 2 4 2 3" xfId="915" xr:uid="{00000000-0005-0000-0000-000008030000}"/>
    <cellStyle name="Normal 5 2 4 2 3 2" xfId="1749" xr:uid="{CB9BB4CF-5428-4350-B35C-2C855E78CD0D}"/>
    <cellStyle name="Normal 5 2 4 2 4" xfId="1333" xr:uid="{E466CF53-A382-4714-83B6-6005CEAA0D14}"/>
    <cellStyle name="Normal 5 2 4 3" xfId="438" xr:uid="{00000000-0005-0000-0000-000009030000}"/>
    <cellStyle name="Normal 5 2 4 3 2" xfId="917" xr:uid="{00000000-0005-0000-0000-00000A030000}"/>
    <cellStyle name="Normal 5 2 4 3 2 2" xfId="1751" xr:uid="{15BF65E9-F624-4867-86CA-81875ADBF991}"/>
    <cellStyle name="Normal 5 2 4 3 3" xfId="1335" xr:uid="{7DA31DA2-5C58-4AC0-8ABC-53E8368DD0B2}"/>
    <cellStyle name="Normal 5 2 4 4" xfId="914" xr:uid="{00000000-0005-0000-0000-00000B030000}"/>
    <cellStyle name="Normal 5 2 4 4 2" xfId="1748" xr:uid="{B7F58A6D-BE01-47EA-A427-DFE157B25F36}"/>
    <cellStyle name="Normal 5 2 4 5" xfId="1332" xr:uid="{ED169AB6-B656-4319-B96A-7D23B20742CC}"/>
    <cellStyle name="Normal 5 2 5" xfId="439" xr:uid="{00000000-0005-0000-0000-00000C030000}"/>
    <cellStyle name="Normal 5 2 5 2" xfId="440" xr:uid="{00000000-0005-0000-0000-00000D030000}"/>
    <cellStyle name="Normal 5 2 5 2 2" xfId="919" xr:uid="{00000000-0005-0000-0000-00000E030000}"/>
    <cellStyle name="Normal 5 2 5 2 2 2" xfId="1753" xr:uid="{29440C95-CFC1-4223-9622-0FAF5094964A}"/>
    <cellStyle name="Normal 5 2 5 2 3" xfId="1337" xr:uid="{4E264639-1902-4015-A3A1-1BCF66B900C9}"/>
    <cellStyle name="Normal 5 2 5 3" xfId="918" xr:uid="{00000000-0005-0000-0000-00000F030000}"/>
    <cellStyle name="Normal 5 2 5 3 2" xfId="1752" xr:uid="{C059A087-ADEC-4555-AEAB-14B9F8259BE1}"/>
    <cellStyle name="Normal 5 2 5 4" xfId="1336" xr:uid="{301D18AF-532F-4335-A741-09796D0B9942}"/>
    <cellStyle name="Normal 5 2 6" xfId="441" xr:uid="{00000000-0005-0000-0000-000010030000}"/>
    <cellStyle name="Normal 5 2 6 2" xfId="920" xr:uid="{00000000-0005-0000-0000-000011030000}"/>
    <cellStyle name="Normal 5 2 6 2 2" xfId="1754" xr:uid="{B27EBE1A-1136-4CCB-A835-D382BC55B36B}"/>
    <cellStyle name="Normal 5 2 6 3" xfId="1338" xr:uid="{77B9C14D-3F60-4486-B198-3418091BA35B}"/>
    <cellStyle name="Normal 5 2 7" xfId="889" xr:uid="{00000000-0005-0000-0000-000012030000}"/>
    <cellStyle name="Normal 5 2 7 2" xfId="1723" xr:uid="{4EC5D4CE-E450-40BF-B774-2F099C8075E3}"/>
    <cellStyle name="Normal 5 2 8" xfId="1307" xr:uid="{FD44F637-051F-44CA-A668-D2E909274DD9}"/>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6CD737D8-D847-4FAE-9C5B-87AB2281AB46}"/>
    <cellStyle name="Normal 5 3 3 2 2 2 3" xfId="1343" xr:uid="{7396367C-6B29-4430-AE18-3AB366E844FE}"/>
    <cellStyle name="Normal 5 3 3 2 2 3" xfId="925" xr:uid="{00000000-0005-0000-0000-00001B030000}"/>
    <cellStyle name="Normal 5 3 3 2 2 3 2" xfId="1758" xr:uid="{5D301F43-E6E6-4DD1-A822-607DF2BD2B0F}"/>
    <cellStyle name="Normal 5 3 3 2 2 4" xfId="1342" xr:uid="{0AD14CCE-22A2-411C-A812-FB416F6A7DEE}"/>
    <cellStyle name="Normal 5 3 3 2 3" xfId="448" xr:uid="{00000000-0005-0000-0000-00001C030000}"/>
    <cellStyle name="Normal 5 3 3 2 3 2" xfId="927" xr:uid="{00000000-0005-0000-0000-00001D030000}"/>
    <cellStyle name="Normal 5 3 3 2 3 2 2" xfId="1760" xr:uid="{29F5B4F6-D0C7-4DA7-9919-912C7764578D}"/>
    <cellStyle name="Normal 5 3 3 2 3 3" xfId="1344" xr:uid="{7C069E01-A851-466C-9DD4-82ADA1232B2E}"/>
    <cellStyle name="Normal 5 3 3 2 4" xfId="924" xr:uid="{00000000-0005-0000-0000-00001E030000}"/>
    <cellStyle name="Normal 5 3 3 2 4 2" xfId="1757" xr:uid="{9DF153F1-145A-403B-AB76-3F8925A375A1}"/>
    <cellStyle name="Normal 5 3 3 2 5" xfId="1341" xr:uid="{DD4DD9E3-BA33-4CDD-8247-76206586C1A4}"/>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9F2F4987-08AC-406C-A5B4-53D9D9E6CE09}"/>
    <cellStyle name="Normal 5 3 3 3 2 3" xfId="1346" xr:uid="{1E86EADE-8114-4104-B7BA-587BABC94A3F}"/>
    <cellStyle name="Normal 5 3 3 3 3" xfId="928" xr:uid="{00000000-0005-0000-0000-000022030000}"/>
    <cellStyle name="Normal 5 3 3 3 3 2" xfId="1761" xr:uid="{43914230-F12A-44E2-A8AF-DC4830FDEF63}"/>
    <cellStyle name="Normal 5 3 3 3 4" xfId="1345" xr:uid="{3568B7CF-BFEF-413E-97B8-28F82EDB42BA}"/>
    <cellStyle name="Normal 5 3 3 4" xfId="451" xr:uid="{00000000-0005-0000-0000-000023030000}"/>
    <cellStyle name="Normal 5 3 3 4 2" xfId="930" xr:uid="{00000000-0005-0000-0000-000024030000}"/>
    <cellStyle name="Normal 5 3 3 4 2 2" xfId="1763" xr:uid="{7A56A5EE-3FBC-4119-B1D6-D4A0C1EA8200}"/>
    <cellStyle name="Normal 5 3 3 4 3" xfId="1347" xr:uid="{23A24D50-0154-49B0-A400-BA6640BCB91A}"/>
    <cellStyle name="Normal 5 3 3 5" xfId="923" xr:uid="{00000000-0005-0000-0000-000025030000}"/>
    <cellStyle name="Normal 5 3 3 5 2" xfId="1756" xr:uid="{58DC7423-530A-4E6C-9A20-C8BE24965826}"/>
    <cellStyle name="Normal 5 3 3 6" xfId="1340" xr:uid="{73E730A1-2069-47D8-A54C-19222C250A83}"/>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980EC3F8-6E27-4CD1-A708-65FDA73FECC3}"/>
    <cellStyle name="Normal 5 3 4 2 2 3" xfId="1350" xr:uid="{45511F37-B757-4893-8DF1-16AD4A1A8571}"/>
    <cellStyle name="Normal 5 3 4 2 3" xfId="932" xr:uid="{00000000-0005-0000-0000-00002A030000}"/>
    <cellStyle name="Normal 5 3 4 2 3 2" xfId="1765" xr:uid="{1C8A124D-8260-45D6-83F5-8C9D228BA9FD}"/>
    <cellStyle name="Normal 5 3 4 2 4" xfId="1349" xr:uid="{69A47755-915D-4399-9DAA-5F78611162FC}"/>
    <cellStyle name="Normal 5 3 4 3" xfId="455" xr:uid="{00000000-0005-0000-0000-00002B030000}"/>
    <cellStyle name="Normal 5 3 4 3 2" xfId="934" xr:uid="{00000000-0005-0000-0000-00002C030000}"/>
    <cellStyle name="Normal 5 3 4 3 2 2" xfId="1767" xr:uid="{A801A632-32FA-4F6C-8238-07874082FB8D}"/>
    <cellStyle name="Normal 5 3 4 3 3" xfId="1351" xr:uid="{DB6B4B94-B826-4D99-B34F-B6940EFD00AB}"/>
    <cellStyle name="Normal 5 3 4 4" xfId="931" xr:uid="{00000000-0005-0000-0000-00002D030000}"/>
    <cellStyle name="Normal 5 3 4 4 2" xfId="1764" xr:uid="{867DACD8-6FCE-4CDA-89EF-485CD08504FC}"/>
    <cellStyle name="Normal 5 3 4 5" xfId="1348" xr:uid="{3074432D-9E22-4112-AE5F-4051AF615020}"/>
    <cellStyle name="Normal 5 3 5" xfId="456" xr:uid="{00000000-0005-0000-0000-00002E030000}"/>
    <cellStyle name="Normal 5 3 5 2" xfId="457" xr:uid="{00000000-0005-0000-0000-00002F030000}"/>
    <cellStyle name="Normal 5 3 5 2 2" xfId="936" xr:uid="{00000000-0005-0000-0000-000030030000}"/>
    <cellStyle name="Normal 5 3 5 2 2 2" xfId="1769" xr:uid="{551EA7A4-D0E4-4F2F-8C3F-6C52AC24A9D9}"/>
    <cellStyle name="Normal 5 3 5 2 3" xfId="1353" xr:uid="{BCC434BF-A503-49FF-9FCD-4659A3F0D4E3}"/>
    <cellStyle name="Normal 5 3 5 3" xfId="935" xr:uid="{00000000-0005-0000-0000-000031030000}"/>
    <cellStyle name="Normal 5 3 5 3 2" xfId="1768" xr:uid="{87E5BA47-97E5-4342-8384-772ADE939DF1}"/>
    <cellStyle name="Normal 5 3 5 4" xfId="1352" xr:uid="{B0218AAF-B607-4228-9FF2-DF1C82700E67}"/>
    <cellStyle name="Normal 5 3 6" xfId="458" xr:uid="{00000000-0005-0000-0000-000032030000}"/>
    <cellStyle name="Normal 5 3 6 2" xfId="937" xr:uid="{00000000-0005-0000-0000-000033030000}"/>
    <cellStyle name="Normal 5 3 6 2 2" xfId="1770" xr:uid="{1C28BF5D-F95E-4506-8DD2-788455729B98}"/>
    <cellStyle name="Normal 5 3 6 3" xfId="1354" xr:uid="{CC2FF876-97CF-4BE7-8882-0ACADC46B2E5}"/>
    <cellStyle name="Normal 5 3 7" xfId="921" xr:uid="{00000000-0005-0000-0000-000034030000}"/>
    <cellStyle name="Normal 5 3 7 2" xfId="1755" xr:uid="{42BAD460-EC41-4822-B1D7-1F2F7FD76718}"/>
    <cellStyle name="Normal 5 3 8" xfId="1339" xr:uid="{08BB6810-C7B6-465E-B660-DADD46826C96}"/>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34CCCB84-E83F-4066-B391-042460FF1B8D}"/>
    <cellStyle name="Normal 5 4 2 2 2 3" xfId="1358" xr:uid="{6200BF95-ED7C-4E1C-BA99-429C7B5534FC}"/>
    <cellStyle name="Normal 5 4 2 2 3" xfId="940" xr:uid="{00000000-0005-0000-0000-00003A030000}"/>
    <cellStyle name="Normal 5 4 2 2 3 2" xfId="1773" xr:uid="{38A0C70C-A6D7-462F-B9D8-A768E4A58B5F}"/>
    <cellStyle name="Normal 5 4 2 2 4" xfId="1357" xr:uid="{9E4191C9-8D5C-4BF9-9113-0676D3EDFF6F}"/>
    <cellStyle name="Normal 5 4 2 3" xfId="463" xr:uid="{00000000-0005-0000-0000-00003B030000}"/>
    <cellStyle name="Normal 5 4 2 3 2" xfId="942" xr:uid="{00000000-0005-0000-0000-00003C030000}"/>
    <cellStyle name="Normal 5 4 2 3 2 2" xfId="1775" xr:uid="{FF822BFC-EE9A-44AF-BF7A-E0845375A7DE}"/>
    <cellStyle name="Normal 5 4 2 3 3" xfId="1359" xr:uid="{67D063AF-63C9-48EB-BF6C-A9613B3BDC3D}"/>
    <cellStyle name="Normal 5 4 2 4" xfId="939" xr:uid="{00000000-0005-0000-0000-00003D030000}"/>
    <cellStyle name="Normal 5 4 2 4 2" xfId="1772" xr:uid="{F37AC9E1-5C9F-46F6-8940-AFC9ED3E21DF}"/>
    <cellStyle name="Normal 5 4 2 5" xfId="1356" xr:uid="{E8C9FE59-9D53-43CD-A838-EB0F49D6989E}"/>
    <cellStyle name="Normal 5 4 3" xfId="464" xr:uid="{00000000-0005-0000-0000-00003E030000}"/>
    <cellStyle name="Normal 5 4 3 2" xfId="465" xr:uid="{00000000-0005-0000-0000-00003F030000}"/>
    <cellStyle name="Normal 5 4 3 2 2" xfId="944" xr:uid="{00000000-0005-0000-0000-000040030000}"/>
    <cellStyle name="Normal 5 4 3 2 2 2" xfId="1777" xr:uid="{EC25AC8A-76AA-4BA0-B596-D94B921EF80E}"/>
    <cellStyle name="Normal 5 4 3 2 3" xfId="1361" xr:uid="{F67DC478-9EB9-4F37-BC35-314286AFE877}"/>
    <cellStyle name="Normal 5 4 3 3" xfId="943" xr:uid="{00000000-0005-0000-0000-000041030000}"/>
    <cellStyle name="Normal 5 4 3 3 2" xfId="1776" xr:uid="{C99013E3-5D32-4FD7-A99B-D22E7B0C15DD}"/>
    <cellStyle name="Normal 5 4 3 4" xfId="1360" xr:uid="{7ECA7A19-55E4-4446-94E8-1AC1B7A2443E}"/>
    <cellStyle name="Normal 5 4 4" xfId="466" xr:uid="{00000000-0005-0000-0000-000042030000}"/>
    <cellStyle name="Normal 5 4 4 2" xfId="945" xr:uid="{00000000-0005-0000-0000-000043030000}"/>
    <cellStyle name="Normal 5 4 4 2 2" xfId="1778" xr:uid="{CB019426-93C1-470D-B824-AF0A3E758417}"/>
    <cellStyle name="Normal 5 4 4 3" xfId="1362" xr:uid="{0454A5BD-A724-400A-81B9-5BCC17951745}"/>
    <cellStyle name="Normal 5 4 5" xfId="938" xr:uid="{00000000-0005-0000-0000-000044030000}"/>
    <cellStyle name="Normal 5 4 5 2" xfId="1771" xr:uid="{13B68536-6990-471D-ADB4-D057A39D48CC}"/>
    <cellStyle name="Normal 5 4 6" xfId="1355" xr:uid="{12DC2A78-001B-41B8-8649-A1487CDD3EA1}"/>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58FB43AA-74DE-4DBA-865E-ABA87DDA18A7}"/>
    <cellStyle name="Normal 5 5 2 2 3" xfId="1365" xr:uid="{D15737CF-F90F-441F-B0A8-0B7F64A0993C}"/>
    <cellStyle name="Normal 5 5 2 3" xfId="947" xr:uid="{00000000-0005-0000-0000-000049030000}"/>
    <cellStyle name="Normal 5 5 2 3 2" xfId="1780" xr:uid="{E8A658CF-BFCB-47FE-A90B-B7B234EBDC54}"/>
    <cellStyle name="Normal 5 5 2 4" xfId="1364" xr:uid="{B6E84D3D-CEDA-4445-9552-D8AAA3C7F24C}"/>
    <cellStyle name="Normal 5 5 3" xfId="470" xr:uid="{00000000-0005-0000-0000-00004A030000}"/>
    <cellStyle name="Normal 5 5 3 2" xfId="949" xr:uid="{00000000-0005-0000-0000-00004B030000}"/>
    <cellStyle name="Normal 5 5 3 2 2" xfId="1782" xr:uid="{703EDA10-D731-4C6C-B2DE-21FC3171198E}"/>
    <cellStyle name="Normal 5 5 3 3" xfId="1366" xr:uid="{157FA41E-0477-4A81-B7F8-5C097F7BBA68}"/>
    <cellStyle name="Normal 5 5 4" xfId="946" xr:uid="{00000000-0005-0000-0000-00004C030000}"/>
    <cellStyle name="Normal 5 5 4 2" xfId="1779" xr:uid="{CBC30BAC-8A75-475F-B66D-26CEED114FBE}"/>
    <cellStyle name="Normal 5 5 5" xfId="1363" xr:uid="{BF93113C-06A9-4717-88AF-0AD8E789903A}"/>
    <cellStyle name="Normal 5 6" xfId="471" xr:uid="{00000000-0005-0000-0000-00004D030000}"/>
    <cellStyle name="Normal 5 6 2" xfId="472" xr:uid="{00000000-0005-0000-0000-00004E030000}"/>
    <cellStyle name="Normal 5 6 2 2" xfId="951" xr:uid="{00000000-0005-0000-0000-00004F030000}"/>
    <cellStyle name="Normal 5 6 2 2 2" xfId="1784" xr:uid="{4887D81B-C39E-4C78-8DA1-67D8658894BD}"/>
    <cellStyle name="Normal 5 6 2 3" xfId="1368" xr:uid="{1A0C04D8-FD2D-4962-AC26-7AB18920A2CD}"/>
    <cellStyle name="Normal 5 6 3" xfId="950" xr:uid="{00000000-0005-0000-0000-000050030000}"/>
    <cellStyle name="Normal 5 6 3 2" xfId="1783" xr:uid="{DFD07EAB-080D-475A-9CEE-C7F2A59409CE}"/>
    <cellStyle name="Normal 5 6 4" xfId="1367" xr:uid="{69C4DDD3-D750-425B-AC4B-F49852EB6F79}"/>
    <cellStyle name="Normal 5 7" xfId="473" xr:uid="{00000000-0005-0000-0000-000051030000}"/>
    <cellStyle name="Normal 5 7 2" xfId="952" xr:uid="{00000000-0005-0000-0000-000052030000}"/>
    <cellStyle name="Normal 5 7 2 2" xfId="1785" xr:uid="{A90223CD-60B3-4F9A-A1EA-5E247203334D}"/>
    <cellStyle name="Normal 5 7 3" xfId="1369" xr:uid="{A8F73F1D-3759-4167-8A4B-94B6A7E7A13E}"/>
    <cellStyle name="Normal 5 8" xfId="888" xr:uid="{00000000-0005-0000-0000-000053030000}"/>
    <cellStyle name="Normal 5 8 2" xfId="1722" xr:uid="{7A6F6A7F-DE2E-4B2C-85D9-AB0C920C6244}"/>
    <cellStyle name="Normal 5 9" xfId="1306" xr:uid="{291427AD-2C98-43ED-9106-8429EDA1D7C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63626A7C-CC44-43C2-9F6E-0E83B4347218}"/>
    <cellStyle name="Normal 8 2 2 2 2 2 3" xfId="1375" xr:uid="{7F90F314-4AE0-4B4A-BDD9-F8A1084246E7}"/>
    <cellStyle name="Normal 8 2 2 2 2 3" xfId="957" xr:uid="{00000000-0005-0000-0000-000062030000}"/>
    <cellStyle name="Normal 8 2 2 2 2 3 2" xfId="1790" xr:uid="{4A06E485-1DE4-4FAA-8CF1-BBB3CF953C1D}"/>
    <cellStyle name="Normal 8 2 2 2 2 4" xfId="1374" xr:uid="{E86FB950-C494-4A14-A3DD-655241E6FDCD}"/>
    <cellStyle name="Normal 8 2 2 2 3" xfId="487" xr:uid="{00000000-0005-0000-0000-000063030000}"/>
    <cellStyle name="Normal 8 2 2 2 3 2" xfId="959" xr:uid="{00000000-0005-0000-0000-000064030000}"/>
    <cellStyle name="Normal 8 2 2 2 3 2 2" xfId="1792" xr:uid="{2CC8F0EC-9374-40AE-81D7-842D5778F9CA}"/>
    <cellStyle name="Normal 8 2 2 2 3 3" xfId="1376" xr:uid="{B57E1334-7CB7-435B-9EE1-8AA4A34D58BB}"/>
    <cellStyle name="Normal 8 2 2 2 4" xfId="956" xr:uid="{00000000-0005-0000-0000-000065030000}"/>
    <cellStyle name="Normal 8 2 2 2 4 2" xfId="1789" xr:uid="{AAC8EEC1-86CB-4848-AFB7-36274779F06C}"/>
    <cellStyle name="Normal 8 2 2 2 5" xfId="1373" xr:uid="{DCF29B38-2DF0-44CE-9D9F-83EA264B8C11}"/>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E3002B07-3A45-449E-8574-D330CBF5C950}"/>
    <cellStyle name="Normal 8 2 2 3 2 3" xfId="1378" xr:uid="{370E4F89-4EE1-4B48-9D45-3489A219CFE1}"/>
    <cellStyle name="Normal 8 2 2 3 3" xfId="960" xr:uid="{00000000-0005-0000-0000-000069030000}"/>
    <cellStyle name="Normal 8 2 2 3 3 2" xfId="1793" xr:uid="{81A9BD78-B8F4-4809-9C29-57825E27EB77}"/>
    <cellStyle name="Normal 8 2 2 3 4" xfId="1377" xr:uid="{84224BF7-B4D2-4911-9207-5BAF5B2B6B37}"/>
    <cellStyle name="Normal 8 2 2 4" xfId="490" xr:uid="{00000000-0005-0000-0000-00006A030000}"/>
    <cellStyle name="Normal 8 2 2 4 2" xfId="962" xr:uid="{00000000-0005-0000-0000-00006B030000}"/>
    <cellStyle name="Normal 8 2 2 4 2 2" xfId="1795" xr:uid="{D433C342-9941-4FA0-B9D7-A0D04CE769D1}"/>
    <cellStyle name="Normal 8 2 2 4 3" xfId="1379" xr:uid="{1479900C-1798-4260-B562-B30D2ED74DB7}"/>
    <cellStyle name="Normal 8 2 2 5" xfId="955" xr:uid="{00000000-0005-0000-0000-00006C030000}"/>
    <cellStyle name="Normal 8 2 2 5 2" xfId="1788" xr:uid="{15AC6AAF-33E6-4190-BA37-8922BF92E68E}"/>
    <cellStyle name="Normal 8 2 2 6" xfId="1372" xr:uid="{2223D1FD-12F5-42ED-BA19-47CBAD8B597F}"/>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83D1B143-72E3-4063-A489-2D4C30DB29F0}"/>
    <cellStyle name="Normal 8 2 3 2 2 3" xfId="1382" xr:uid="{CB43D7DB-F284-4277-BE34-4117039965A6}"/>
    <cellStyle name="Normal 8 2 3 2 3" xfId="964" xr:uid="{00000000-0005-0000-0000-000071030000}"/>
    <cellStyle name="Normal 8 2 3 2 3 2" xfId="1797" xr:uid="{D343B08B-A1B4-4EC3-8E1D-6D1930B2CFDE}"/>
    <cellStyle name="Normal 8 2 3 2 4" xfId="1381" xr:uid="{6D1E1454-1922-4548-A568-4749D375E6DD}"/>
    <cellStyle name="Normal 8 2 3 3" xfId="494" xr:uid="{00000000-0005-0000-0000-000072030000}"/>
    <cellStyle name="Normal 8 2 3 3 2" xfId="966" xr:uid="{00000000-0005-0000-0000-000073030000}"/>
    <cellStyle name="Normal 8 2 3 3 2 2" xfId="1799" xr:uid="{1B3CE81C-270D-4AA8-A2EA-440BF7DD43C1}"/>
    <cellStyle name="Normal 8 2 3 3 3" xfId="1383" xr:uid="{FAE14116-B9D8-42C9-BBB8-0015F2337634}"/>
    <cellStyle name="Normal 8 2 3 4" xfId="963" xr:uid="{00000000-0005-0000-0000-000074030000}"/>
    <cellStyle name="Normal 8 2 3 4 2" xfId="1796" xr:uid="{3D5837F1-DED8-4364-9B62-4C0A3C881022}"/>
    <cellStyle name="Normal 8 2 3 5" xfId="1380" xr:uid="{46C7C542-7C7B-466A-BCCF-0128F19890BE}"/>
    <cellStyle name="Normal 8 2 4" xfId="495" xr:uid="{00000000-0005-0000-0000-000075030000}"/>
    <cellStyle name="Normal 8 2 4 2" xfId="496" xr:uid="{00000000-0005-0000-0000-000076030000}"/>
    <cellStyle name="Normal 8 2 4 2 2" xfId="968" xr:uid="{00000000-0005-0000-0000-000077030000}"/>
    <cellStyle name="Normal 8 2 4 2 2 2" xfId="1801" xr:uid="{C3311E37-22D5-4B11-870A-D45A00053638}"/>
    <cellStyle name="Normal 8 2 4 2 3" xfId="1385" xr:uid="{E7B374C8-CCD7-4460-B99A-0A2833010C1A}"/>
    <cellStyle name="Normal 8 2 4 3" xfId="967" xr:uid="{00000000-0005-0000-0000-000078030000}"/>
    <cellStyle name="Normal 8 2 4 3 2" xfId="1800" xr:uid="{EEF87B7C-E618-4486-9E2A-FC1854948F25}"/>
    <cellStyle name="Normal 8 2 4 4" xfId="1384" xr:uid="{0F24D305-21C6-40C3-9823-730C923C66F7}"/>
    <cellStyle name="Normal 8 2 5" xfId="497" xr:uid="{00000000-0005-0000-0000-000079030000}"/>
    <cellStyle name="Normal 8 2 5 2" xfId="969" xr:uid="{00000000-0005-0000-0000-00007A030000}"/>
    <cellStyle name="Normal 8 2 5 2 2" xfId="1802" xr:uid="{E2E1C16F-1B1D-45E6-A428-243DB0218C92}"/>
    <cellStyle name="Normal 8 2 5 3" xfId="1386" xr:uid="{6E6FE78B-F631-4CA1-9898-42AF7F1FE899}"/>
    <cellStyle name="Normal 8 2 6" xfId="954" xr:uid="{00000000-0005-0000-0000-00007B030000}"/>
    <cellStyle name="Normal 8 2 6 2" xfId="1787" xr:uid="{145E6463-47A9-493C-B2CA-B6A631A11CDF}"/>
    <cellStyle name="Normal 8 2 7" xfId="1371" xr:uid="{07C0C95F-433C-4441-A453-DCEED4E3A702}"/>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2375B682-1482-4350-BBF7-7E766F1F7A68}"/>
    <cellStyle name="Normal 8 3 2 2 2 3" xfId="1390" xr:uid="{9EF922DC-E62E-40B1-82ED-244DA17F18BF}"/>
    <cellStyle name="Normal 8 3 2 2 3" xfId="972" xr:uid="{00000000-0005-0000-0000-000081030000}"/>
    <cellStyle name="Normal 8 3 2 2 3 2" xfId="1805" xr:uid="{2AEAC301-1C1C-468E-BEDA-D471AC413713}"/>
    <cellStyle name="Normal 8 3 2 2 4" xfId="1389" xr:uid="{C269B5E7-377A-40F8-985F-75B3BAD25DED}"/>
    <cellStyle name="Normal 8 3 2 3" xfId="502" xr:uid="{00000000-0005-0000-0000-000082030000}"/>
    <cellStyle name="Normal 8 3 2 3 2" xfId="974" xr:uid="{00000000-0005-0000-0000-000083030000}"/>
    <cellStyle name="Normal 8 3 2 3 2 2" xfId="1807" xr:uid="{A5C85CD7-9949-43C9-B876-0515DDCBB5E9}"/>
    <cellStyle name="Normal 8 3 2 3 3" xfId="1391" xr:uid="{4E338812-CE22-4C4C-B809-D2928DCBAC8F}"/>
    <cellStyle name="Normal 8 3 2 4" xfId="971" xr:uid="{00000000-0005-0000-0000-000084030000}"/>
    <cellStyle name="Normal 8 3 2 4 2" xfId="1804" xr:uid="{7453791A-38DB-426A-B6DD-2DB6C4004799}"/>
    <cellStyle name="Normal 8 3 2 5" xfId="1388" xr:uid="{D8D77212-8AB2-4073-9778-FB99AB384A6A}"/>
    <cellStyle name="Normal 8 3 3" xfId="503" xr:uid="{00000000-0005-0000-0000-000085030000}"/>
    <cellStyle name="Normal 8 3 3 2" xfId="504" xr:uid="{00000000-0005-0000-0000-000086030000}"/>
    <cellStyle name="Normal 8 3 3 2 2" xfId="976" xr:uid="{00000000-0005-0000-0000-000087030000}"/>
    <cellStyle name="Normal 8 3 3 2 2 2" xfId="1809" xr:uid="{D5F80880-895E-4404-9947-C5949EC6781C}"/>
    <cellStyle name="Normal 8 3 3 2 3" xfId="1393" xr:uid="{8B23FC37-ECFD-431E-945F-54CCFB6EBD2B}"/>
    <cellStyle name="Normal 8 3 3 3" xfId="975" xr:uid="{00000000-0005-0000-0000-000088030000}"/>
    <cellStyle name="Normal 8 3 3 3 2" xfId="1808" xr:uid="{D0DDFA14-4AFD-4413-AE00-7AB12AC501FD}"/>
    <cellStyle name="Normal 8 3 3 4" xfId="1392" xr:uid="{4D57F2F6-5D43-48F5-A75D-3126C5244FD3}"/>
    <cellStyle name="Normal 8 3 4" xfId="505" xr:uid="{00000000-0005-0000-0000-000089030000}"/>
    <cellStyle name="Normal 8 3 4 2" xfId="977" xr:uid="{00000000-0005-0000-0000-00008A030000}"/>
    <cellStyle name="Normal 8 3 4 2 2" xfId="1810" xr:uid="{8DA55A03-4D1D-4EA8-B9E1-DC683088DAB6}"/>
    <cellStyle name="Normal 8 3 4 3" xfId="1394" xr:uid="{F7077CFF-60D7-441D-940A-02BB3DCF6018}"/>
    <cellStyle name="Normal 8 3 5" xfId="970" xr:uid="{00000000-0005-0000-0000-00008B030000}"/>
    <cellStyle name="Normal 8 3 5 2" xfId="1803" xr:uid="{A3CE5207-CA59-4DB9-88A9-0A0E087B353A}"/>
    <cellStyle name="Normal 8 3 6" xfId="1387" xr:uid="{23212364-CD59-45D7-BCAA-38F24BA73CEA}"/>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CD511E33-9EE9-4A3B-AA6D-3FB724A61144}"/>
    <cellStyle name="Normal 8 4 2 2 3" xfId="1397" xr:uid="{EEE81E22-6A41-4F17-A6DA-3F13D15003F3}"/>
    <cellStyle name="Normal 8 4 2 3" xfId="979" xr:uid="{00000000-0005-0000-0000-000090030000}"/>
    <cellStyle name="Normal 8 4 2 3 2" xfId="1812" xr:uid="{05CA6E71-D444-44F9-AC48-79497078176A}"/>
    <cellStyle name="Normal 8 4 2 4" xfId="1396" xr:uid="{EE50971D-4335-420A-8A13-3A573D2ED541}"/>
    <cellStyle name="Normal 8 4 3" xfId="509" xr:uid="{00000000-0005-0000-0000-000091030000}"/>
    <cellStyle name="Normal 8 4 3 2" xfId="981" xr:uid="{00000000-0005-0000-0000-000092030000}"/>
    <cellStyle name="Normal 8 4 3 2 2" xfId="1814" xr:uid="{654A8B38-4D56-40CC-AD4A-853F3BC10C84}"/>
    <cellStyle name="Normal 8 4 3 3" xfId="1398" xr:uid="{1417F3A8-FFEF-417E-8C18-F6F7067E2358}"/>
    <cellStyle name="Normal 8 4 4" xfId="978" xr:uid="{00000000-0005-0000-0000-000093030000}"/>
    <cellStyle name="Normal 8 4 4 2" xfId="1811" xr:uid="{F3C26089-A545-4746-B84E-350EF4940D02}"/>
    <cellStyle name="Normal 8 4 5" xfId="1395" xr:uid="{C8FC5965-8CFA-46C7-971F-05032340222D}"/>
    <cellStyle name="Normal 8 5" xfId="510" xr:uid="{00000000-0005-0000-0000-000094030000}"/>
    <cellStyle name="Normal 8 5 2" xfId="511" xr:uid="{00000000-0005-0000-0000-000095030000}"/>
    <cellStyle name="Normal 8 5 2 2" xfId="983" xr:uid="{00000000-0005-0000-0000-000096030000}"/>
    <cellStyle name="Normal 8 5 2 2 2" xfId="1816" xr:uid="{C4D35F70-DA50-44DF-8142-FF3C8BB1D3C6}"/>
    <cellStyle name="Normal 8 5 2 3" xfId="1400" xr:uid="{F99FBB79-3A21-4F8E-9749-EF45B93CB4D3}"/>
    <cellStyle name="Normal 8 5 3" xfId="982" xr:uid="{00000000-0005-0000-0000-000097030000}"/>
    <cellStyle name="Normal 8 5 3 2" xfId="1815" xr:uid="{9197EFDC-5D29-4BC1-AF87-DC73448E3E1B}"/>
    <cellStyle name="Normal 8 5 4" xfId="1399" xr:uid="{01FF2F25-E29C-49E6-B9BE-A37F264B35A5}"/>
    <cellStyle name="Normal 8 6" xfId="512" xr:uid="{00000000-0005-0000-0000-000098030000}"/>
    <cellStyle name="Normal 8 6 2" xfId="984" xr:uid="{00000000-0005-0000-0000-000099030000}"/>
    <cellStyle name="Normal 8 6 2 2" xfId="1817" xr:uid="{C7A711B0-37C8-4F79-810D-11FE0182805E}"/>
    <cellStyle name="Normal 8 6 3" xfId="1401" xr:uid="{4EDC3899-1EA2-4F77-A201-B1336DF9C3D2}"/>
    <cellStyle name="Normal 8 7" xfId="953" xr:uid="{00000000-0005-0000-0000-00009A030000}"/>
    <cellStyle name="Normal 8 7 2" xfId="1786" xr:uid="{53453552-2A7A-49AF-A9A4-7B6DE314CD80}"/>
    <cellStyle name="Normal 8 8" xfId="1370" xr:uid="{6C29B70C-475D-4D88-B764-5D8A4F671F0C}"/>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D377DFE1-9998-41F8-A285-32344534922E}"/>
    <cellStyle name="Normal 9 2 2 2 2 2 3" xfId="1406" xr:uid="{1C036644-1299-424A-876C-80CFAF31E68C}"/>
    <cellStyle name="Normal 9 2 2 2 2 3" xfId="989" xr:uid="{00000000-0005-0000-0000-0000A2030000}"/>
    <cellStyle name="Normal 9 2 2 2 2 3 2" xfId="1821" xr:uid="{ED12F832-0F40-4811-8D4F-8C42A04F9B7A}"/>
    <cellStyle name="Normal 9 2 2 2 2 4" xfId="1405" xr:uid="{096235DD-02EA-4AE0-A747-7252E5D8CD61}"/>
    <cellStyle name="Normal 9 2 2 2 3" xfId="519" xr:uid="{00000000-0005-0000-0000-0000A3030000}"/>
    <cellStyle name="Normal 9 2 2 2 3 2" xfId="991" xr:uid="{00000000-0005-0000-0000-0000A4030000}"/>
    <cellStyle name="Normal 9 2 2 2 3 2 2" xfId="1823" xr:uid="{98F4E7D6-353A-4150-86D7-5E3B2C5D0BA8}"/>
    <cellStyle name="Normal 9 2 2 2 3 3" xfId="1407" xr:uid="{D82EC464-5093-4C7A-9DE3-45FFC7251F66}"/>
    <cellStyle name="Normal 9 2 2 2 4" xfId="988" xr:uid="{00000000-0005-0000-0000-0000A5030000}"/>
    <cellStyle name="Normal 9 2 2 2 4 2" xfId="1820" xr:uid="{A147EC64-C842-477D-A98A-76470105DEF6}"/>
    <cellStyle name="Normal 9 2 2 2 5" xfId="1404" xr:uid="{BE3959D5-441E-4051-80C9-D6D84478B6AE}"/>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9A1DA9F0-6442-4CC5-8A4C-E534041348DF}"/>
    <cellStyle name="Normal 9 2 2 3 2 3" xfId="1409" xr:uid="{0987AD06-9A30-469D-8ED1-B5F28A8F7EDD}"/>
    <cellStyle name="Normal 9 2 2 3 3" xfId="992" xr:uid="{00000000-0005-0000-0000-0000A9030000}"/>
    <cellStyle name="Normal 9 2 2 3 3 2" xfId="1824" xr:uid="{58709F59-CC53-456A-8545-C1B8ABB60D5C}"/>
    <cellStyle name="Normal 9 2 2 3 4" xfId="1408" xr:uid="{E59DD75B-F990-46D2-8C2E-4AED5E04B518}"/>
    <cellStyle name="Normal 9 2 2 4" xfId="522" xr:uid="{00000000-0005-0000-0000-0000AA030000}"/>
    <cellStyle name="Normal 9 2 2 4 2" xfId="994" xr:uid="{00000000-0005-0000-0000-0000AB030000}"/>
    <cellStyle name="Normal 9 2 2 4 2 2" xfId="1826" xr:uid="{3CD04713-AB04-4C6F-ADA1-56A72E449109}"/>
    <cellStyle name="Normal 9 2 2 4 3" xfId="1410" xr:uid="{EBFC546B-6818-45B7-B424-AB612F57FD94}"/>
    <cellStyle name="Normal 9 2 2 5" xfId="987" xr:uid="{00000000-0005-0000-0000-0000AC030000}"/>
    <cellStyle name="Normal 9 2 2 5 2" xfId="1819" xr:uid="{8D64E9B7-10FE-48C4-B2AF-93366E03994B}"/>
    <cellStyle name="Normal 9 2 2 6" xfId="1403" xr:uid="{245F7ED8-D137-4394-AE49-220DDA7611AD}"/>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563AB802-9B7B-4D29-9426-5EFEBE32258B}"/>
    <cellStyle name="Normal 9 2 3 2 2 3" xfId="1413" xr:uid="{4A030F66-FBF0-4BDC-946E-E91C16E75EFA}"/>
    <cellStyle name="Normal 9 2 3 2 3" xfId="996" xr:uid="{00000000-0005-0000-0000-0000B1030000}"/>
    <cellStyle name="Normal 9 2 3 2 3 2" xfId="1828" xr:uid="{CFEB1E45-3C65-4A71-9954-81D10F944614}"/>
    <cellStyle name="Normal 9 2 3 2 4" xfId="1412" xr:uid="{15D1CFF3-5CE0-4F7D-8B09-D3D389ADB748}"/>
    <cellStyle name="Normal 9 2 3 3" xfId="526" xr:uid="{00000000-0005-0000-0000-0000B2030000}"/>
    <cellStyle name="Normal 9 2 3 3 2" xfId="998" xr:uid="{00000000-0005-0000-0000-0000B3030000}"/>
    <cellStyle name="Normal 9 2 3 3 2 2" xfId="1830" xr:uid="{CA9AC979-2E36-4794-8AB4-F21E7B27A76D}"/>
    <cellStyle name="Normal 9 2 3 3 3" xfId="1414" xr:uid="{8EF7D448-668F-4282-B1C8-45C898A7E9DC}"/>
    <cellStyle name="Normal 9 2 3 4" xfId="995" xr:uid="{00000000-0005-0000-0000-0000B4030000}"/>
    <cellStyle name="Normal 9 2 3 4 2" xfId="1827" xr:uid="{495DD255-EE37-4C73-BB56-CD8E3C026A02}"/>
    <cellStyle name="Normal 9 2 3 5" xfId="1411" xr:uid="{7FEA46E1-A0E5-49D1-B116-2BB6D06DD93A}"/>
    <cellStyle name="Normal 9 2 4" xfId="527" xr:uid="{00000000-0005-0000-0000-0000B5030000}"/>
    <cellStyle name="Normal 9 2 4 2" xfId="528" xr:uid="{00000000-0005-0000-0000-0000B6030000}"/>
    <cellStyle name="Normal 9 2 4 2 2" xfId="1000" xr:uid="{00000000-0005-0000-0000-0000B7030000}"/>
    <cellStyle name="Normal 9 2 4 2 2 2" xfId="1832" xr:uid="{A520A351-2690-4653-86D8-CF87B00A47BE}"/>
    <cellStyle name="Normal 9 2 4 2 3" xfId="1416" xr:uid="{789A5F04-A92A-46B2-B7C3-7F3781226DF7}"/>
    <cellStyle name="Normal 9 2 4 3" xfId="999" xr:uid="{00000000-0005-0000-0000-0000B8030000}"/>
    <cellStyle name="Normal 9 2 4 3 2" xfId="1831" xr:uid="{B37D3822-BA36-4F7C-BE8D-DE9581D53D5A}"/>
    <cellStyle name="Normal 9 2 4 4" xfId="1415" xr:uid="{06FE995B-F4E3-4C7E-8022-1ED1E181052C}"/>
    <cellStyle name="Normal 9 2 5" xfId="529" xr:uid="{00000000-0005-0000-0000-0000B9030000}"/>
    <cellStyle name="Normal 9 2 5 2" xfId="1001" xr:uid="{00000000-0005-0000-0000-0000BA030000}"/>
    <cellStyle name="Normal 9 2 5 2 2" xfId="1833" xr:uid="{644754B2-1A75-43A5-8F9A-EC20B8408500}"/>
    <cellStyle name="Normal 9 2 5 3" xfId="1417" xr:uid="{A4C31F49-CDCD-4B94-8391-A57A4EB25EC7}"/>
    <cellStyle name="Normal 9 2 6" xfId="986" xr:uid="{00000000-0005-0000-0000-0000BB030000}"/>
    <cellStyle name="Normal 9 2 6 2" xfId="1818" xr:uid="{77ABB3F5-B63F-48AD-9A3E-F16941755CA0}"/>
    <cellStyle name="Normal 9 2 7" xfId="1402" xr:uid="{60ED3EBF-3F98-4C26-B44E-1BD1CEFA45C5}"/>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3A430B59-2B6E-4824-AB2C-E324F121DD3A}"/>
    <cellStyle name="Normal 9 3 2 2 2 3" xfId="1421" xr:uid="{13216B4B-04B6-44D5-80B8-C45AF57E3887}"/>
    <cellStyle name="Normal 9 3 2 2 3" xfId="1004" xr:uid="{00000000-0005-0000-0000-0000C1030000}"/>
    <cellStyle name="Normal 9 3 2 2 3 2" xfId="1836" xr:uid="{D5827447-47E0-4731-B9C0-061F9E9813B4}"/>
    <cellStyle name="Normal 9 3 2 2 4" xfId="1420" xr:uid="{EAB5E2F3-E4E6-4DF7-8444-C2FE8052B62E}"/>
    <cellStyle name="Normal 9 3 2 3" xfId="534" xr:uid="{00000000-0005-0000-0000-0000C2030000}"/>
    <cellStyle name="Normal 9 3 2 3 2" xfId="1006" xr:uid="{00000000-0005-0000-0000-0000C3030000}"/>
    <cellStyle name="Normal 9 3 2 3 2 2" xfId="1838" xr:uid="{FEECE2EB-5E0E-48AB-B744-321D0D1DAA8B}"/>
    <cellStyle name="Normal 9 3 2 3 3" xfId="1422" xr:uid="{3423B838-3137-4A62-8B1C-ABCD056735E2}"/>
    <cellStyle name="Normal 9 3 2 4" xfId="1003" xr:uid="{00000000-0005-0000-0000-0000C4030000}"/>
    <cellStyle name="Normal 9 3 2 4 2" xfId="1835" xr:uid="{4B2AEC0D-879D-48DA-8C55-9886E500504A}"/>
    <cellStyle name="Normal 9 3 2 5" xfId="1419" xr:uid="{7BE71B55-E43C-441A-9E99-58EF93DB71DB}"/>
    <cellStyle name="Normal 9 3 3" xfId="535" xr:uid="{00000000-0005-0000-0000-0000C5030000}"/>
    <cellStyle name="Normal 9 3 3 2" xfId="536" xr:uid="{00000000-0005-0000-0000-0000C6030000}"/>
    <cellStyle name="Normal 9 3 3 2 2" xfId="1008" xr:uid="{00000000-0005-0000-0000-0000C7030000}"/>
    <cellStyle name="Normal 9 3 3 2 2 2" xfId="1840" xr:uid="{8B1BBAC9-04BC-4EEF-8595-6D701465DDE4}"/>
    <cellStyle name="Normal 9 3 3 2 3" xfId="1424" xr:uid="{785FA21F-DB72-47F7-B557-F009CC386923}"/>
    <cellStyle name="Normal 9 3 3 3" xfId="1007" xr:uid="{00000000-0005-0000-0000-0000C8030000}"/>
    <cellStyle name="Normal 9 3 3 3 2" xfId="1839" xr:uid="{223D6867-E18C-4A24-A409-E3262A1E456E}"/>
    <cellStyle name="Normal 9 3 3 4" xfId="1423" xr:uid="{505E53C0-5749-459E-9504-583289E6F4A8}"/>
    <cellStyle name="Normal 9 3 4" xfId="537" xr:uid="{00000000-0005-0000-0000-0000C9030000}"/>
    <cellStyle name="Normal 9 3 4 2" xfId="1009" xr:uid="{00000000-0005-0000-0000-0000CA030000}"/>
    <cellStyle name="Normal 9 3 4 2 2" xfId="1841" xr:uid="{4C734179-87C8-419A-89B0-5B5B84DA10DB}"/>
    <cellStyle name="Normal 9 3 4 3" xfId="1425" xr:uid="{ADF43D19-84C5-4495-A035-56C1783EB2FB}"/>
    <cellStyle name="Normal 9 3 5" xfId="1002" xr:uid="{00000000-0005-0000-0000-0000CB030000}"/>
    <cellStyle name="Normal 9 3 5 2" xfId="1834" xr:uid="{3325D964-4003-4A5D-82F1-6D1D7D9F4048}"/>
    <cellStyle name="Normal 9 3 6" xfId="1418" xr:uid="{64FC6886-0CE1-49A1-B7E4-8C78C27706F4}"/>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DFD694FD-C20B-4903-BDF2-5D09EFBF68D2}"/>
    <cellStyle name="Normal 9 5 2 3" xfId="1427" xr:uid="{35CEE838-1758-4AAE-AA60-50D7A3604D60}"/>
    <cellStyle name="Normal 9 5 3" xfId="1011" xr:uid="{00000000-0005-0000-0000-0000D1030000}"/>
    <cellStyle name="Normal 9 5 3 2" xfId="1842" xr:uid="{9958B5F1-0A23-49DE-8E6C-7EF7421C9CD3}"/>
    <cellStyle name="Normal 9 5 4" xfId="1426" xr:uid="{A97D0DEC-3810-461C-B9DA-F85C8371D153}"/>
    <cellStyle name="Normal 9 6" xfId="541" xr:uid="{00000000-0005-0000-0000-0000D2030000}"/>
    <cellStyle name="Normal 9 6 2" xfId="1013" xr:uid="{00000000-0005-0000-0000-0000D3030000}"/>
    <cellStyle name="Normal 9 6 2 2" xfId="1844" xr:uid="{F24D2DCF-727A-45F1-AAF7-25E359057B1E}"/>
    <cellStyle name="Normal 9 6 3" xfId="1428" xr:uid="{E88346D2-8F87-4EB1-BB45-E2894EAB5D0E}"/>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82CFD966-3806-45DE-B18F-F110337A1DDF}"/>
    <cellStyle name="Note 2 2 2 2 3" xfId="1431" xr:uid="{446281F0-3C98-4FD8-9C2F-D2FC960CF449}"/>
    <cellStyle name="Note 2 2 2 3" xfId="1015" xr:uid="{00000000-0005-0000-0000-0000E0030000}"/>
    <cellStyle name="Note 2 2 2 3 2" xfId="1846" xr:uid="{BEB35CE4-4982-4B17-ACC5-F099668980D7}"/>
    <cellStyle name="Note 2 2 2 4" xfId="1430" xr:uid="{3088A0AF-9051-4DD2-ADC0-DAF1AA47116F}"/>
    <cellStyle name="Note 2 2 3" xfId="552" xr:uid="{00000000-0005-0000-0000-0000E1030000}"/>
    <cellStyle name="Note 2 2 3 2" xfId="1017" xr:uid="{00000000-0005-0000-0000-0000E2030000}"/>
    <cellStyle name="Note 2 2 3 2 2" xfId="1848" xr:uid="{EB831ECD-C518-4E4F-9390-08A030046DB2}"/>
    <cellStyle name="Note 2 2 3 3" xfId="1432" xr:uid="{88EAC6B2-AF93-41FB-9F46-23FEDCDB1ED4}"/>
    <cellStyle name="Note 2 2 4" xfId="1014" xr:uid="{00000000-0005-0000-0000-0000E3030000}"/>
    <cellStyle name="Note 2 2 4 2" xfId="1845" xr:uid="{EB9554CA-4317-43AE-8762-FF4F0E66343F}"/>
    <cellStyle name="Note 2 2 5" xfId="1429" xr:uid="{1CDC5603-29EA-4C40-AB88-71BD61C5FBC1}"/>
    <cellStyle name="Note 2 3" xfId="553" xr:uid="{00000000-0005-0000-0000-0000E4030000}"/>
    <cellStyle name="Note 2 3 2" xfId="554" xr:uid="{00000000-0005-0000-0000-0000E5030000}"/>
    <cellStyle name="Note 2 3 2 2" xfId="1019" xr:uid="{00000000-0005-0000-0000-0000E6030000}"/>
    <cellStyle name="Note 2 3 2 2 2" xfId="1850" xr:uid="{8516773E-8DB9-4221-A6BF-A151702072B8}"/>
    <cellStyle name="Note 2 3 2 3" xfId="1434" xr:uid="{A7129058-BCE4-43F8-A72B-C724D04AE497}"/>
    <cellStyle name="Note 2 3 3" xfId="1018" xr:uid="{00000000-0005-0000-0000-0000E7030000}"/>
    <cellStyle name="Note 2 3 3 2" xfId="1849" xr:uid="{65D1CA24-5571-4DFB-A2EF-0A0648D1F681}"/>
    <cellStyle name="Note 2 3 4" xfId="1433" xr:uid="{CC693FD0-ED51-49DD-8EFC-C90F2CD94C6B}"/>
    <cellStyle name="Note 2 4" xfId="555" xr:uid="{00000000-0005-0000-0000-0000E8030000}"/>
    <cellStyle name="Note 2 4 2" xfId="1020" xr:uid="{00000000-0005-0000-0000-0000E9030000}"/>
    <cellStyle name="Note 2 4 2 2" xfId="1851" xr:uid="{D571C831-B31F-4683-B262-893F340F9A38}"/>
    <cellStyle name="Note 2 4 3" xfId="1435" xr:uid="{3C00D08F-7F1D-4DC4-A33A-D393DE3D4ED4}"/>
    <cellStyle name="Note 2 5" xfId="556" xr:uid="{00000000-0005-0000-0000-0000EA030000}"/>
    <cellStyle name="Note 2 5 2" xfId="1021" xr:uid="{00000000-0005-0000-0000-0000EB030000}"/>
    <cellStyle name="Note 2 5 2 2" xfId="1852" xr:uid="{D4296913-DF3E-4D27-9C24-201AA5CAA404}"/>
    <cellStyle name="Note 2 5 3" xfId="1436" xr:uid="{4F43BD45-1388-4C0F-A65E-D0EEA2364896}"/>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5AACFB9A-0311-4784-AE03-335F63545E6B}"/>
    <cellStyle name="Note 3 2 2 2 3" xfId="1439" xr:uid="{69A51121-7800-4A5A-83B3-079812C605AF}"/>
    <cellStyle name="Note 3 2 2 3" xfId="1023" xr:uid="{00000000-0005-0000-0000-0000F1030000}"/>
    <cellStyle name="Note 3 2 2 3 2" xfId="1854" xr:uid="{0157FB61-C1D3-4C02-A808-BC4778631655}"/>
    <cellStyle name="Note 3 2 2 4" xfId="1438" xr:uid="{0230AA4D-F2F3-4306-99F1-033655B4833E}"/>
    <cellStyle name="Note 3 2 3" xfId="561" xr:uid="{00000000-0005-0000-0000-0000F2030000}"/>
    <cellStyle name="Note 3 2 3 2" xfId="1025" xr:uid="{00000000-0005-0000-0000-0000F3030000}"/>
    <cellStyle name="Note 3 2 3 2 2" xfId="1856" xr:uid="{11D90236-4856-4899-BBFC-35F2F4C5C3E1}"/>
    <cellStyle name="Note 3 2 3 3" xfId="1440" xr:uid="{774EA585-6793-4CC4-A70B-F74699D72411}"/>
    <cellStyle name="Note 3 2 4" xfId="1022" xr:uid="{00000000-0005-0000-0000-0000F4030000}"/>
    <cellStyle name="Note 3 2 4 2" xfId="1853" xr:uid="{182BC6DC-C6F5-4381-A9CA-2678FEB1E37B}"/>
    <cellStyle name="Note 3 2 5" xfId="1437" xr:uid="{FBFB8E99-C863-4DE6-A98D-DE89D227106D}"/>
    <cellStyle name="Note 3 3" xfId="562" xr:uid="{00000000-0005-0000-0000-0000F5030000}"/>
    <cellStyle name="Note 3 3 2" xfId="563" xr:uid="{00000000-0005-0000-0000-0000F6030000}"/>
    <cellStyle name="Note 3 3 2 2" xfId="1027" xr:uid="{00000000-0005-0000-0000-0000F7030000}"/>
    <cellStyle name="Note 3 3 2 2 2" xfId="1858" xr:uid="{2DFD73C4-63A6-4837-8B85-EAB41C39C19D}"/>
    <cellStyle name="Note 3 3 2 3" xfId="1442" xr:uid="{7BA0C4A2-5A43-49C2-B6A3-5A5F228B8E15}"/>
    <cellStyle name="Note 3 3 3" xfId="1026" xr:uid="{00000000-0005-0000-0000-0000F8030000}"/>
    <cellStyle name="Note 3 3 3 2" xfId="1857" xr:uid="{7A5D4581-6751-4CDF-8E91-C4F2526723BF}"/>
    <cellStyle name="Note 3 3 4" xfId="1441" xr:uid="{555379E2-7C44-4500-8ABF-607B4B4E0495}"/>
    <cellStyle name="Note 3 4" xfId="564" xr:uid="{00000000-0005-0000-0000-0000F9030000}"/>
    <cellStyle name="Note 3 4 2" xfId="1028" xr:uid="{00000000-0005-0000-0000-0000FA030000}"/>
    <cellStyle name="Note 3 4 2 2" xfId="1859" xr:uid="{B6C45347-EF09-42C7-9A90-BAA16EBDB717}"/>
    <cellStyle name="Note 3 4 3" xfId="1443" xr:uid="{8B3920BF-D389-41D1-8CEF-7934ACA805FB}"/>
    <cellStyle name="Note 3 5" xfId="565" xr:uid="{00000000-0005-0000-0000-0000FB030000}"/>
    <cellStyle name="Note 3 5 2" xfId="1029" xr:uid="{00000000-0005-0000-0000-0000FC030000}"/>
    <cellStyle name="Note 3 5 2 2" xfId="1860" xr:uid="{15123F5B-032E-4F49-BF8F-C31CA709114D}"/>
    <cellStyle name="Note 3 5 3" xfId="1444" xr:uid="{6CA9B4E1-17AC-4EE7-A5C5-D1F46D295C3E}"/>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11A05F56-3D3D-442B-A7A1-A1D59FC99B42}"/>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9" t="s">
        <v>1872</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2157</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2302</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2309</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2310</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2018</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1286</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1143</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3" t="s">
        <v>1687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3" t="s">
        <v>2159</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5" t="s">
        <v>2160</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197</v>
      </c>
      <c r="G51" s="975" t="s">
        <v>2161</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3" t="s">
        <v>1690</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1689</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3" t="s">
        <v>1691</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1705</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1706</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3" t="s">
        <v>1693</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1694</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3" t="s">
        <v>1698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1699</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1700</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1701</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3" t="s">
        <v>1702</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3" t="s">
        <v>1703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0" t="s">
        <v>1704</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3" t="s">
        <v>1707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3" t="s">
        <v>1708</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3" t="s">
        <v>1709</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3" t="s">
        <v>1710</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901</v>
      </c>
      <c r="F235" s="5" t="s">
        <v>245</v>
      </c>
      <c r="G235" s="5"/>
      <c r="H235" s="5"/>
      <c r="I235" s="5"/>
      <c r="M235" s="5"/>
      <c r="N235" s="5"/>
      <c r="O235" s="5"/>
      <c r="P235" s="5"/>
      <c r="Q235" s="5"/>
      <c r="R235" s="5"/>
      <c r="S235" s="5"/>
    </row>
    <row r="236" spans="1:38">
      <c r="B236" s="5"/>
      <c r="C236" s="5"/>
      <c r="F236" s="5" t="s">
        <v>821</v>
      </c>
      <c r="G236" s="973" t="s">
        <v>1711</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5" t="s">
        <v>1822</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900</v>
      </c>
      <c r="F348" s="973" t="s">
        <v>1823</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901</v>
      </c>
      <c r="F352" s="973" t="s">
        <v>1824</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8" customFormat="1">
      <c r="A365"/>
      <c r="B365" s="3"/>
      <c r="C365"/>
      <c r="D365"/>
      <c r="E365" s="978" t="s">
        <v>1819</v>
      </c>
    </row>
    <row r="366" spans="1:38" s="978" customFormat="1">
      <c r="A366"/>
      <c r="B366" s="3"/>
      <c r="C366"/>
      <c r="D366"/>
    </row>
    <row r="367" spans="1:38">
      <c r="B367" s="3"/>
      <c r="F367" s="976" t="s">
        <v>1820</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2" workbookViewId="0">
      <selection activeCell="G48" sqref="G48"/>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3" t="s">
        <v>1864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8" t="s">
        <v>2122</v>
      </c>
      <c r="C4" s="1928"/>
      <c r="D4" s="1928"/>
      <c r="E4" s="1928"/>
      <c r="F4" s="1928"/>
      <c r="G4" s="1928"/>
      <c r="H4" s="1928"/>
      <c r="I4" s="1928"/>
      <c r="J4" s="1928"/>
      <c r="K4" s="1928"/>
      <c r="L4" s="1928"/>
      <c r="M4" s="1928"/>
      <c r="N4" s="1928"/>
      <c r="O4" s="1928"/>
      <c r="P4" s="1928"/>
      <c r="Q4" s="1928"/>
      <c r="R4" s="1928"/>
    </row>
    <row r="5" spans="1:19" ht="15" customHeight="1">
      <c r="A5" s="507"/>
      <c r="B5" s="1928"/>
      <c r="C5" s="1928"/>
      <c r="D5" s="1928"/>
      <c r="E5" s="1928"/>
      <c r="F5" s="1928"/>
      <c r="G5" s="1928"/>
      <c r="H5" s="1928"/>
      <c r="I5" s="1928"/>
      <c r="J5" s="1928"/>
      <c r="K5" s="1928"/>
      <c r="L5" s="1928"/>
      <c r="M5" s="1928"/>
      <c r="N5" s="1928"/>
      <c r="O5" s="1928"/>
      <c r="P5" s="1928"/>
      <c r="Q5" s="1928"/>
      <c r="R5" s="1928"/>
    </row>
    <row r="6" spans="1:19" ht="15" customHeight="1">
      <c r="A6" s="507"/>
      <c r="B6" s="1928"/>
      <c r="C6" s="1928"/>
      <c r="D6" s="1928"/>
      <c r="E6" s="1928"/>
      <c r="F6" s="1928"/>
      <c r="G6" s="1928"/>
      <c r="H6" s="1928"/>
      <c r="I6" s="1928"/>
      <c r="J6" s="1928"/>
      <c r="K6" s="1928"/>
      <c r="L6" s="1928"/>
      <c r="M6" s="1928"/>
      <c r="N6" s="1928"/>
      <c r="O6" s="1928"/>
      <c r="P6" s="1928"/>
      <c r="Q6" s="1928"/>
      <c r="R6" s="192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8" t="s">
        <v>2231</v>
      </c>
      <c r="C8" s="1928"/>
      <c r="D8" s="1928"/>
      <c r="E8" s="1928"/>
      <c r="F8" s="1928"/>
      <c r="G8" s="1928"/>
      <c r="H8" s="1928"/>
      <c r="I8" s="1928"/>
      <c r="J8" s="1928"/>
      <c r="K8" s="1928"/>
      <c r="L8" s="1928"/>
      <c r="M8" s="1928"/>
      <c r="N8" s="1928"/>
      <c r="O8" s="1928"/>
      <c r="P8" s="1928"/>
      <c r="Q8" s="1928"/>
      <c r="R8" s="192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8" t="s">
        <v>2208</v>
      </c>
      <c r="C10" s="1928"/>
      <c r="D10" s="1928"/>
      <c r="E10" s="1928"/>
      <c r="F10" s="1928"/>
      <c r="G10" s="1928"/>
      <c r="H10" s="1928"/>
      <c r="I10" s="1928"/>
      <c r="J10" s="1928"/>
      <c r="K10" s="1928"/>
      <c r="L10" s="1928"/>
      <c r="M10" s="1928"/>
      <c r="N10" s="1928"/>
      <c r="O10" s="1928"/>
      <c r="P10" s="1928"/>
      <c r="Q10" s="1928"/>
      <c r="R10" s="1928"/>
    </row>
    <row r="11" spans="1:19" ht="29.25" customHeight="1">
      <c r="A11" s="507"/>
      <c r="B11" s="1928"/>
      <c r="C11" s="1928"/>
      <c r="D11" s="1928"/>
      <c r="E11" s="1928"/>
      <c r="F11" s="1928"/>
      <c r="G11" s="1928"/>
      <c r="H11" s="1928"/>
      <c r="I11" s="1928"/>
      <c r="J11" s="1928"/>
      <c r="K11" s="1928"/>
      <c r="L11" s="1928"/>
      <c r="M11" s="1928"/>
      <c r="N11" s="1928"/>
      <c r="O11" s="1928"/>
      <c r="P11" s="1928"/>
      <c r="Q11" s="1928"/>
      <c r="R11" s="192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8" t="s">
        <v>2123</v>
      </c>
      <c r="C13" s="1928"/>
      <c r="D13" s="1928"/>
      <c r="E13" s="1928"/>
      <c r="F13" s="1928"/>
      <c r="G13" s="1928"/>
      <c r="H13" s="1928"/>
      <c r="I13" s="1928"/>
      <c r="J13" s="1928"/>
      <c r="K13" s="1928"/>
      <c r="L13" s="1928"/>
      <c r="M13" s="1928"/>
      <c r="N13" s="1928"/>
      <c r="O13" s="1928"/>
      <c r="P13" s="1928"/>
      <c r="Q13" s="1928"/>
      <c r="R13" s="1928"/>
    </row>
    <row r="14" spans="1:19" ht="15" customHeight="1">
      <c r="A14" s="507"/>
      <c r="B14" s="1928"/>
      <c r="C14" s="1928"/>
      <c r="D14" s="1928"/>
      <c r="E14" s="1928"/>
      <c r="F14" s="1928"/>
      <c r="G14" s="1928"/>
      <c r="H14" s="1928"/>
      <c r="I14" s="1928"/>
      <c r="J14" s="1928"/>
      <c r="K14" s="1928"/>
      <c r="L14" s="1928"/>
      <c r="M14" s="1928"/>
      <c r="N14" s="1928"/>
      <c r="O14" s="1928"/>
      <c r="P14" s="1928"/>
      <c r="Q14" s="1928"/>
      <c r="R14" s="1928"/>
    </row>
    <row r="15" spans="1:19" ht="15" customHeight="1">
      <c r="A15" s="507"/>
      <c r="B15" s="1928"/>
      <c r="C15" s="1928"/>
      <c r="D15" s="1928"/>
      <c r="E15" s="1928"/>
      <c r="F15" s="1928"/>
      <c r="G15" s="1928"/>
      <c r="H15" s="1928"/>
      <c r="I15" s="1928"/>
      <c r="J15" s="1928"/>
      <c r="K15" s="1928"/>
      <c r="L15" s="1928"/>
      <c r="M15" s="1928"/>
      <c r="N15" s="1928"/>
      <c r="O15" s="1928"/>
      <c r="P15" s="1928"/>
      <c r="Q15" s="1928"/>
      <c r="R15" s="1928"/>
    </row>
    <row r="16" spans="1:19" ht="15" customHeight="1">
      <c r="A16" s="507"/>
      <c r="B16" s="1928"/>
      <c r="C16" s="1928"/>
      <c r="D16" s="1928"/>
      <c r="E16" s="1928"/>
      <c r="F16" s="1928"/>
      <c r="G16" s="1928"/>
      <c r="H16" s="1928"/>
      <c r="I16" s="1928"/>
      <c r="J16" s="1928"/>
      <c r="K16" s="1928"/>
      <c r="L16" s="1928"/>
      <c r="M16" s="1928"/>
      <c r="N16" s="1928"/>
      <c r="O16" s="1928"/>
      <c r="P16" s="1928"/>
      <c r="Q16" s="1928"/>
      <c r="R16" s="1928"/>
    </row>
    <row r="17" spans="1:18" ht="15" customHeight="1">
      <c r="A17" s="507"/>
      <c r="B17" s="1928"/>
      <c r="C17" s="1928"/>
      <c r="D17" s="1928"/>
      <c r="E17" s="1928"/>
      <c r="F17" s="1928"/>
      <c r="G17" s="1928"/>
      <c r="H17" s="1928"/>
      <c r="I17" s="1928"/>
      <c r="J17" s="1928"/>
      <c r="K17" s="1928"/>
      <c r="L17" s="1928"/>
      <c r="M17" s="1928"/>
      <c r="N17" s="1928"/>
      <c r="O17" s="1928"/>
      <c r="P17" s="1928"/>
      <c r="Q17" s="1928"/>
      <c r="R17" s="192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8" t="s">
        <v>1803</v>
      </c>
      <c r="C19" s="1928"/>
      <c r="D19" s="1928"/>
      <c r="E19" s="1928"/>
      <c r="F19" s="1928"/>
      <c r="G19" s="1928"/>
      <c r="H19" s="1928"/>
      <c r="I19" s="1928"/>
      <c r="J19" s="1928"/>
      <c r="K19" s="1928"/>
      <c r="L19" s="1928"/>
      <c r="M19" s="1928"/>
      <c r="N19" s="1928"/>
      <c r="O19" s="1928"/>
      <c r="P19" s="1928"/>
      <c r="Q19" s="1928"/>
      <c r="R19" s="1928"/>
    </row>
    <row r="20" spans="1:18" ht="15" customHeight="1">
      <c r="A20" s="507"/>
      <c r="B20" s="1928"/>
      <c r="C20" s="1928"/>
      <c r="D20" s="1928"/>
      <c r="E20" s="1928"/>
      <c r="F20" s="1928"/>
      <c r="G20" s="1928"/>
      <c r="H20" s="1928"/>
      <c r="I20" s="1928"/>
      <c r="J20" s="1928"/>
      <c r="K20" s="1928"/>
      <c r="L20" s="1928"/>
      <c r="M20" s="1928"/>
      <c r="N20" s="1928"/>
      <c r="O20" s="1928"/>
      <c r="P20" s="1928"/>
      <c r="Q20" s="1928"/>
      <c r="R20" s="1928"/>
    </row>
    <row r="21" spans="1:18" ht="15" customHeight="1">
      <c r="A21" s="507"/>
      <c r="B21" s="1928"/>
      <c r="C21" s="1928"/>
      <c r="D21" s="1928"/>
      <c r="E21" s="1928"/>
      <c r="F21" s="1928"/>
      <c r="G21" s="1928"/>
      <c r="H21" s="1928"/>
      <c r="I21" s="1928"/>
      <c r="J21" s="1928"/>
      <c r="K21" s="1928"/>
      <c r="L21" s="1928"/>
      <c r="M21" s="1928"/>
      <c r="N21" s="1928"/>
      <c r="O21" s="1928"/>
      <c r="P21" s="1928"/>
      <c r="Q21" s="1928"/>
      <c r="R21" s="192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8" t="s">
        <v>1804</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8" t="s">
        <v>1695</v>
      </c>
      <c r="C26" s="1928"/>
      <c r="D26" s="1928"/>
      <c r="E26" s="1928"/>
      <c r="F26" s="1928"/>
      <c r="G26" s="1928"/>
      <c r="H26" s="1928"/>
      <c r="I26" s="1928"/>
      <c r="J26" s="1928"/>
      <c r="K26" s="1928"/>
      <c r="L26" s="1928"/>
      <c r="M26" s="1928"/>
      <c r="N26" s="1928"/>
      <c r="O26" s="1928"/>
      <c r="P26" s="1928"/>
      <c r="Q26" s="1928"/>
      <c r="R26" s="192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4" t="s">
        <v>1608</v>
      </c>
      <c r="C29" s="1954"/>
      <c r="D29" s="1954"/>
      <c r="E29" s="1954"/>
      <c r="F29" s="1954"/>
      <c r="G29" s="1954"/>
      <c r="H29" s="376"/>
      <c r="I29" s="376"/>
      <c r="J29" s="376"/>
      <c r="K29" s="376"/>
      <c r="L29" s="376"/>
      <c r="M29" s="376"/>
      <c r="N29" s="376"/>
      <c r="O29" s="1952" t="s">
        <v>1617</v>
      </c>
    </row>
    <row r="30" spans="1:18" ht="15" customHeight="1">
      <c r="B30" s="1954"/>
      <c r="C30" s="1954"/>
      <c r="D30" s="1954"/>
      <c r="E30" s="1954"/>
      <c r="F30" s="1954"/>
      <c r="G30" s="1954"/>
      <c r="H30" s="376"/>
      <c r="I30" s="376"/>
      <c r="J30" s="376"/>
      <c r="K30" s="376"/>
      <c r="L30" s="376"/>
      <c r="M30" s="376"/>
      <c r="N30" s="376"/>
      <c r="O30" s="1952"/>
    </row>
    <row r="31" spans="1:18" ht="15" customHeight="1">
      <c r="B31" s="1954"/>
      <c r="C31" s="1954"/>
      <c r="D31" s="1954"/>
      <c r="E31" s="1954"/>
      <c r="F31" s="1954"/>
      <c r="G31" s="1954"/>
      <c r="H31" s="376"/>
      <c r="I31" s="376"/>
      <c r="J31" s="376"/>
      <c r="K31" s="376"/>
      <c r="L31" s="376"/>
      <c r="M31" s="376"/>
      <c r="N31" s="376"/>
      <c r="O31" s="1952"/>
    </row>
    <row r="32" spans="1:18" ht="15" customHeight="1">
      <c r="B32" s="1955"/>
      <c r="C32" s="1955"/>
      <c r="D32" s="1955"/>
      <c r="E32" s="1955"/>
      <c r="F32" s="1955"/>
      <c r="G32" s="1955"/>
      <c r="I32" s="1921" t="s">
        <v>139</v>
      </c>
      <c r="J32" s="1922" t="s">
        <v>992</v>
      </c>
      <c r="K32" s="1956">
        <v>1</v>
      </c>
      <c r="M32" s="509"/>
      <c r="O32" s="1953"/>
      <c r="P32" s="1922" t="s">
        <v>1943</v>
      </c>
    </row>
    <row r="33" spans="1:21" ht="15" customHeight="1">
      <c r="B33" s="1957" t="s">
        <v>1612</v>
      </c>
      <c r="C33" s="1957"/>
      <c r="D33" s="1957"/>
      <c r="E33" s="1957"/>
      <c r="F33" s="1957"/>
      <c r="G33" s="1957"/>
      <c r="I33" s="1921"/>
      <c r="J33" s="1922"/>
      <c r="K33" s="1956"/>
      <c r="M33" s="510"/>
      <c r="O33" s="1957" t="s">
        <v>1612</v>
      </c>
      <c r="P33" s="1922"/>
    </row>
    <row r="34" spans="1:21" ht="15" customHeight="1">
      <c r="B34" s="1921"/>
      <c r="C34" s="1921"/>
      <c r="D34" s="1921"/>
      <c r="E34" s="1921"/>
      <c r="F34" s="1921"/>
      <c r="G34" s="1921"/>
      <c r="I34" s="648"/>
      <c r="J34" s="647"/>
      <c r="K34" s="527"/>
      <c r="M34" s="510"/>
      <c r="O34" s="1921"/>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4" t="s">
        <v>1602</v>
      </c>
      <c r="C37" s="1944"/>
      <c r="D37" s="1944"/>
      <c r="E37" s="1944"/>
      <c r="F37" s="516"/>
      <c r="G37" s="516"/>
      <c r="H37" s="517"/>
      <c r="I37" s="376"/>
      <c r="J37" s="376"/>
      <c r="L37" s="529"/>
      <c r="M37" s="529"/>
      <c r="N37" s="529"/>
      <c r="O37" s="529"/>
      <c r="P37" s="529"/>
      <c r="Q37" s="529"/>
      <c r="R37" s="529"/>
      <c r="S37" s="529"/>
    </row>
    <row r="38" spans="1:21" ht="15" customHeight="1">
      <c r="B38" s="1931" t="s">
        <v>1618</v>
      </c>
      <c r="C38" s="1931"/>
      <c r="D38" s="1931"/>
      <c r="E38" s="1931"/>
      <c r="F38" s="650"/>
      <c r="G38" s="518">
        <f>D110</f>
        <v>0</v>
      </c>
      <c r="H38" s="384"/>
      <c r="I38" s="519"/>
      <c r="J38" s="384"/>
      <c r="K38" s="1940" t="s">
        <v>2228</v>
      </c>
      <c r="L38" s="1940"/>
      <c r="M38" s="1940"/>
      <c r="N38" s="1940"/>
      <c r="O38" s="1940"/>
      <c r="P38" s="1940"/>
      <c r="Q38" s="1940"/>
      <c r="R38" s="1940"/>
      <c r="S38" s="1940"/>
    </row>
    <row r="39" spans="1:21" ht="15" customHeight="1">
      <c r="B39" s="1939" t="s">
        <v>1283</v>
      </c>
      <c r="C39" s="1939"/>
      <c r="D39" s="1939"/>
      <c r="E39" s="1939"/>
      <c r="F39" s="650"/>
      <c r="G39" s="632"/>
      <c r="H39" s="384"/>
      <c r="I39" s="519"/>
      <c r="J39" s="384"/>
      <c r="K39" s="1940"/>
      <c r="L39" s="1940"/>
      <c r="M39" s="1940"/>
      <c r="N39" s="1940"/>
      <c r="O39" s="1940"/>
      <c r="P39" s="1940"/>
      <c r="Q39" s="1940"/>
      <c r="R39" s="1940"/>
      <c r="S39" s="1940"/>
    </row>
    <row r="40" spans="1:21" ht="15" customHeight="1">
      <c r="B40" s="1939" t="s">
        <v>1284</v>
      </c>
      <c r="C40" s="1939"/>
      <c r="D40" s="1939"/>
      <c r="E40" s="1939"/>
      <c r="F40" s="650"/>
      <c r="G40" s="632"/>
      <c r="H40" s="384"/>
      <c r="I40" s="519"/>
      <c r="J40" s="384"/>
      <c r="K40" s="1940"/>
      <c r="L40" s="1940"/>
      <c r="M40" s="1940"/>
      <c r="N40" s="1940"/>
      <c r="O40" s="1940"/>
      <c r="P40" s="1940"/>
      <c r="Q40" s="1940"/>
      <c r="R40" s="1940"/>
      <c r="S40" s="1940"/>
    </row>
    <row r="41" spans="1:21" ht="15" customHeight="1">
      <c r="B41" s="1949" t="s">
        <v>1613</v>
      </c>
      <c r="C41" s="1949"/>
      <c r="D41" s="1949"/>
      <c r="E41" s="1949"/>
      <c r="F41" s="650"/>
      <c r="G41" s="384"/>
      <c r="H41" s="384"/>
      <c r="I41" s="519"/>
      <c r="J41" s="384"/>
      <c r="K41" s="1933" t="s">
        <v>124</v>
      </c>
      <c r="L41" s="1933"/>
      <c r="M41" s="1933"/>
      <c r="N41" s="1933"/>
      <c r="O41" s="1933"/>
      <c r="P41" s="1933"/>
      <c r="Q41" s="1933"/>
      <c r="R41" s="1933"/>
      <c r="S41" s="1933"/>
    </row>
    <row r="42" spans="1:21" ht="15" customHeight="1">
      <c r="B42" s="634" t="s">
        <v>2475</v>
      </c>
      <c r="C42" s="634"/>
      <c r="D42" s="628"/>
      <c r="E42" s="652">
        <v>692000</v>
      </c>
      <c r="F42" s="650"/>
      <c r="G42" s="384"/>
      <c r="H42" s="384"/>
      <c r="I42" s="519"/>
      <c r="J42" s="384"/>
      <c r="K42" s="1938"/>
      <c r="L42" s="1938"/>
      <c r="M42" s="1938"/>
      <c r="N42" s="1938"/>
      <c r="O42" s="1938"/>
      <c r="Q42" s="1918"/>
      <c r="R42" s="1918"/>
      <c r="U42" s="754" t="s">
        <v>124</v>
      </c>
    </row>
    <row r="43" spans="1:21" ht="15" customHeight="1">
      <c r="B43" s="634" t="s">
        <v>2476</v>
      </c>
      <c r="C43" s="634"/>
      <c r="D43" s="504"/>
      <c r="E43" s="652">
        <v>660000</v>
      </c>
      <c r="F43" s="650"/>
      <c r="G43" s="384"/>
      <c r="H43" s="384"/>
      <c r="I43" s="519"/>
      <c r="J43" s="384"/>
      <c r="L43" s="384"/>
      <c r="M43" s="376"/>
      <c r="N43" s="376"/>
      <c r="O43" s="376"/>
      <c r="Q43" s="520"/>
      <c r="R43" s="520"/>
      <c r="U43" s="754" t="s">
        <v>2227</v>
      </c>
    </row>
    <row r="44" spans="1:21" ht="15" customHeight="1">
      <c r="B44" s="634" t="s">
        <v>2477</v>
      </c>
      <c r="C44" s="634"/>
      <c r="D44" s="504"/>
      <c r="E44" s="652">
        <v>288000</v>
      </c>
      <c r="F44" s="650"/>
      <c r="G44" s="384"/>
      <c r="H44" s="384"/>
      <c r="I44" s="519"/>
      <c r="K44" s="383" t="s">
        <v>1855</v>
      </c>
      <c r="Q44" s="1918"/>
      <c r="R44" s="1918"/>
    </row>
    <row r="45" spans="1:21" ht="15" customHeight="1">
      <c r="B45" s="634" t="s">
        <v>2478</v>
      </c>
      <c r="C45" s="634"/>
      <c r="D45" s="504"/>
      <c r="E45" s="652">
        <v>2000000</v>
      </c>
      <c r="F45" s="650"/>
      <c r="G45" s="384"/>
      <c r="H45" s="384"/>
      <c r="I45" s="519"/>
      <c r="K45" s="388" t="s">
        <v>1850</v>
      </c>
      <c r="L45" s="388"/>
      <c r="M45" s="384"/>
      <c r="N45" s="384"/>
      <c r="O45" s="384"/>
      <c r="P45" s="384"/>
    </row>
    <row r="46" spans="1:21" ht="15" customHeight="1">
      <c r="B46" s="634" t="s">
        <v>2494</v>
      </c>
      <c r="C46" s="634"/>
      <c r="D46" s="504"/>
      <c r="E46" s="652">
        <v>1960000</v>
      </c>
      <c r="F46" s="650"/>
      <c r="G46" s="384"/>
      <c r="H46" s="384"/>
      <c r="I46" s="519"/>
      <c r="J46" s="384"/>
      <c r="K46" s="1915" t="s">
        <v>1851</v>
      </c>
      <c r="L46" s="1915"/>
      <c r="M46" s="1915"/>
      <c r="N46" s="1915"/>
      <c r="O46" s="1915"/>
      <c r="Q46" s="1913"/>
      <c r="R46" s="1913"/>
    </row>
    <row r="47" spans="1:21" ht="15" customHeight="1">
      <c r="B47" s="634"/>
      <c r="C47" s="634"/>
      <c r="D47" s="504"/>
      <c r="E47" s="652"/>
      <c r="F47" s="650"/>
      <c r="G47" s="384"/>
      <c r="H47" s="384"/>
      <c r="I47" s="519"/>
      <c r="J47" s="384"/>
      <c r="K47" s="1914" t="s">
        <v>1852</v>
      </c>
      <c r="L47" s="1914"/>
      <c r="M47" s="1914"/>
      <c r="N47" s="1914"/>
      <c r="O47" s="1914"/>
      <c r="Q47" s="1951"/>
      <c r="R47" s="1951"/>
    </row>
    <row r="48" spans="1:21" ht="15" customHeight="1">
      <c r="B48" s="634"/>
      <c r="C48" s="634"/>
      <c r="D48" s="504"/>
      <c r="E48" s="652"/>
      <c r="F48" s="650"/>
      <c r="G48" s="384"/>
      <c r="H48" s="384"/>
      <c r="I48" s="519"/>
      <c r="J48" s="384"/>
      <c r="K48" s="1950" t="s">
        <v>1853</v>
      </c>
      <c r="L48" s="1950"/>
      <c r="M48" s="1950"/>
      <c r="N48" s="1950"/>
      <c r="O48" s="1950"/>
      <c r="Q48" s="1915">
        <f>Q46+Q47</f>
        <v>0</v>
      </c>
      <c r="R48" s="1915"/>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1" t="s">
        <v>1609</v>
      </c>
      <c r="C52" s="1931"/>
      <c r="D52" s="1931"/>
      <c r="E52" s="1931"/>
      <c r="F52" s="650"/>
      <c r="G52" s="518">
        <f>SUM(E42:E49)-ABS(E50)-ABS(E51)</f>
        <v>5600000</v>
      </c>
      <c r="H52" s="384"/>
      <c r="I52" s="519"/>
      <c r="J52" s="384"/>
    </row>
    <row r="53" spans="1:29" ht="15" customHeight="1">
      <c r="C53" s="523"/>
      <c r="D53" s="523" t="s">
        <v>875</v>
      </c>
      <c r="E53" s="523"/>
      <c r="F53" s="523"/>
      <c r="G53" s="524">
        <f>SUM(G38:G40)+G52</f>
        <v>5600000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0" t="s">
        <v>1264</v>
      </c>
      <c r="C56" s="1930"/>
      <c r="D56" s="650"/>
      <c r="E56" s="650"/>
      <c r="F56" s="650"/>
      <c r="G56" s="650"/>
      <c r="H56" s="650"/>
      <c r="I56" s="650"/>
      <c r="J56" s="650"/>
      <c r="K56" s="650"/>
      <c r="L56" s="650"/>
      <c r="M56" s="650"/>
      <c r="N56" s="650"/>
      <c r="O56" s="650"/>
      <c r="P56" s="650"/>
      <c r="U56" s="952" t="s">
        <v>1798</v>
      </c>
      <c r="AC56" s="953">
        <v>0.2</v>
      </c>
    </row>
    <row r="57" spans="1:29" ht="15" customHeight="1">
      <c r="A57" s="521"/>
      <c r="B57" s="1929" t="s">
        <v>1604</v>
      </c>
      <c r="C57" s="1929"/>
      <c r="D57" s="1929"/>
      <c r="E57" s="1929"/>
      <c r="F57" s="1929"/>
      <c r="G57" s="1929"/>
      <c r="H57" s="1929"/>
      <c r="I57" s="1929"/>
      <c r="J57" s="1929"/>
      <c r="K57" s="1929"/>
      <c r="L57" s="1929"/>
      <c r="M57" s="1929"/>
      <c r="N57" s="1929"/>
      <c r="O57" s="1929"/>
      <c r="P57" s="650"/>
      <c r="U57" s="952" t="s">
        <v>1799</v>
      </c>
      <c r="AC57" s="953">
        <v>0.1</v>
      </c>
    </row>
    <row r="58" spans="1:29" ht="15" customHeight="1">
      <c r="B58" s="1944" t="s">
        <v>2226</v>
      </c>
      <c r="C58" s="1945"/>
      <c r="D58" s="1945"/>
      <c r="E58" s="1945"/>
      <c r="F58" s="526"/>
      <c r="G58" s="526"/>
      <c r="H58" s="516"/>
      <c r="I58" s="516"/>
      <c r="J58" s="1946">
        <f>('Sources and Uses Budget'!D104+Q47)/('Sources and Uses Budget'!B104+Q48)</f>
        <v>0</v>
      </c>
      <c r="K58" s="1947"/>
      <c r="L58" s="1947"/>
      <c r="M58" s="1947"/>
      <c r="N58" s="1948"/>
      <c r="O58" s="516"/>
      <c r="P58" s="516"/>
      <c r="U58" s="952" t="s">
        <v>1800</v>
      </c>
      <c r="AC58" s="953">
        <v>0.1</v>
      </c>
    </row>
    <row r="59" spans="1:29" ht="15" customHeight="1">
      <c r="B59" s="1928" t="s">
        <v>2124</v>
      </c>
      <c r="C59" s="1928"/>
      <c r="D59" s="1928"/>
      <c r="E59" s="1928"/>
      <c r="F59" s="1928"/>
      <c r="G59" s="1928"/>
      <c r="H59" s="1928"/>
      <c r="I59" s="1928"/>
      <c r="J59" s="1928"/>
      <c r="K59" s="1928"/>
      <c r="L59" s="1928"/>
      <c r="M59" s="1928"/>
      <c r="N59" s="1928"/>
      <c r="O59" s="1928"/>
      <c r="P59" s="516"/>
      <c r="U59" s="952" t="s">
        <v>1801</v>
      </c>
      <c r="AC59" s="953">
        <v>0.05</v>
      </c>
    </row>
    <row r="60" spans="1:29" ht="15" customHeight="1">
      <c r="B60" s="1928"/>
      <c r="C60" s="1928"/>
      <c r="D60" s="1928"/>
      <c r="E60" s="1928"/>
      <c r="F60" s="1928"/>
      <c r="G60" s="1928"/>
      <c r="H60" s="1928"/>
      <c r="I60" s="1928"/>
      <c r="J60" s="1928"/>
      <c r="K60" s="1928"/>
      <c r="L60" s="1928"/>
      <c r="M60" s="1928"/>
      <c r="N60" s="1928"/>
      <c r="O60" s="1928"/>
      <c r="P60" s="516"/>
      <c r="AC60" s="954"/>
    </row>
    <row r="61" spans="1:29" ht="15" customHeight="1">
      <c r="B61" s="192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9"/>
      <c r="D61" s="1929"/>
      <c r="E61" s="1929"/>
      <c r="F61" s="1929"/>
      <c r="G61" s="1929"/>
      <c r="H61" s="1929"/>
      <c r="I61" s="1929"/>
      <c r="J61" s="1929"/>
      <c r="K61" s="1929"/>
      <c r="L61" s="1929"/>
      <c r="M61" s="1929"/>
      <c r="N61" s="1929"/>
      <c r="O61" s="1929"/>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4" t="s">
        <v>2229</v>
      </c>
      <c r="K63" s="1935"/>
      <c r="L63" s="1935"/>
      <c r="M63" s="1935"/>
      <c r="N63" s="1935"/>
      <c r="O63" s="1935"/>
      <c r="P63" s="1935"/>
      <c r="Q63" s="1935"/>
      <c r="R63" s="1935"/>
    </row>
    <row r="64" spans="1:29" ht="15" customHeight="1" thickBot="1">
      <c r="B64" s="1930" t="s">
        <v>1614</v>
      </c>
      <c r="C64" s="1930"/>
      <c r="D64" s="376"/>
      <c r="F64" s="376"/>
      <c r="G64" s="523" t="s">
        <v>1854</v>
      </c>
      <c r="H64" s="376"/>
      <c r="I64" s="758"/>
      <c r="J64" s="1936"/>
      <c r="K64" s="1937"/>
      <c r="L64" s="1937"/>
      <c r="M64" s="1937"/>
      <c r="N64" s="1937"/>
      <c r="O64" s="1937"/>
      <c r="P64" s="1937"/>
      <c r="Q64" s="1937"/>
      <c r="R64" s="193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36"/>
      <c r="K65" s="1937"/>
      <c r="L65" s="1937"/>
      <c r="M65" s="1937"/>
      <c r="N65" s="1937"/>
      <c r="O65" s="1937"/>
      <c r="P65" s="1937"/>
      <c r="Q65" s="1937"/>
      <c r="R65" s="1937"/>
      <c r="U65" s="951">
        <f>IF(J67="Non-rural project, Census Tract is Highest Resource (20 percentage points)",AC56,0)</f>
        <v>0</v>
      </c>
    </row>
    <row r="66" spans="1:22" ht="15" customHeight="1" thickBot="1">
      <c r="B66" s="528" t="s">
        <v>1683</v>
      </c>
      <c r="C66" s="638">
        <f>Application!AG430-Application!AG431</f>
        <v>28</v>
      </c>
      <c r="D66" s="788"/>
      <c r="E66" s="528" t="s">
        <v>1857</v>
      </c>
      <c r="F66" s="788"/>
      <c r="G66" s="655"/>
      <c r="H66" s="529"/>
      <c r="I66" s="759"/>
      <c r="J66" s="1936"/>
      <c r="K66" s="1937"/>
      <c r="L66" s="1937"/>
      <c r="M66" s="1937"/>
      <c r="N66" s="1937"/>
      <c r="O66" s="1937"/>
      <c r="P66" s="1937"/>
      <c r="Q66" s="1937"/>
      <c r="R66" s="193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28</v>
      </c>
      <c r="H67" s="529"/>
      <c r="I67" s="759"/>
      <c r="J67" s="1932" t="s">
        <v>124</v>
      </c>
      <c r="K67" s="1933"/>
      <c r="L67" s="1933"/>
      <c r="M67" s="1933"/>
      <c r="N67" s="1933"/>
      <c r="O67" s="1933"/>
      <c r="P67" s="1933"/>
      <c r="Q67" s="1933"/>
      <c r="R67" s="193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1">
        <f>SUM(U62:U68)</f>
        <v>0</v>
      </c>
    </row>
    <row r="70" spans="1:22" ht="15" customHeight="1" thickBot="1">
      <c r="B70" s="508" t="s">
        <v>1611</v>
      </c>
      <c r="C70" s="508"/>
      <c r="D70" s="508"/>
      <c r="E70" s="508"/>
      <c r="F70" s="508"/>
      <c r="G70" s="508"/>
      <c r="U70" s="1942"/>
      <c r="V70" s="373" t="s">
        <v>1802</v>
      </c>
    </row>
    <row r="71" spans="1:22" ht="15" customHeight="1">
      <c r="B71" s="1931" t="s">
        <v>1615</v>
      </c>
      <c r="C71" s="1931"/>
      <c r="D71" s="1931"/>
      <c r="E71" s="508"/>
      <c r="F71" s="508"/>
      <c r="G71" s="518">
        <f>G53*(1-J58)</f>
        <v>5600000</v>
      </c>
      <c r="J71" s="530"/>
      <c r="K71" s="687" t="s">
        <v>1617</v>
      </c>
      <c r="L71" s="687"/>
      <c r="M71" s="687"/>
      <c r="N71" s="687"/>
      <c r="O71" s="687"/>
      <c r="Q71" s="1915">
        <f>'Basis &amp; Credits'!T23+'Basis &amp; Credits'!Y23+'Basis &amp; Credits'!AD23+'Basis &amp; Credits'!AI23</f>
        <v>16660181</v>
      </c>
      <c r="R71" s="1915"/>
    </row>
    <row r="72" spans="1:22" ht="15" customHeight="1">
      <c r="B72" s="1917" t="s">
        <v>1616</v>
      </c>
      <c r="C72" s="1917"/>
      <c r="D72" s="1917"/>
      <c r="E72" s="508"/>
      <c r="F72" s="508"/>
      <c r="G72" s="518">
        <f>G71*C67</f>
        <v>5600000</v>
      </c>
      <c r="J72" s="530"/>
      <c r="K72" s="650"/>
      <c r="L72" s="650"/>
      <c r="M72" s="650"/>
      <c r="N72" s="650"/>
      <c r="O72" s="650"/>
      <c r="Q72" s="1918"/>
      <c r="R72" s="191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9">
        <f>$G$72</f>
        <v>5600000</v>
      </c>
      <c r="C75" s="1920"/>
      <c r="D75" s="1920"/>
      <c r="E75" s="1920"/>
      <c r="F75" s="1920"/>
      <c r="G75" s="1920"/>
      <c r="H75" s="531"/>
      <c r="I75" s="1921" t="s">
        <v>139</v>
      </c>
      <c r="J75" s="1922" t="s">
        <v>992</v>
      </c>
      <c r="K75" s="1921">
        <v>1</v>
      </c>
      <c r="M75" s="395"/>
      <c r="N75" s="510"/>
      <c r="O75" s="657">
        <f>$Q$71</f>
        <v>16660181</v>
      </c>
      <c r="P75" s="1922" t="s">
        <v>1943</v>
      </c>
      <c r="Q75" s="1923" t="s">
        <v>138</v>
      </c>
      <c r="R75" s="1926">
        <f>((B75/B76)+((1-(O75/O76))/2))+U69</f>
        <v>0.37828287619888512</v>
      </c>
    </row>
    <row r="76" spans="1:22" ht="15" customHeight="1" thickBot="1">
      <c r="B76" s="1924">
        <f>'Sources and Uses Budget'!$C$104+$Q$46-($E$50+$E$51)*(1-$J$58)</f>
        <v>22429798</v>
      </c>
      <c r="C76" s="1925"/>
      <c r="D76" s="1925"/>
      <c r="E76" s="1925"/>
      <c r="F76" s="1925"/>
      <c r="G76" s="1924"/>
      <c r="I76" s="1921"/>
      <c r="J76" s="1922"/>
      <c r="K76" s="1921"/>
      <c r="M76" s="648"/>
      <c r="O76" s="656">
        <f>B76</f>
        <v>22429798</v>
      </c>
      <c r="P76" s="1922"/>
      <c r="Q76" s="1923"/>
      <c r="R76" s="192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3"/>
      <c r="R84" s="1913"/>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3"/>
      <c r="R89" s="1913"/>
    </row>
    <row r="90" spans="2:18" ht="15" customHeight="1">
      <c r="B90" s="497" t="s">
        <v>615</v>
      </c>
      <c r="C90" s="498"/>
      <c r="D90" s="499"/>
      <c r="E90" s="499"/>
      <c r="F90" s="540"/>
      <c r="G90" s="384">
        <f>MAX(($E90-$D90)*$C90*12,0)</f>
        <v>0</v>
      </c>
      <c r="I90" s="519"/>
      <c r="K90" s="756" t="s">
        <v>1626</v>
      </c>
      <c r="L90" s="684"/>
      <c r="M90" s="684"/>
      <c r="N90" s="684"/>
      <c r="O90" s="684"/>
      <c r="P90" s="684"/>
      <c r="Q90" s="1916"/>
      <c r="R90" s="1916"/>
    </row>
    <row r="91" spans="2:18" ht="15" customHeight="1">
      <c r="B91" s="497" t="s">
        <v>615</v>
      </c>
      <c r="C91" s="498"/>
      <c r="D91" s="499"/>
      <c r="E91" s="499"/>
      <c r="F91" s="540"/>
      <c r="G91" s="384">
        <f t="shared" ref="G91:G97" si="0">MAX(($E91-$D91)*$C91*12,0)</f>
        <v>0</v>
      </c>
      <c r="I91" s="519"/>
      <c r="K91" s="756" t="s">
        <v>1629</v>
      </c>
      <c r="L91" s="684"/>
      <c r="M91" s="684"/>
      <c r="N91" s="684"/>
      <c r="O91" s="684"/>
      <c r="P91" s="684"/>
      <c r="Q91" s="1914">
        <f>IFERROR(Q89/Q90,0)</f>
        <v>0</v>
      </c>
      <c r="R91" s="1914"/>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5">
        <f>MAX(Q84,Q91)</f>
        <v>0</v>
      </c>
      <c r="R93" s="1915"/>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G67" sqref="AG6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351396</v>
      </c>
      <c r="F4" s="384"/>
      <c r="G4" s="384">
        <f>E4*$C$4</f>
        <v>360180.89999999997</v>
      </c>
      <c r="H4" s="384"/>
      <c r="I4" s="384">
        <f>G4*$C$4</f>
        <v>369185.42249999993</v>
      </c>
      <c r="J4" s="384"/>
      <c r="K4" s="384">
        <f>I4*$C$4</f>
        <v>378415.05806249991</v>
      </c>
      <c r="L4" s="384"/>
      <c r="M4" s="384">
        <f>K4*$C$4</f>
        <v>387875.43451406236</v>
      </c>
      <c r="N4" s="384"/>
      <c r="O4" s="384">
        <f>M4*$C$4</f>
        <v>397572.32037691388</v>
      </c>
      <c r="P4" s="384"/>
      <c r="Q4" s="384">
        <f>O4*$C$4</f>
        <v>407511.62838633667</v>
      </c>
      <c r="R4" s="384"/>
      <c r="S4" s="384">
        <f>Q4*$C$4</f>
        <v>417699.41909599508</v>
      </c>
      <c r="T4" s="384"/>
      <c r="U4" s="384">
        <f>S4*$C$4</f>
        <v>428141.90457339492</v>
      </c>
      <c r="V4" s="384"/>
      <c r="W4" s="384">
        <f>U4*$C$4</f>
        <v>438845.45218772977</v>
      </c>
      <c r="X4" s="384"/>
      <c r="Y4" s="384">
        <f>W4*$C$4</f>
        <v>449816.58849242295</v>
      </c>
      <c r="Z4" s="384"/>
      <c r="AA4" s="384">
        <f>Y4*$C$4</f>
        <v>461062.00320473348</v>
      </c>
      <c r="AB4" s="384"/>
      <c r="AC4" s="384">
        <f>AA4*$C$4</f>
        <v>472588.55328485178</v>
      </c>
      <c r="AD4" s="384"/>
      <c r="AE4" s="384">
        <f>AC4*$C$4</f>
        <v>484403.267116973</v>
      </c>
      <c r="AF4" s="384"/>
      <c r="AG4" s="384">
        <f>AE4*$C$4</f>
        <v>496513.34879489726</v>
      </c>
      <c r="AH4" s="384"/>
    </row>
    <row r="5" spans="1:34" ht="14.25">
      <c r="A5" s="376"/>
      <c r="B5" s="376" t="s">
        <v>988</v>
      </c>
      <c r="C5" s="408">
        <f>IF(Application!$D$214="Special Needs",0.1,0.05)</f>
        <v>0.05</v>
      </c>
      <c r="D5" s="376"/>
      <c r="E5" s="386">
        <f>-E4*$C$5</f>
        <v>-17569.8</v>
      </c>
      <c r="F5" s="386"/>
      <c r="G5" s="386">
        <f>-G4*$C$5</f>
        <v>-18009.044999999998</v>
      </c>
      <c r="H5" s="386"/>
      <c r="I5" s="386">
        <f>-I4*$C$5</f>
        <v>-18459.271124999996</v>
      </c>
      <c r="J5" s="386"/>
      <c r="K5" s="386">
        <f>-K4*$C$5</f>
        <v>-18920.752903124998</v>
      </c>
      <c r="L5" s="386"/>
      <c r="M5" s="386">
        <f>-M4*$C$5</f>
        <v>-19393.771725703118</v>
      </c>
      <c r="N5" s="386"/>
      <c r="O5" s="386">
        <f>-O4*$C$5</f>
        <v>-19878.616018845696</v>
      </c>
      <c r="P5" s="386"/>
      <c r="Q5" s="386">
        <f>-Q4*$C$5</f>
        <v>-20375.581419316833</v>
      </c>
      <c r="R5" s="386"/>
      <c r="S5" s="386">
        <f>-S4*$C$5</f>
        <v>-20884.970954799755</v>
      </c>
      <c r="T5" s="386"/>
      <c r="U5" s="386">
        <f>-U4*$C$5</f>
        <v>-21407.095228669747</v>
      </c>
      <c r="V5" s="386"/>
      <c r="W5" s="386">
        <f>-W4*$C$5</f>
        <v>-21942.272609386491</v>
      </c>
      <c r="X5" s="386"/>
      <c r="Y5" s="386">
        <f>-Y4*$C$5</f>
        <v>-22490.829424621148</v>
      </c>
      <c r="Z5" s="386"/>
      <c r="AA5" s="386">
        <f>-AA4*$C$5</f>
        <v>-23053.100160236674</v>
      </c>
      <c r="AB5" s="386"/>
      <c r="AC5" s="386">
        <f>-AC4*$C$5</f>
        <v>-23629.42766424259</v>
      </c>
      <c r="AD5" s="386"/>
      <c r="AE5" s="386">
        <f>-AE4*$C$5</f>
        <v>-24220.16335584865</v>
      </c>
      <c r="AF5" s="386"/>
      <c r="AG5" s="386">
        <f>-AG4*$C$5</f>
        <v>-24825.667439744866</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3500</v>
      </c>
      <c r="F8" s="387"/>
      <c r="G8" s="387">
        <f>E8*$C$8</f>
        <v>3587.4999999999995</v>
      </c>
      <c r="H8" s="387"/>
      <c r="I8" s="387">
        <f>G8*$C$8</f>
        <v>3677.1874999999991</v>
      </c>
      <c r="J8" s="387"/>
      <c r="K8" s="387">
        <f>I8*$C$8</f>
        <v>3769.1171874999986</v>
      </c>
      <c r="L8" s="387"/>
      <c r="M8" s="387">
        <f>K8*$C$8</f>
        <v>3863.3451171874981</v>
      </c>
      <c r="N8" s="387"/>
      <c r="O8" s="387">
        <f>M8*$C$8</f>
        <v>3959.9287451171854</v>
      </c>
      <c r="P8" s="387"/>
      <c r="Q8" s="387">
        <f>O8*$C$8</f>
        <v>4058.9269637451148</v>
      </c>
      <c r="R8" s="387"/>
      <c r="S8" s="387">
        <f>Q8*$C$8</f>
        <v>4160.400137838742</v>
      </c>
      <c r="T8" s="387"/>
      <c r="U8" s="387">
        <f>S8*$C$8</f>
        <v>4264.4101412847103</v>
      </c>
      <c r="V8" s="387"/>
      <c r="W8" s="387">
        <f>U8*$C$8</f>
        <v>4371.0203948168273</v>
      </c>
      <c r="X8" s="387"/>
      <c r="Y8" s="387">
        <f>W8*$C$8</f>
        <v>4480.2959046872475</v>
      </c>
      <c r="Z8" s="387"/>
      <c r="AA8" s="387">
        <f>Y8*$C$8</f>
        <v>4592.3033023044281</v>
      </c>
      <c r="AB8" s="387"/>
      <c r="AC8" s="387">
        <f>AA8*$C$8</f>
        <v>4707.1108848620388</v>
      </c>
      <c r="AD8" s="387"/>
      <c r="AE8" s="387">
        <f>AC8*$C$8</f>
        <v>4824.7886569835891</v>
      </c>
      <c r="AF8" s="387"/>
      <c r="AG8" s="387">
        <f>AE8*$C$8</f>
        <v>4945.4083734081787</v>
      </c>
      <c r="AH8" s="376"/>
    </row>
    <row r="9" spans="1:34" ht="14.25">
      <c r="A9" s="376"/>
      <c r="B9" s="376" t="s">
        <v>988</v>
      </c>
      <c r="C9" s="408">
        <f>IF(Application!$D$214="Special Needs",0.1,0.05)</f>
        <v>0.05</v>
      </c>
      <c r="D9" s="376"/>
      <c r="E9" s="386">
        <f>-E8*$C$9</f>
        <v>-175</v>
      </c>
      <c r="F9" s="386"/>
      <c r="G9" s="386">
        <f>-G8*$C$9</f>
        <v>-179.375</v>
      </c>
      <c r="H9" s="386"/>
      <c r="I9" s="386">
        <f>-I8*$C$9</f>
        <v>-183.85937499999997</v>
      </c>
      <c r="J9" s="386"/>
      <c r="K9" s="386">
        <f>-K8*$C$9</f>
        <v>-188.45585937499993</v>
      </c>
      <c r="L9" s="386"/>
      <c r="M9" s="386">
        <f>-M8*$C$9</f>
        <v>-193.1672558593749</v>
      </c>
      <c r="N9" s="386"/>
      <c r="O9" s="386">
        <f>-O8*$C$9</f>
        <v>-197.99643725585929</v>
      </c>
      <c r="P9" s="386"/>
      <c r="Q9" s="386">
        <f>-Q8*$C$9</f>
        <v>-202.94634818725575</v>
      </c>
      <c r="R9" s="386"/>
      <c r="S9" s="386">
        <f>-S8*$C$9</f>
        <v>-208.0200068919371</v>
      </c>
      <c r="T9" s="386"/>
      <c r="U9" s="386">
        <f>-U8*$C$9</f>
        <v>-213.22050706423553</v>
      </c>
      <c r="V9" s="386"/>
      <c r="W9" s="386">
        <f>-W8*$C$9</f>
        <v>-218.55101974084138</v>
      </c>
      <c r="X9" s="386"/>
      <c r="Y9" s="386">
        <f>-Y8*$C$9</f>
        <v>-224.0147952343624</v>
      </c>
      <c r="Z9" s="386"/>
      <c r="AA9" s="386">
        <f>-AA8*$C$9</f>
        <v>-229.61516511522143</v>
      </c>
      <c r="AB9" s="386"/>
      <c r="AC9" s="386">
        <f>-AC8*$C$9</f>
        <v>-235.35554424310195</v>
      </c>
      <c r="AD9" s="386"/>
      <c r="AE9" s="386">
        <f>-AE8*$C$9</f>
        <v>-241.23943284917948</v>
      </c>
      <c r="AF9" s="386"/>
      <c r="AG9" s="386">
        <f>-AG8*$C$9</f>
        <v>-247.27041867040896</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337151.2</v>
      </c>
      <c r="F11" s="388"/>
      <c r="G11" s="388">
        <f>SUM(G4:G10)</f>
        <v>345579.98</v>
      </c>
      <c r="H11" s="388"/>
      <c r="I11" s="388">
        <f>SUM(I4:I10)</f>
        <v>354219.47949999996</v>
      </c>
      <c r="J11" s="388"/>
      <c r="K11" s="388">
        <f>SUM(K4:K10)</f>
        <v>363074.96648749989</v>
      </c>
      <c r="L11" s="388"/>
      <c r="M11" s="388">
        <f>SUM(M4:M10)</f>
        <v>372151.84064968734</v>
      </c>
      <c r="N11" s="388"/>
      <c r="O11" s="388">
        <f>SUM(O4:O10)</f>
        <v>381455.63666592952</v>
      </c>
      <c r="P11" s="388"/>
      <c r="Q11" s="388">
        <f>SUM(Q4:Q10)</f>
        <v>390992.02758257766</v>
      </c>
      <c r="R11" s="388"/>
      <c r="S11" s="388">
        <f>SUM(S4:S10)</f>
        <v>400766.82827214216</v>
      </c>
      <c r="T11" s="388"/>
      <c r="U11" s="388">
        <f>SUM(U4:U10)</f>
        <v>410785.9989789456</v>
      </c>
      <c r="V11" s="388"/>
      <c r="W11" s="388">
        <f>SUM(W4:W10)</f>
        <v>421055.6489534193</v>
      </c>
      <c r="X11" s="388"/>
      <c r="Y11" s="388">
        <f>SUM(Y4:Y10)</f>
        <v>431582.0401772547</v>
      </c>
      <c r="Z11" s="388"/>
      <c r="AA11" s="388">
        <f>SUM(AA4:AA10)</f>
        <v>442371.59118168597</v>
      </c>
      <c r="AB11" s="388"/>
      <c r="AC11" s="388">
        <f>SUM(AC4:AC10)</f>
        <v>453430.8809612281</v>
      </c>
      <c r="AD11" s="388"/>
      <c r="AE11" s="388">
        <f>SUM(AE4:AE10)</f>
        <v>464766.65298525878</v>
      </c>
      <c r="AF11" s="388"/>
      <c r="AG11" s="388">
        <f>SUM(AG4:AG10)</f>
        <v>476385.81930989015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24205</v>
      </c>
      <c r="F15" s="384"/>
      <c r="G15" s="384">
        <f t="shared" ref="G15:G21" si="0">E15*$C$14</f>
        <v>25052.174999999999</v>
      </c>
      <c r="H15" s="384"/>
      <c r="I15" s="384">
        <f t="shared" ref="I15:I21" si="1">G15*$C$14</f>
        <v>25929.001124999999</v>
      </c>
      <c r="J15" s="384"/>
      <c r="K15" s="384">
        <f t="shared" ref="K15:K21" si="2">I15*$C$14</f>
        <v>26836.516164374996</v>
      </c>
      <c r="L15" s="384"/>
      <c r="M15" s="384">
        <f t="shared" ref="M15:M21" si="3">K15*$C$14</f>
        <v>27775.794230128118</v>
      </c>
      <c r="N15" s="384"/>
      <c r="O15" s="384">
        <f t="shared" ref="O15:O21" si="4">M15*$C$14</f>
        <v>28747.9470281826</v>
      </c>
      <c r="P15" s="384"/>
      <c r="Q15" s="384">
        <f t="shared" ref="Q15:Q21" si="5">O15*$C$14</f>
        <v>29754.125174168988</v>
      </c>
      <c r="R15" s="384"/>
      <c r="S15" s="384">
        <f t="shared" ref="S15:S21" si="6">Q15*$C$14</f>
        <v>30795.519555264902</v>
      </c>
      <c r="T15" s="384"/>
      <c r="U15" s="384">
        <f t="shared" ref="U15:U21" si="7">S15*$C$14</f>
        <v>31873.362739699172</v>
      </c>
      <c r="V15" s="384"/>
      <c r="W15" s="384">
        <f t="shared" ref="W15:W21" si="8">U15*$C$14</f>
        <v>32988.930435588642</v>
      </c>
      <c r="X15" s="384"/>
      <c r="Y15" s="384">
        <f t="shared" ref="Y15:Y21" si="9">W15*$C$14</f>
        <v>34143.543000834245</v>
      </c>
      <c r="Z15" s="384"/>
      <c r="AA15" s="384">
        <f t="shared" ref="AA15:AA21" si="10">Y15*$C$14</f>
        <v>35338.567005863442</v>
      </c>
      <c r="AB15" s="384"/>
      <c r="AC15" s="384">
        <f t="shared" ref="AC15:AC21" si="11">AA15*$C$14</f>
        <v>36575.416851068658</v>
      </c>
      <c r="AD15" s="384"/>
      <c r="AE15" s="384">
        <f t="shared" ref="AE15:AE21" si="12">AC15*$C$14</f>
        <v>37855.55644085606</v>
      </c>
      <c r="AF15" s="384"/>
      <c r="AG15" s="384">
        <f t="shared" ref="AG15:AG21" si="13">AE15*$C$14</f>
        <v>39180.500916286022</v>
      </c>
      <c r="AH15" s="384"/>
    </row>
    <row r="16" spans="1:34" ht="14.25">
      <c r="A16" s="376" t="s">
        <v>468</v>
      </c>
      <c r="B16" s="376"/>
      <c r="C16" s="398"/>
      <c r="D16" s="376"/>
      <c r="E16" s="387">
        <f>Application!W828</f>
        <v>15970</v>
      </c>
      <c r="F16" s="387"/>
      <c r="G16" s="387">
        <f t="shared" si="0"/>
        <v>16528.949999999997</v>
      </c>
      <c r="H16" s="387"/>
      <c r="I16" s="387">
        <f t="shared" si="1"/>
        <v>17107.463249999997</v>
      </c>
      <c r="J16" s="387"/>
      <c r="K16" s="387">
        <f t="shared" si="2"/>
        <v>17706.224463749997</v>
      </c>
      <c r="L16" s="387"/>
      <c r="M16" s="387">
        <f t="shared" si="3"/>
        <v>18325.942319981245</v>
      </c>
      <c r="N16" s="387"/>
      <c r="O16" s="387">
        <f t="shared" si="4"/>
        <v>18967.350301180588</v>
      </c>
      <c r="P16" s="387"/>
      <c r="Q16" s="387">
        <f t="shared" si="5"/>
        <v>19631.207561721905</v>
      </c>
      <c r="R16" s="387"/>
      <c r="S16" s="387">
        <f t="shared" si="6"/>
        <v>20318.299826382172</v>
      </c>
      <c r="T16" s="387"/>
      <c r="U16" s="387">
        <f t="shared" si="7"/>
        <v>21029.440320305548</v>
      </c>
      <c r="V16" s="387"/>
      <c r="W16" s="387">
        <f t="shared" si="8"/>
        <v>21765.470731516241</v>
      </c>
      <c r="X16" s="387"/>
      <c r="Y16" s="387">
        <f t="shared" si="9"/>
        <v>22527.262207119307</v>
      </c>
      <c r="Z16" s="387"/>
      <c r="AA16" s="387">
        <f t="shared" si="10"/>
        <v>23315.716384368483</v>
      </c>
      <c r="AB16" s="387"/>
      <c r="AC16" s="387">
        <f t="shared" si="11"/>
        <v>24131.766457821377</v>
      </c>
      <c r="AD16" s="387"/>
      <c r="AE16" s="387">
        <f t="shared" si="12"/>
        <v>24976.378283845122</v>
      </c>
      <c r="AF16" s="387"/>
      <c r="AG16" s="387">
        <f t="shared" si="13"/>
        <v>25850.551523779701</v>
      </c>
      <c r="AH16" s="376"/>
    </row>
    <row r="17" spans="1:34" ht="14.25">
      <c r="A17" s="376" t="s">
        <v>734</v>
      </c>
      <c r="B17" s="376"/>
      <c r="C17" s="398"/>
      <c r="D17" s="376"/>
      <c r="E17" s="387">
        <f>Application!W834</f>
        <v>38500</v>
      </c>
      <c r="F17" s="387"/>
      <c r="G17" s="387">
        <f t="shared" si="0"/>
        <v>39847.5</v>
      </c>
      <c r="H17" s="387"/>
      <c r="I17" s="387">
        <f t="shared" si="1"/>
        <v>41242.162499999999</v>
      </c>
      <c r="J17" s="387"/>
      <c r="K17" s="387">
        <f t="shared" si="2"/>
        <v>42685.638187499993</v>
      </c>
      <c r="L17" s="387"/>
      <c r="M17" s="387">
        <f t="shared" si="3"/>
        <v>44179.635524062491</v>
      </c>
      <c r="N17" s="387"/>
      <c r="O17" s="387">
        <f t="shared" si="4"/>
        <v>45725.922767404678</v>
      </c>
      <c r="P17" s="387"/>
      <c r="Q17" s="387">
        <f t="shared" si="5"/>
        <v>47326.330064263835</v>
      </c>
      <c r="R17" s="387"/>
      <c r="S17" s="387">
        <f t="shared" si="6"/>
        <v>48982.751616513066</v>
      </c>
      <c r="T17" s="387"/>
      <c r="U17" s="387">
        <f t="shared" si="7"/>
        <v>50697.147923091019</v>
      </c>
      <c r="V17" s="387"/>
      <c r="W17" s="387">
        <f t="shared" si="8"/>
        <v>52471.548100399203</v>
      </c>
      <c r="X17" s="387"/>
      <c r="Y17" s="387">
        <f t="shared" si="9"/>
        <v>54308.052283913174</v>
      </c>
      <c r="Z17" s="387"/>
      <c r="AA17" s="387">
        <f t="shared" si="10"/>
        <v>56208.834113850127</v>
      </c>
      <c r="AB17" s="387"/>
      <c r="AC17" s="387">
        <f t="shared" si="11"/>
        <v>58176.143307834878</v>
      </c>
      <c r="AD17" s="387"/>
      <c r="AE17" s="387">
        <f t="shared" si="12"/>
        <v>60212.308323609097</v>
      </c>
      <c r="AF17" s="387"/>
      <c r="AG17" s="387">
        <f t="shared" si="13"/>
        <v>62319.739114935408</v>
      </c>
      <c r="AH17" s="376"/>
    </row>
    <row r="18" spans="1:34" ht="14.25">
      <c r="A18" s="376" t="s">
        <v>1079</v>
      </c>
      <c r="B18" s="376"/>
      <c r="C18" s="398"/>
      <c r="D18" s="376"/>
      <c r="E18" s="387">
        <f>Application!W841</f>
        <v>81638</v>
      </c>
      <c r="F18" s="387"/>
      <c r="G18" s="387">
        <f t="shared" si="0"/>
        <v>84495.329999999987</v>
      </c>
      <c r="H18" s="387"/>
      <c r="I18" s="387">
        <f t="shared" si="1"/>
        <v>87452.66654999998</v>
      </c>
      <c r="J18" s="387"/>
      <c r="K18" s="387">
        <f t="shared" si="2"/>
        <v>90513.509879249978</v>
      </c>
      <c r="L18" s="387"/>
      <c r="M18" s="387">
        <f t="shared" si="3"/>
        <v>93681.482725023714</v>
      </c>
      <c r="N18" s="387"/>
      <c r="O18" s="387">
        <f t="shared" si="4"/>
        <v>96960.334620399532</v>
      </c>
      <c r="P18" s="387"/>
      <c r="Q18" s="387">
        <f t="shared" si="5"/>
        <v>100353.94633211351</v>
      </c>
      <c r="R18" s="387"/>
      <c r="S18" s="387">
        <f t="shared" si="6"/>
        <v>103866.33445373748</v>
      </c>
      <c r="T18" s="387"/>
      <c r="U18" s="387">
        <f t="shared" si="7"/>
        <v>107501.65615961829</v>
      </c>
      <c r="V18" s="387"/>
      <c r="W18" s="387">
        <f t="shared" si="8"/>
        <v>111264.21412520492</v>
      </c>
      <c r="X18" s="387"/>
      <c r="Y18" s="387">
        <f t="shared" si="9"/>
        <v>115158.46161958708</v>
      </c>
      <c r="Z18" s="387"/>
      <c r="AA18" s="387">
        <f t="shared" si="10"/>
        <v>119189.00777627261</v>
      </c>
      <c r="AB18" s="387"/>
      <c r="AC18" s="387">
        <f t="shared" si="11"/>
        <v>123360.62304844214</v>
      </c>
      <c r="AD18" s="387"/>
      <c r="AE18" s="387">
        <f t="shared" si="12"/>
        <v>127678.2448551376</v>
      </c>
      <c r="AF18" s="387"/>
      <c r="AG18" s="387">
        <f t="shared" si="13"/>
        <v>132146.98342506742</v>
      </c>
    </row>
    <row r="19" spans="1:34" ht="14.25">
      <c r="A19" s="376" t="s">
        <v>931</v>
      </c>
      <c r="B19" s="376"/>
      <c r="C19" s="398"/>
      <c r="D19" s="376"/>
      <c r="E19" s="387">
        <f>Application!W842</f>
        <v>22500</v>
      </c>
      <c r="F19" s="387"/>
      <c r="G19" s="387">
        <f t="shared" si="0"/>
        <v>23287.5</v>
      </c>
      <c r="H19" s="387"/>
      <c r="I19" s="387">
        <f t="shared" si="1"/>
        <v>24102.562499999996</v>
      </c>
      <c r="J19" s="387"/>
      <c r="K19" s="387">
        <f t="shared" si="2"/>
        <v>24946.152187499993</v>
      </c>
      <c r="L19" s="387"/>
      <c r="M19" s="387">
        <f t="shared" si="3"/>
        <v>25819.267514062489</v>
      </c>
      <c r="N19" s="387"/>
      <c r="O19" s="387">
        <f t="shared" si="4"/>
        <v>26722.941877054673</v>
      </c>
      <c r="P19" s="387"/>
      <c r="Q19" s="387">
        <f t="shared" si="5"/>
        <v>27658.244842751585</v>
      </c>
      <c r="R19" s="387"/>
      <c r="S19" s="387">
        <f t="shared" si="6"/>
        <v>28626.283412247889</v>
      </c>
      <c r="T19" s="387"/>
      <c r="U19" s="387">
        <f t="shared" si="7"/>
        <v>29628.203331676563</v>
      </c>
      <c r="V19" s="387"/>
      <c r="W19" s="387">
        <f t="shared" si="8"/>
        <v>30665.190448285241</v>
      </c>
      <c r="X19" s="387"/>
      <c r="Y19" s="387">
        <f t="shared" si="9"/>
        <v>31738.472113975222</v>
      </c>
      <c r="Z19" s="387"/>
      <c r="AA19" s="387">
        <f t="shared" si="10"/>
        <v>32849.318637964352</v>
      </c>
      <c r="AB19" s="387"/>
      <c r="AC19" s="387">
        <f t="shared" si="11"/>
        <v>33999.044790293105</v>
      </c>
      <c r="AD19" s="387"/>
      <c r="AE19" s="387">
        <f t="shared" si="12"/>
        <v>35189.011357953357</v>
      </c>
      <c r="AF19" s="387"/>
      <c r="AG19" s="387">
        <f t="shared" si="13"/>
        <v>36420.626755481724</v>
      </c>
    </row>
    <row r="20" spans="1:34" ht="14.25">
      <c r="A20" s="376" t="s">
        <v>55</v>
      </c>
      <c r="B20" s="376"/>
      <c r="C20" s="398"/>
      <c r="D20" s="376"/>
      <c r="E20" s="387">
        <f>Application!W851</f>
        <v>31557</v>
      </c>
      <c r="F20" s="387"/>
      <c r="G20" s="387">
        <f t="shared" si="0"/>
        <v>32661.494999999999</v>
      </c>
      <c r="H20" s="387"/>
      <c r="I20" s="387">
        <f t="shared" si="1"/>
        <v>33804.647324999998</v>
      </c>
      <c r="J20" s="387"/>
      <c r="K20" s="387">
        <f t="shared" si="2"/>
        <v>34987.809981374994</v>
      </c>
      <c r="L20" s="387"/>
      <c r="M20" s="387">
        <f t="shared" si="3"/>
        <v>36212.383330723118</v>
      </c>
      <c r="N20" s="387"/>
      <c r="O20" s="387">
        <f t="shared" si="4"/>
        <v>37479.816747298428</v>
      </c>
      <c r="P20" s="387"/>
      <c r="Q20" s="387">
        <f t="shared" si="5"/>
        <v>38791.610333453871</v>
      </c>
      <c r="R20" s="387"/>
      <c r="S20" s="387">
        <f t="shared" si="6"/>
        <v>40149.316695124755</v>
      </c>
      <c r="T20" s="387"/>
      <c r="U20" s="387">
        <f t="shared" si="7"/>
        <v>41554.542779454117</v>
      </c>
      <c r="V20" s="387"/>
      <c r="W20" s="387">
        <f t="shared" si="8"/>
        <v>43008.951776735012</v>
      </c>
      <c r="X20" s="387"/>
      <c r="Y20" s="387">
        <f t="shared" si="9"/>
        <v>44514.265088920736</v>
      </c>
      <c r="Z20" s="387"/>
      <c r="AA20" s="387">
        <f t="shared" si="10"/>
        <v>46072.264367032956</v>
      </c>
      <c r="AB20" s="387"/>
      <c r="AC20" s="387">
        <f t="shared" si="11"/>
        <v>47684.793619879107</v>
      </c>
      <c r="AD20" s="387"/>
      <c r="AE20" s="387">
        <f t="shared" si="12"/>
        <v>49353.761396574875</v>
      </c>
      <c r="AF20" s="387"/>
      <c r="AG20" s="387">
        <f t="shared" si="13"/>
        <v>51081.143045454992</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214370</v>
      </c>
      <c r="F22" s="388"/>
      <c r="G22" s="388">
        <f>SUM(G15:G21)</f>
        <v>221872.94999999998</v>
      </c>
      <c r="H22" s="388"/>
      <c r="I22" s="388">
        <f>SUM(I15:I21)</f>
        <v>229638.50324999998</v>
      </c>
      <c r="J22" s="388"/>
      <c r="K22" s="388">
        <f>SUM(K15:K21)</f>
        <v>237675.85086374995</v>
      </c>
      <c r="L22" s="388"/>
      <c r="M22" s="388">
        <f>SUM(M15:M21)</f>
        <v>245994.50564398116</v>
      </c>
      <c r="N22" s="388"/>
      <c r="O22" s="388">
        <f>SUM(O15:O21)</f>
        <v>254604.31334152049</v>
      </c>
      <c r="P22" s="388"/>
      <c r="Q22" s="388">
        <f>SUM(Q15:Q21)</f>
        <v>263515.46430847369</v>
      </c>
      <c r="R22" s="388"/>
      <c r="S22" s="388">
        <f>SUM(S15:S21)</f>
        <v>272738.50555927027</v>
      </c>
      <c r="T22" s="388"/>
      <c r="U22" s="388">
        <f>SUM(U15:U21)</f>
        <v>282284.35325384472</v>
      </c>
      <c r="V22" s="388"/>
      <c r="W22" s="388">
        <f>SUM(W15:W21)</f>
        <v>292164.30561772926</v>
      </c>
      <c r="X22" s="388"/>
      <c r="Y22" s="388">
        <f>SUM(Y15:Y21)</f>
        <v>302390.05631434976</v>
      </c>
      <c r="Z22" s="388"/>
      <c r="AA22" s="388">
        <f>SUM(AA15:AA21)</f>
        <v>312973.70828535198</v>
      </c>
      <c r="AB22" s="388"/>
      <c r="AC22" s="388">
        <f>SUM(AC15:AC21)</f>
        <v>323927.78807533928</v>
      </c>
      <c r="AD22" s="388"/>
      <c r="AE22" s="388">
        <f>SUM(AE15:AE21)</f>
        <v>335265.26065797615</v>
      </c>
      <c r="AF22" s="388"/>
      <c r="AG22" s="388">
        <f>SUM(AG15:AG21)</f>
        <v>346999.54478100524</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20000</v>
      </c>
      <c r="F27" s="387"/>
      <c r="G27" s="387">
        <f>E27*$C$27</f>
        <v>20700</v>
      </c>
      <c r="H27" s="387"/>
      <c r="I27" s="387">
        <f>G27*$C$27</f>
        <v>21424.5</v>
      </c>
      <c r="J27" s="387"/>
      <c r="K27" s="387">
        <f>I27*$C$27</f>
        <v>22174.357499999998</v>
      </c>
      <c r="L27" s="387"/>
      <c r="M27" s="387">
        <f>K27*$C$27</f>
        <v>22950.460012499996</v>
      </c>
      <c r="N27" s="387"/>
      <c r="O27" s="387">
        <f>M27*$C$27</f>
        <v>23753.726112937493</v>
      </c>
      <c r="P27" s="387"/>
      <c r="Q27" s="387">
        <f>O27*$C$27</f>
        <v>24585.106526890304</v>
      </c>
      <c r="R27" s="387"/>
      <c r="S27" s="387">
        <f>Q27*$C$27</f>
        <v>25445.585255331462</v>
      </c>
      <c r="T27" s="387"/>
      <c r="U27" s="387">
        <f>S27*$C$27</f>
        <v>26336.18073926806</v>
      </c>
      <c r="V27" s="387"/>
      <c r="W27" s="387">
        <f>U27*$C$27</f>
        <v>27257.947065142442</v>
      </c>
      <c r="X27" s="387"/>
      <c r="Y27" s="387">
        <f>W27*$C$27</f>
        <v>28211.975212422425</v>
      </c>
      <c r="Z27" s="387"/>
      <c r="AA27" s="387">
        <f>Y27*$C$27</f>
        <v>29199.394344857206</v>
      </c>
      <c r="AB27" s="387"/>
      <c r="AC27" s="387">
        <f>AA27*$C$27</f>
        <v>30221.373146927206</v>
      </c>
      <c r="AD27" s="387"/>
      <c r="AE27" s="387">
        <f>AC27*$C$27</f>
        <v>31279.121207069657</v>
      </c>
      <c r="AF27" s="387"/>
      <c r="AG27" s="387">
        <f>AE27*$C$27</f>
        <v>32373.890449317092</v>
      </c>
    </row>
    <row r="28" spans="1:34" ht="14.25">
      <c r="A28" s="599" t="s">
        <v>1082</v>
      </c>
      <c r="B28" s="376"/>
      <c r="C28" s="407">
        <v>1.03</v>
      </c>
      <c r="D28" s="376"/>
      <c r="E28" s="387">
        <f>Application!AC868</f>
        <v>14000</v>
      </c>
      <c r="F28" s="387"/>
      <c r="G28" s="387">
        <f>$E$28*1.03</f>
        <v>14420</v>
      </c>
      <c r="H28" s="387"/>
      <c r="I28" s="387">
        <f>$G$28*1.03</f>
        <v>14852.6</v>
      </c>
      <c r="J28" s="387"/>
      <c r="K28" s="387">
        <f>$I$28*1.03</f>
        <v>15298.178</v>
      </c>
      <c r="L28" s="387"/>
      <c r="M28" s="387">
        <f>$K$28*1.03</f>
        <v>15757.12334</v>
      </c>
      <c r="N28" s="387"/>
      <c r="O28" s="387">
        <f>$M$28*1.03</f>
        <v>16229.8370402</v>
      </c>
      <c r="P28" s="387"/>
      <c r="Q28" s="387">
        <f>$O$28*1.03</f>
        <v>16716.732151406002</v>
      </c>
      <c r="R28" s="387"/>
      <c r="S28" s="387">
        <f>$Q$28*1.03</f>
        <v>17218.234115948184</v>
      </c>
      <c r="T28" s="387"/>
      <c r="U28" s="387">
        <f>$S$28*1.03</f>
        <v>17734.781139426628</v>
      </c>
      <c r="V28" s="387"/>
      <c r="W28" s="387">
        <f>$U$28*1.03</f>
        <v>18266.824573609429</v>
      </c>
      <c r="X28" s="387"/>
      <c r="Y28" s="387">
        <f>$W$28*1.03</f>
        <v>18814.829310817713</v>
      </c>
      <c r="Z28" s="387"/>
      <c r="AA28" s="387">
        <f>$Y$28*1.03</f>
        <v>19379.274190142245</v>
      </c>
      <c r="AB28" s="387"/>
      <c r="AC28" s="387">
        <f>$AA$28*1.03</f>
        <v>19960.652415846514</v>
      </c>
      <c r="AD28" s="387"/>
      <c r="AE28" s="387">
        <f>$AC$28*1.03</f>
        <v>20559.471988321911</v>
      </c>
      <c r="AF28" s="387"/>
      <c r="AG28" s="387">
        <f>$AE$28*1.03</f>
        <v>21176.25614797157</v>
      </c>
    </row>
    <row r="29" spans="1:34" ht="14.25">
      <c r="A29" s="599" t="s">
        <v>1940</v>
      </c>
      <c r="B29" s="376"/>
      <c r="C29" s="407"/>
      <c r="D29" s="376"/>
      <c r="E29" s="387">
        <f>Application!AC869</f>
        <v>3640</v>
      </c>
      <c r="F29" s="387"/>
      <c r="G29" s="387">
        <f>$E$29</f>
        <v>3640</v>
      </c>
      <c r="H29" s="387"/>
      <c r="I29" s="387">
        <f>$E$29</f>
        <v>3640</v>
      </c>
      <c r="J29" s="387"/>
      <c r="K29" s="387">
        <f>$E$29</f>
        <v>3640</v>
      </c>
      <c r="L29" s="387"/>
      <c r="M29" s="387">
        <f>$E$29</f>
        <v>3640</v>
      </c>
      <c r="N29" s="387"/>
      <c r="O29" s="387">
        <f>$E$29</f>
        <v>3640</v>
      </c>
      <c r="P29" s="387"/>
      <c r="Q29" s="387">
        <f>$E$29</f>
        <v>3640</v>
      </c>
      <c r="R29" s="387"/>
      <c r="S29" s="387">
        <f>$E$29</f>
        <v>3640</v>
      </c>
      <c r="T29" s="387"/>
      <c r="U29" s="387">
        <f>$E$29</f>
        <v>3640</v>
      </c>
      <c r="V29" s="387"/>
      <c r="W29" s="387">
        <f>$E$29</f>
        <v>3640</v>
      </c>
      <c r="X29" s="387"/>
      <c r="Y29" s="387">
        <f>$E$29</f>
        <v>3640</v>
      </c>
      <c r="Z29" s="387"/>
      <c r="AA29" s="387">
        <f>$E$29</f>
        <v>3640</v>
      </c>
      <c r="AB29" s="387"/>
      <c r="AC29" s="387">
        <f>$E$29</f>
        <v>3640</v>
      </c>
      <c r="AD29" s="387"/>
      <c r="AE29" s="387">
        <f>$E$29</f>
        <v>3640</v>
      </c>
      <c r="AF29" s="387"/>
      <c r="AG29" s="387">
        <f>$E$29</f>
        <v>3640</v>
      </c>
    </row>
    <row r="30" spans="1:34" ht="14.25">
      <c r="A30" s="599" t="s">
        <v>1083</v>
      </c>
      <c r="B30" s="376"/>
      <c r="C30" s="407">
        <v>1.02</v>
      </c>
      <c r="D30" s="376"/>
      <c r="E30" s="387">
        <f>Application!AC870</f>
        <v>8400</v>
      </c>
      <c r="F30" s="387"/>
      <c r="G30" s="387">
        <f>E30*$C$30</f>
        <v>8568</v>
      </c>
      <c r="H30" s="387"/>
      <c r="I30" s="387">
        <f>G30*$C$30</f>
        <v>8739.36</v>
      </c>
      <c r="J30" s="387"/>
      <c r="K30" s="387">
        <f>I30*$C$30</f>
        <v>8914.1472000000012</v>
      </c>
      <c r="L30" s="387"/>
      <c r="M30" s="387">
        <f>K30*$C$30</f>
        <v>9092.4301440000017</v>
      </c>
      <c r="N30" s="387"/>
      <c r="O30" s="387">
        <f>M30*$C$30</f>
        <v>9274.2787468800016</v>
      </c>
      <c r="P30" s="387"/>
      <c r="Q30" s="387">
        <f>O30*$C$30</f>
        <v>9459.7643218176017</v>
      </c>
      <c r="R30" s="387"/>
      <c r="S30" s="387">
        <f>Q30*$C$30</f>
        <v>9648.9596082539538</v>
      </c>
      <c r="T30" s="387"/>
      <c r="U30" s="387">
        <f>S30*$C$30</f>
        <v>9841.9388004190332</v>
      </c>
      <c r="V30" s="387"/>
      <c r="W30" s="387">
        <f>U30*$C$30</f>
        <v>10038.777576427414</v>
      </c>
      <c r="X30" s="387"/>
      <c r="Y30" s="387">
        <f>W30*$C$30</f>
        <v>10239.553127955962</v>
      </c>
      <c r="Z30" s="387"/>
      <c r="AA30" s="387">
        <f>Y30*$C$30</f>
        <v>10444.344190515081</v>
      </c>
      <c r="AB30" s="387"/>
      <c r="AC30" s="387">
        <f>AA30*$C$30</f>
        <v>10653.231074325384</v>
      </c>
      <c r="AD30" s="387"/>
      <c r="AE30" s="387">
        <f>AC30*$C$30</f>
        <v>10866.295695811892</v>
      </c>
      <c r="AF30" s="387"/>
      <c r="AG30" s="387">
        <f>AE30*$C$30</f>
        <v>11083.62160972813</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260410</v>
      </c>
      <c r="F35" s="388"/>
      <c r="G35" s="388">
        <f>SUM(G22:G33)</f>
        <v>269200.94999999995</v>
      </c>
      <c r="H35" s="388"/>
      <c r="I35" s="388">
        <f>SUM(I22:I33)</f>
        <v>278294.96324999997</v>
      </c>
      <c r="J35" s="388"/>
      <c r="K35" s="388">
        <f>SUM(K22:K33)</f>
        <v>287702.53356374998</v>
      </c>
      <c r="L35" s="388"/>
      <c r="M35" s="388">
        <f>SUM(M22:M33)</f>
        <v>297434.51914048113</v>
      </c>
      <c r="N35" s="388"/>
      <c r="O35" s="388">
        <f>SUM(O22:O33)</f>
        <v>307502.15524153801</v>
      </c>
      <c r="P35" s="388"/>
      <c r="Q35" s="388">
        <f>SUM(Q22:Q33)</f>
        <v>317917.0673085876</v>
      </c>
      <c r="R35" s="388"/>
      <c r="S35" s="388">
        <f>SUM(S22:S33)</f>
        <v>328691.28453880391</v>
      </c>
      <c r="T35" s="388"/>
      <c r="U35" s="388">
        <f>SUM(U22:U33)</f>
        <v>339837.25393295847</v>
      </c>
      <c r="V35" s="388"/>
      <c r="W35" s="388">
        <f>SUM(W22:W33)</f>
        <v>351367.8548329086</v>
      </c>
      <c r="X35" s="388"/>
      <c r="Y35" s="388">
        <f>SUM(Y22:Y33)</f>
        <v>363296.41396554583</v>
      </c>
      <c r="Z35" s="388"/>
      <c r="AA35" s="388">
        <f>SUM(AA22:AA33)</f>
        <v>375636.72101086646</v>
      </c>
      <c r="AB35" s="388"/>
      <c r="AC35" s="388">
        <f>SUM(AC22:AC33)</f>
        <v>388403.04471243842</v>
      </c>
      <c r="AD35" s="388"/>
      <c r="AE35" s="388">
        <f>SUM(AE22:AE33)</f>
        <v>401610.14954917965</v>
      </c>
      <c r="AF35" s="388"/>
      <c r="AG35" s="388">
        <f>SUM(AG22:AG33)</f>
        <v>415273.31298802205</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76741.200000000012</v>
      </c>
      <c r="F37" s="388"/>
      <c r="G37" s="388">
        <f>G11-G35</f>
        <v>76379.030000000028</v>
      </c>
      <c r="H37" s="388"/>
      <c r="I37" s="388">
        <f>I11-I35</f>
        <v>75924.516249999986</v>
      </c>
      <c r="J37" s="388"/>
      <c r="K37" s="388">
        <f>K11-K35</f>
        <v>75372.432923749904</v>
      </c>
      <c r="L37" s="388"/>
      <c r="M37" s="388">
        <f>M11-M35</f>
        <v>74717.321509206202</v>
      </c>
      <c r="N37" s="388"/>
      <c r="O37" s="388">
        <f>O11-O35</f>
        <v>73953.481424391503</v>
      </c>
      <c r="P37" s="388"/>
      <c r="Q37" s="388">
        <f>Q11-Q35</f>
        <v>73074.960273990058</v>
      </c>
      <c r="R37" s="388"/>
      <c r="S37" s="388">
        <f>S11-S35</f>
        <v>72075.543733338243</v>
      </c>
      <c r="T37" s="388"/>
      <c r="U37" s="388">
        <f>U11-U35</f>
        <v>70948.745045987132</v>
      </c>
      <c r="V37" s="388"/>
      <c r="W37" s="388">
        <f>W11-W35</f>
        <v>69687.794120510691</v>
      </c>
      <c r="X37" s="388"/>
      <c r="Y37" s="388">
        <f>Y11-Y35</f>
        <v>68285.626211708877</v>
      </c>
      <c r="Z37" s="388"/>
      <c r="AA37" s="388">
        <f>AA11-AA35</f>
        <v>66734.870170819515</v>
      </c>
      <c r="AB37" s="388"/>
      <c r="AC37" s="388">
        <f>AC11-AC35</f>
        <v>65027.836248789681</v>
      </c>
      <c r="AD37" s="388"/>
      <c r="AE37" s="388">
        <f>AE11-AE35</f>
        <v>63156.503436079132</v>
      </c>
      <c r="AF37" s="388"/>
      <c r="AG37" s="388">
        <f>AG11-AG35</f>
        <v>61112.506321868103</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Citibank N.A.</v>
      </c>
      <c r="B40" s="391"/>
      <c r="C40" s="385"/>
      <c r="D40" s="376"/>
      <c r="E40" s="384">
        <f>Application!AF621</f>
        <v>61590</v>
      </c>
      <c r="F40" s="384"/>
      <c r="G40" s="384">
        <f>$E$40</f>
        <v>61590</v>
      </c>
      <c r="H40" s="384"/>
      <c r="I40" s="384">
        <f>$E$40</f>
        <v>61590</v>
      </c>
      <c r="J40" s="384"/>
      <c r="K40" s="384">
        <f>$E$40</f>
        <v>61590</v>
      </c>
      <c r="L40" s="384"/>
      <c r="M40" s="384">
        <f>$E$40</f>
        <v>61590</v>
      </c>
      <c r="N40" s="384"/>
      <c r="O40" s="384">
        <f>$E$40</f>
        <v>61590</v>
      </c>
      <c r="P40" s="384"/>
      <c r="Q40" s="384">
        <f>$E$40</f>
        <v>61590</v>
      </c>
      <c r="R40" s="384"/>
      <c r="S40" s="384">
        <f>$E$40</f>
        <v>61590</v>
      </c>
      <c r="T40" s="384"/>
      <c r="U40" s="384">
        <f>$E$40</f>
        <v>61590</v>
      </c>
      <c r="V40" s="384"/>
      <c r="W40" s="384">
        <f>$E$40</f>
        <v>61590</v>
      </c>
      <c r="X40" s="384"/>
      <c r="Y40" s="384">
        <v>0</v>
      </c>
      <c r="Z40" s="384"/>
      <c r="AA40" s="384">
        <v>0</v>
      </c>
      <c r="AB40" s="384"/>
      <c r="AC40" s="384">
        <v>0</v>
      </c>
      <c r="AD40" s="384"/>
      <c r="AE40" s="384">
        <v>0</v>
      </c>
      <c r="AF40" s="384"/>
      <c r="AG40" s="384">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61590</v>
      </c>
      <c r="F43" s="388"/>
      <c r="G43" s="388">
        <f>SUM(G40:G42)</f>
        <v>61590</v>
      </c>
      <c r="H43" s="388"/>
      <c r="I43" s="388">
        <f>SUM(I40:I42)</f>
        <v>61590</v>
      </c>
      <c r="J43" s="388"/>
      <c r="K43" s="388">
        <f>SUM(K40:K42)</f>
        <v>61590</v>
      </c>
      <c r="L43" s="388"/>
      <c r="M43" s="388">
        <f>SUM(M40:M42)</f>
        <v>61590</v>
      </c>
      <c r="N43" s="388"/>
      <c r="O43" s="388">
        <f>SUM(O40:O42)</f>
        <v>61590</v>
      </c>
      <c r="P43" s="388"/>
      <c r="Q43" s="388">
        <f>SUM(Q40:Q42)</f>
        <v>61590</v>
      </c>
      <c r="R43" s="388"/>
      <c r="S43" s="388">
        <f>SUM(S40:S42)</f>
        <v>61590</v>
      </c>
      <c r="T43" s="388"/>
      <c r="U43" s="388">
        <f>SUM(U40:U42)</f>
        <v>61590</v>
      </c>
      <c r="V43" s="388"/>
      <c r="W43" s="388">
        <f>SUM(W40:W42)</f>
        <v>61590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15151.200000000012</v>
      </c>
      <c r="F45" s="388"/>
      <c r="G45" s="388">
        <f>G37-G43</f>
        <v>14789.030000000028</v>
      </c>
      <c r="H45" s="388"/>
      <c r="I45" s="388">
        <f>I37-I43</f>
        <v>14334.516249999986</v>
      </c>
      <c r="J45" s="388"/>
      <c r="K45" s="388">
        <f>K37-K43</f>
        <v>13782.432923749904</v>
      </c>
      <c r="L45" s="388"/>
      <c r="M45" s="388">
        <f>M37-M43</f>
        <v>13127.321509206202</v>
      </c>
      <c r="N45" s="388"/>
      <c r="O45" s="388">
        <f>O37-O43</f>
        <v>12363.481424391503</v>
      </c>
      <c r="P45" s="388"/>
      <c r="Q45" s="388">
        <f>Q37-Q43</f>
        <v>11484.960273990058</v>
      </c>
      <c r="R45" s="388"/>
      <c r="S45" s="388">
        <f>S37-S43</f>
        <v>10485.543733338243</v>
      </c>
      <c r="T45" s="388"/>
      <c r="U45" s="388">
        <f>U37-U43</f>
        <v>9358.7450459871325</v>
      </c>
      <c r="V45" s="388"/>
      <c r="W45" s="388">
        <f>W37-W43</f>
        <v>8097.7941205106908</v>
      </c>
      <c r="X45" s="388"/>
      <c r="Y45" s="388">
        <f>Y37-Y43</f>
        <v>68285.626211708877</v>
      </c>
      <c r="Z45" s="388"/>
      <c r="AA45" s="388">
        <f>AA37-AA43</f>
        <v>66734.870170819515</v>
      </c>
      <c r="AB45" s="388"/>
      <c r="AC45" s="388">
        <f>AC37-AC43</f>
        <v>65027.836248789681</v>
      </c>
      <c r="AD45" s="388"/>
      <c r="AE45" s="388">
        <f>AE37-AE43</f>
        <v>63156.503436079132</v>
      </c>
      <c r="AF45" s="388"/>
      <c r="AG45" s="388">
        <f>AG37-AG43</f>
        <v>61112.506321868103</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4.2691943555295105E-2</v>
      </c>
      <c r="F47" s="392"/>
      <c r="G47" s="392">
        <f>G45/(G4+G6+G8)</f>
        <v>4.0655070643849302E-2</v>
      </c>
      <c r="H47" s="392"/>
      <c r="I47" s="392">
        <f>I45/(I4+I6+I8)</f>
        <v>3.8444499034108001E-2</v>
      </c>
      <c r="J47" s="392"/>
      <c r="K47" s="392">
        <f>K45/(K4+K6+K8)</f>
        <v>3.6062280482268366E-2</v>
      </c>
      <c r="L47" s="392"/>
      <c r="M47" s="392">
        <f>M45/(M4+M6+M8)</f>
        <v>3.3510395681436406E-2</v>
      </c>
      <c r="N47" s="392"/>
      <c r="O47" s="392">
        <f>O45/(O4+O6+O8)</f>
        <v>3.0790755789665284E-2</v>
      </c>
      <c r="P47" s="392"/>
      <c r="Q47" s="392">
        <f>Q45/(Q4+Q6+Q8)</f>
        <v>2.7905203918732611E-2</v>
      </c>
      <c r="R47" s="392"/>
      <c r="S47" s="392">
        <f>S45/(S4+S6+S8)</f>
        <v>2.4855516584588927E-2</v>
      </c>
      <c r="T47" s="392"/>
      <c r="U47" s="392">
        <f>U45/(U4+U6+U8)</f>
        <v>2.1643405120395701E-2</v>
      </c>
      <c r="V47" s="392"/>
      <c r="W47" s="392">
        <f>W45/(W4+W6+W8)</f>
        <v>1.8270517053046855E-2</v>
      </c>
      <c r="X47" s="392"/>
      <c r="Y47" s="392">
        <f>Y45/(Y4+Y6+Y8)</f>
        <v>0.15031057565435341</v>
      </c>
      <c r="Z47" s="392"/>
      <c r="AA47" s="392">
        <f>AA45/(AA4+AA6+AA8)</f>
        <v>0.14331419088853822</v>
      </c>
      <c r="AB47" s="392"/>
      <c r="AC47" s="392">
        <f>AC45/(AC4+AC6+AC8)</f>
        <v>0.13624225219374189</v>
      </c>
      <c r="AD47" s="392"/>
      <c r="AE47" s="392">
        <f>AE45/(AE4+AE6+AE8)</f>
        <v>0.12909419787090057</v>
      </c>
      <c r="AF47" s="392"/>
      <c r="AG47" s="392">
        <f>AG45/(AG4+AG6+AG8)</f>
        <v>0.12186945675645426</v>
      </c>
      <c r="AH47" s="392"/>
      <c r="AI47" s="392"/>
    </row>
    <row r="48" spans="1:35" ht="14.25">
      <c r="A48" s="392" t="s">
        <v>1089</v>
      </c>
      <c r="B48" s="392"/>
      <c r="C48" s="385"/>
      <c r="D48" s="392"/>
      <c r="E48" s="392">
        <f>E45/E43</f>
        <v>0.24600097418412098</v>
      </c>
      <c r="F48" s="392"/>
      <c r="G48" s="392">
        <f>G45/G43</f>
        <v>0.24012063646695939</v>
      </c>
      <c r="H48" s="392"/>
      <c r="I48" s="392">
        <f>I45/I43</f>
        <v>0.23274096850137987</v>
      </c>
      <c r="J48" s="392"/>
      <c r="K48" s="392">
        <f>K45/K43</f>
        <v>0.22377712167153604</v>
      </c>
      <c r="L48" s="392"/>
      <c r="M48" s="392">
        <f>M45/M43</f>
        <v>0.21314046938149378</v>
      </c>
      <c r="N48" s="392"/>
      <c r="O48" s="392">
        <f>O45/O43</f>
        <v>0.20073845469055857</v>
      </c>
      <c r="P48" s="392"/>
      <c r="Q48" s="392">
        <f>Q45/Q43</f>
        <v>0.18647443211544176</v>
      </c>
      <c r="R48" s="392"/>
      <c r="S48" s="392">
        <f>S45/S43</f>
        <v>0.17024750338266348</v>
      </c>
      <c r="T48" s="392"/>
      <c r="U48" s="392">
        <f>U45/U43</f>
        <v>0.15195234690675649</v>
      </c>
      <c r="V48" s="392"/>
      <c r="W48" s="392">
        <f>W45/W43</f>
        <v>0.13147904076166084</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f>E37/E43</f>
        <v>1.2460009741841209</v>
      </c>
      <c r="F49" s="393"/>
      <c r="G49" s="393">
        <f>G37/G43</f>
        <v>1.2401206364669595</v>
      </c>
      <c r="H49" s="393"/>
      <c r="I49" s="393">
        <f>I37/I43</f>
        <v>1.2327409685013799</v>
      </c>
      <c r="J49" s="393"/>
      <c r="K49" s="393">
        <f>K37/K43</f>
        <v>1.2237771216715361</v>
      </c>
      <c r="L49" s="393"/>
      <c r="M49" s="393">
        <f>M37/M43</f>
        <v>1.2131404693814938</v>
      </c>
      <c r="N49" s="393"/>
      <c r="O49" s="393">
        <f>O37/O43</f>
        <v>1.2007384546905586</v>
      </c>
      <c r="P49" s="393"/>
      <c r="Q49" s="393">
        <f>Q37/Q43</f>
        <v>1.1864744321154417</v>
      </c>
      <c r="R49" s="393"/>
      <c r="S49" s="393">
        <f>S37/S43</f>
        <v>1.1702475033826634</v>
      </c>
      <c r="T49" s="393"/>
      <c r="U49" s="393">
        <f>U37/U43</f>
        <v>1.1519523469067565</v>
      </c>
      <c r="V49" s="393"/>
      <c r="W49" s="393">
        <f>W37/W43</f>
        <v>1.1314790407616608</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v>7151</v>
      </c>
      <c r="F53" s="374"/>
      <c r="G53" s="819">
        <v>6549</v>
      </c>
      <c r="H53" s="819"/>
      <c r="I53" s="819">
        <v>5848</v>
      </c>
      <c r="J53" s="819"/>
      <c r="K53" s="819">
        <v>5040</v>
      </c>
      <c r="L53" s="819"/>
      <c r="M53" s="819">
        <v>4123</v>
      </c>
      <c r="N53" s="819"/>
      <c r="O53" s="819">
        <v>3089</v>
      </c>
      <c r="P53" s="819"/>
      <c r="Q53" s="819">
        <v>1933</v>
      </c>
      <c r="R53" s="819"/>
      <c r="S53" s="819">
        <v>647</v>
      </c>
      <c r="T53" s="819"/>
      <c r="U53" s="819">
        <f>S53*$C$53</f>
        <v>0</v>
      </c>
      <c r="V53" s="819"/>
      <c r="W53" s="819">
        <f>U53*$C$53</f>
        <v>0</v>
      </c>
      <c r="X53" s="819"/>
      <c r="Y53" s="819">
        <v>21502</v>
      </c>
      <c r="Z53" s="819"/>
      <c r="AA53" s="819">
        <v>22148</v>
      </c>
      <c r="AB53" s="819"/>
      <c r="AC53" s="819">
        <v>22812</v>
      </c>
      <c r="AD53" s="819"/>
      <c r="AE53" s="819">
        <v>23496</v>
      </c>
      <c r="AF53" s="819"/>
      <c r="AG53" s="819">
        <v>24202</v>
      </c>
      <c r="AH53" s="374"/>
      <c r="AI53" s="374"/>
    </row>
    <row r="54" spans="1:35">
      <c r="A54" s="361" t="s">
        <v>1093</v>
      </c>
      <c r="B54" s="361"/>
      <c r="C54" s="409"/>
      <c r="D54" s="361"/>
      <c r="E54" s="402">
        <v>8000</v>
      </c>
      <c r="F54" s="380"/>
      <c r="G54" s="818">
        <v>8240</v>
      </c>
      <c r="H54" s="818"/>
      <c r="I54" s="818">
        <v>8487</v>
      </c>
      <c r="J54" s="818"/>
      <c r="K54" s="818">
        <v>8742</v>
      </c>
      <c r="L54" s="818"/>
      <c r="M54" s="818">
        <v>9004</v>
      </c>
      <c r="N54" s="818"/>
      <c r="O54" s="818">
        <v>9274</v>
      </c>
      <c r="P54" s="818"/>
      <c r="Q54" s="818">
        <v>9552</v>
      </c>
      <c r="R54" s="818"/>
      <c r="S54" s="818">
        <v>9839</v>
      </c>
      <c r="T54" s="818"/>
      <c r="U54" s="818">
        <v>9359</v>
      </c>
      <c r="V54" s="818"/>
      <c r="W54" s="818">
        <v>8098</v>
      </c>
      <c r="X54" s="818"/>
      <c r="Y54" s="818">
        <v>10751</v>
      </c>
      <c r="Z54" s="818"/>
      <c r="AA54" s="818">
        <v>11074</v>
      </c>
      <c r="AB54" s="818"/>
      <c r="AC54" s="818">
        <v>11406</v>
      </c>
      <c r="AD54" s="818"/>
      <c r="AE54" s="818">
        <v>11748</v>
      </c>
      <c r="AF54" s="818"/>
      <c r="AG54" s="818">
        <v>12101</v>
      </c>
      <c r="AH54" s="380"/>
      <c r="AI54" s="380"/>
    </row>
    <row r="55" spans="1:35">
      <c r="A55" s="361" t="s">
        <v>1094</v>
      </c>
      <c r="B55" s="361"/>
      <c r="C55" s="409"/>
      <c r="D55" s="361"/>
      <c r="E55" s="402"/>
      <c r="F55" s="380"/>
      <c r="G55" s="818">
        <f t="shared" ref="G55:AG57" si="14">E55*$C$53</f>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15151</v>
      </c>
      <c r="F58" s="380"/>
      <c r="G58" s="380">
        <f>SUM(G53:G57)</f>
        <v>14789</v>
      </c>
      <c r="H58" s="380"/>
      <c r="I58" s="380">
        <f>SUM(I53:I57)</f>
        <v>14335</v>
      </c>
      <c r="J58" s="380"/>
      <c r="K58" s="380">
        <f>SUM(K53:K57)</f>
        <v>13782</v>
      </c>
      <c r="L58" s="380"/>
      <c r="M58" s="380">
        <f>SUM(M53:M57)</f>
        <v>13127</v>
      </c>
      <c r="N58" s="380"/>
      <c r="O58" s="380">
        <f>SUM(O53:O57)</f>
        <v>12363</v>
      </c>
      <c r="P58" s="380"/>
      <c r="Q58" s="380">
        <f>SUM(Q53:Q57)</f>
        <v>11485</v>
      </c>
      <c r="R58" s="380"/>
      <c r="S58" s="380">
        <f>SUM(S53:S57)</f>
        <v>10486</v>
      </c>
      <c r="T58" s="380"/>
      <c r="U58" s="380">
        <f>SUM(U53:U57)</f>
        <v>9359</v>
      </c>
      <c r="V58" s="380"/>
      <c r="W58" s="380">
        <f>SUM(W53:W57)</f>
        <v>8098</v>
      </c>
      <c r="X58" s="380"/>
      <c r="Y58" s="380">
        <f>SUM(Y53:Y57)</f>
        <v>32253</v>
      </c>
      <c r="Z58" s="380"/>
      <c r="AA58" s="380">
        <f>SUM(AA53:AA57)</f>
        <v>33222</v>
      </c>
      <c r="AB58" s="380"/>
      <c r="AC58" s="380">
        <f>SUM(AC53:AC57)</f>
        <v>34218</v>
      </c>
      <c r="AD58" s="380"/>
      <c r="AE58" s="380">
        <f>SUM(AE53:AE57)</f>
        <v>35244</v>
      </c>
      <c r="AF58" s="380"/>
      <c r="AG58" s="380">
        <f>SUM(AG53:AG57)</f>
        <v>36303</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0.20000000001164153</v>
      </c>
      <c r="F60" s="374"/>
      <c r="G60" s="374">
        <f>G45-G58</f>
        <v>3.0000000027939677E-2</v>
      </c>
      <c r="H60" s="374"/>
      <c r="I60" s="374">
        <f>I45-I58</f>
        <v>-0.48375000001396984</v>
      </c>
      <c r="J60" s="374"/>
      <c r="K60" s="374">
        <f>K45-K58</f>
        <v>0.43292374990414828</v>
      </c>
      <c r="L60" s="374"/>
      <c r="M60" s="374">
        <f>M45-M58</f>
        <v>0.32150920620188117</v>
      </c>
      <c r="N60" s="374"/>
      <c r="O60" s="374">
        <f>O45-O58</f>
        <v>0.48142439150251448</v>
      </c>
      <c r="P60" s="374"/>
      <c r="Q60" s="374">
        <f>Q45-Q58</f>
        <v>-3.9726009941659868E-2</v>
      </c>
      <c r="R60" s="374"/>
      <c r="S60" s="374">
        <f>S45-S58</f>
        <v>-0.45626666175667197</v>
      </c>
      <c r="T60" s="374"/>
      <c r="U60" s="374">
        <f>U45-U58</f>
        <v>-0.25495401286752895</v>
      </c>
      <c r="V60" s="374"/>
      <c r="W60" s="374">
        <f>W45-W58</f>
        <v>-0.20587948930915445</v>
      </c>
      <c r="X60" s="374"/>
      <c r="Y60" s="374">
        <f>Y45-Y58</f>
        <v>36032.626211708877</v>
      </c>
      <c r="Z60" s="374"/>
      <c r="AA60" s="374">
        <f>AA45-AA58</f>
        <v>33512.870170819515</v>
      </c>
      <c r="AB60" s="374"/>
      <c r="AC60" s="374">
        <f>AC45-AC58</f>
        <v>30809.836248789681</v>
      </c>
      <c r="AD60" s="374"/>
      <c r="AE60" s="374">
        <f>AE45-AE58</f>
        <v>27912.503436079132</v>
      </c>
      <c r="AF60" s="374"/>
      <c r="AG60" s="374">
        <f>AG45-AG58</f>
        <v>24809.506321868103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c r="H62" s="374"/>
      <c r="I62" s="821"/>
      <c r="J62" s="374"/>
      <c r="K62" s="821"/>
      <c r="L62" s="374"/>
      <c r="M62" s="821"/>
      <c r="N62" s="374"/>
      <c r="O62" s="821"/>
      <c r="P62" s="374"/>
      <c r="Q62" s="821"/>
      <c r="R62" s="374"/>
      <c r="S62" s="821"/>
      <c r="T62" s="374"/>
      <c r="U62" s="821"/>
      <c r="V62" s="374"/>
      <c r="W62" s="821"/>
      <c r="X62" s="374"/>
      <c r="Y62" s="821">
        <v>36033</v>
      </c>
      <c r="Z62" s="374"/>
      <c r="AA62" s="821">
        <v>33513</v>
      </c>
      <c r="AB62" s="374"/>
      <c r="AC62" s="821">
        <v>30810</v>
      </c>
      <c r="AD62" s="374"/>
      <c r="AE62" s="821">
        <v>27913</v>
      </c>
      <c r="AF62" s="374"/>
      <c r="AG62" s="821">
        <v>18731</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2498</v>
      </c>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(AG60-AG62)*0.5</f>
        <v>3039.2531609340513</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3039.2531609340513</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0.20000000001164153</v>
      </c>
      <c r="F72" s="380"/>
      <c r="G72" s="374">
        <f>G60-G62-G70</f>
        <v>3.0000000027939677E-2</v>
      </c>
      <c r="H72" s="380"/>
      <c r="I72" s="374">
        <f>I60-I62-I70</f>
        <v>-0.48375000001396984</v>
      </c>
      <c r="J72" s="380"/>
      <c r="K72" s="374">
        <f>K60-K62-K70</f>
        <v>0.43292374990414828</v>
      </c>
      <c r="L72" s="380"/>
      <c r="M72" s="374">
        <f>M60-M62-M70</f>
        <v>0.32150920620188117</v>
      </c>
      <c r="N72" s="380"/>
      <c r="O72" s="374">
        <f>O60-O62-O70</f>
        <v>0.48142439150251448</v>
      </c>
      <c r="P72" s="380"/>
      <c r="Q72" s="374">
        <f>Q60-Q62-Q70</f>
        <v>-3.9726009941659868E-2</v>
      </c>
      <c r="R72" s="380"/>
      <c r="S72" s="374">
        <f>S60-S62-S70</f>
        <v>-0.45626666175667197</v>
      </c>
      <c r="T72" s="380"/>
      <c r="U72" s="374">
        <f>U60-U62-U70</f>
        <v>-0.25495401286752895</v>
      </c>
      <c r="V72" s="380"/>
      <c r="W72" s="374">
        <f>W60-W62-W70</f>
        <v>-0.20587948930915445</v>
      </c>
      <c r="X72" s="380"/>
      <c r="Y72" s="374">
        <f>Y60-Y62-Y70</f>
        <v>-0.37378829112276435</v>
      </c>
      <c r="Z72" s="380"/>
      <c r="AA72" s="374">
        <f>AA60-AA62-AA70</f>
        <v>-0.12982918048510328</v>
      </c>
      <c r="AB72" s="380"/>
      <c r="AC72" s="374">
        <f>AC60-AC62-AC70</f>
        <v>-0.16375121031887829</v>
      </c>
      <c r="AD72" s="380"/>
      <c r="AE72" s="374">
        <f>AE60-AE62-AE70</f>
        <v>-0.49656392086762935</v>
      </c>
      <c r="AF72" s="380"/>
      <c r="AG72" s="374">
        <f>AG60-AG62-AG70</f>
        <v>3039.2531609340513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8" t="s">
        <v>1099</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1170</v>
      </c>
      <c r="B1" s="1959"/>
      <c r="C1" s="1959"/>
      <c r="D1" s="1959"/>
      <c r="E1" s="1959"/>
      <c r="F1" s="1959"/>
      <c r="G1" s="1959"/>
      <c r="H1" s="1959"/>
      <c r="I1" s="1959"/>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2</v>
      </c>
      <c r="C4" s="602">
        <f>Application!$O695</f>
        <v>600</v>
      </c>
      <c r="D4" s="603"/>
      <c r="E4" s="942"/>
      <c r="F4" s="602">
        <f>$E4*$B4</f>
        <v>0</v>
      </c>
      <c r="G4" s="603"/>
      <c r="H4" s="602">
        <f>IF($E4=0,0,MAX($E4-$C4,0))</f>
        <v>0</v>
      </c>
      <c r="I4" s="602">
        <f>IF($H4=0,0,($H4*$B4))</f>
        <v>0</v>
      </c>
    </row>
    <row r="5" spans="1:9">
      <c r="A5" s="602" t="str">
        <f>Application!$B696</f>
        <v>2 Bedrooms</v>
      </c>
      <c r="B5" s="943">
        <f>Application!$G696</f>
        <v>3</v>
      </c>
      <c r="C5" s="602">
        <f>Application!$O696</f>
        <v>842</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8</v>
      </c>
      <c r="C6" s="602">
        <f>Application!$O697</f>
        <v>1083</v>
      </c>
      <c r="D6" s="603"/>
      <c r="E6" s="942"/>
      <c r="F6" s="602">
        <f t="shared" si="0"/>
        <v>0</v>
      </c>
      <c r="G6" s="603"/>
      <c r="H6" s="602">
        <f t="shared" si="1"/>
        <v>0</v>
      </c>
      <c r="I6" s="602">
        <f t="shared" si="2"/>
        <v>0</v>
      </c>
    </row>
    <row r="7" spans="1:9">
      <c r="A7" s="602" t="str">
        <f>Application!$B698</f>
        <v>2 Bedrooms</v>
      </c>
      <c r="B7" s="943">
        <f>Application!$G698</f>
        <v>4</v>
      </c>
      <c r="C7" s="602">
        <f>Application!$O698</f>
        <v>1324</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t="str">
        <f>Application!$B700</f>
        <v>3 Bedrooms</v>
      </c>
      <c r="B9" s="943">
        <f>Application!$G700</f>
        <v>2</v>
      </c>
      <c r="C9" s="602">
        <f>Application!$O700</f>
        <v>686</v>
      </c>
      <c r="D9" s="603"/>
      <c r="E9" s="942"/>
      <c r="F9" s="602">
        <f t="shared" si="0"/>
        <v>0</v>
      </c>
      <c r="G9" s="603"/>
      <c r="H9" s="602">
        <f t="shared" si="1"/>
        <v>0</v>
      </c>
      <c r="I9" s="602">
        <f t="shared" si="2"/>
        <v>0</v>
      </c>
    </row>
    <row r="10" spans="1:9">
      <c r="A10" s="602" t="str">
        <f>Application!$B701</f>
        <v>3 Bedrooms</v>
      </c>
      <c r="B10" s="943">
        <f>Application!$G701</f>
        <v>2</v>
      </c>
      <c r="C10" s="602">
        <f>Application!$O701</f>
        <v>965</v>
      </c>
      <c r="D10" s="603"/>
      <c r="E10" s="942"/>
      <c r="F10" s="602">
        <f t="shared" si="0"/>
        <v>0</v>
      </c>
      <c r="G10" s="603"/>
      <c r="H10" s="602">
        <f t="shared" si="1"/>
        <v>0</v>
      </c>
      <c r="I10" s="602">
        <f t="shared" si="2"/>
        <v>0</v>
      </c>
    </row>
    <row r="11" spans="1:9">
      <c r="A11" s="602" t="str">
        <f>Application!$B702</f>
        <v>3 Bedrooms</v>
      </c>
      <c r="B11" s="943">
        <f>Application!$G702</f>
        <v>3</v>
      </c>
      <c r="C11" s="602">
        <f>Application!$O702</f>
        <v>1243</v>
      </c>
      <c r="D11" s="603"/>
      <c r="E11" s="942"/>
      <c r="F11" s="602">
        <f t="shared" si="0"/>
        <v>0</v>
      </c>
      <c r="G11" s="603"/>
      <c r="H11" s="602">
        <f t="shared" si="1"/>
        <v>0</v>
      </c>
      <c r="I11" s="602">
        <f t="shared" si="2"/>
        <v>0</v>
      </c>
    </row>
    <row r="12" spans="1:9">
      <c r="A12" s="602" t="str">
        <f>Application!$B703</f>
        <v>3 Bedrooms</v>
      </c>
      <c r="B12" s="943">
        <f>Application!$G703</f>
        <v>3</v>
      </c>
      <c r="C12" s="602">
        <f>Application!$O703</f>
        <v>1522</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351396</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1100</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1606</v>
      </c>
      <c r="U7" s="1595"/>
      <c r="V7" s="1595"/>
      <c r="W7" s="1595"/>
      <c r="X7" s="1595"/>
      <c r="Y7" s="1595" t="s">
        <v>1749</v>
      </c>
      <c r="Z7" s="1595"/>
      <c r="AA7" s="1595"/>
      <c r="AB7" s="1595"/>
      <c r="AC7" s="1595"/>
      <c r="AD7" s="1595" t="s">
        <v>1360</v>
      </c>
      <c r="AE7" s="1595"/>
      <c r="AF7" s="1595"/>
      <c r="AG7" s="1595"/>
      <c r="AH7" s="1595"/>
      <c r="AI7" s="1595" t="s">
        <v>1750</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20581468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4"/>
      <c r="D12" s="1004"/>
      <c r="E12" s="1004"/>
      <c r="F12" s="1004"/>
      <c r="G12" s="1004"/>
      <c r="H12" s="1004"/>
      <c r="I12" s="1004"/>
      <c r="J12" s="1004"/>
      <c r="K12" s="1004"/>
      <c r="L12" s="1004"/>
      <c r="M12" s="1004"/>
      <c r="N12" s="1004"/>
      <c r="O12" s="1004"/>
      <c r="P12" s="1004"/>
      <c r="Q12" s="1004"/>
      <c r="R12" s="1004"/>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1" t="s">
        <v>1364</v>
      </c>
      <c r="D18" s="1622"/>
      <c r="E18" s="1622"/>
      <c r="F18" s="1622"/>
      <c r="G18" s="1622"/>
      <c r="H18" s="1622"/>
      <c r="I18" s="1622"/>
      <c r="J18" s="1622"/>
      <c r="K18" s="1622"/>
      <c r="L18" s="1622"/>
      <c r="M18" s="1622"/>
      <c r="N18" s="1622"/>
      <c r="O18" s="1622"/>
      <c r="P18" s="1622"/>
      <c r="Q18" s="1622"/>
      <c r="R18" s="1622"/>
      <c r="S18" s="1623"/>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3921287</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-3921287</v>
      </c>
      <c r="AJ22" s="1627"/>
      <c r="AK22" s="1627"/>
      <c r="AL22" s="1627"/>
      <c r="AM22" s="1627"/>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2">
        <f>T11+T22</f>
        <v>20581468</v>
      </c>
      <c r="U23" s="1295"/>
      <c r="V23" s="1295"/>
      <c r="W23" s="1295"/>
      <c r="X23" s="1295"/>
      <c r="Y23" s="1592">
        <f>Y11+Y22</f>
        <v>0</v>
      </c>
      <c r="Z23" s="1295"/>
      <c r="AA23" s="1295"/>
      <c r="AB23" s="1295"/>
      <c r="AC23" s="1295"/>
      <c r="AD23" s="1592">
        <f>AD11+AD22</f>
        <v>0</v>
      </c>
      <c r="AE23" s="1295"/>
      <c r="AF23" s="1295"/>
      <c r="AG23" s="1295"/>
      <c r="AH23" s="1295"/>
      <c r="AI23" s="1592">
        <f>AI11+AI22</f>
        <v>-3921287</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1748</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20581468</v>
      </c>
      <c r="U26" s="1604"/>
      <c r="V26" s="1604"/>
      <c r="W26" s="1604"/>
      <c r="X26" s="1604"/>
      <c r="Y26" s="1094">
        <f>Y23*Y25</f>
        <v>0</v>
      </c>
      <c r="Z26" s="1604"/>
      <c r="AA26" s="1604"/>
      <c r="AB26" s="1604"/>
      <c r="AC26" s="1604"/>
      <c r="AD26" s="1094">
        <f>AD23*AD25</f>
        <v>0</v>
      </c>
      <c r="AE26" s="1604"/>
      <c r="AF26" s="1604"/>
      <c r="AG26" s="1604"/>
      <c r="AH26" s="1604"/>
      <c r="AI26" s="1094">
        <f>AI23*AI25</f>
        <v>-3921287</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20581468</v>
      </c>
      <c r="U28" s="1604"/>
      <c r="V28" s="1604"/>
      <c r="W28" s="1604"/>
      <c r="X28" s="1604"/>
      <c r="Y28" s="1094">
        <f>IF(ISERROR((Y26*Y27)),0,(Y26*Y27))</f>
        <v>0</v>
      </c>
      <c r="Z28" s="1604"/>
      <c r="AA28" s="1604"/>
      <c r="AB28" s="1604"/>
      <c r="AC28" s="1604"/>
      <c r="AD28" s="1094">
        <f>IF(ISERROR((AD26*AD27)),0,(AD26*AD27))</f>
        <v>0</v>
      </c>
      <c r="AE28" s="1604"/>
      <c r="AF28" s="1604"/>
      <c r="AG28" s="1604"/>
      <c r="AH28" s="1604"/>
      <c r="AI28" s="1094">
        <f>IF(ISERROR((AI26*AI27)),0,(AI26*AI27))</f>
        <v>-3921287</v>
      </c>
      <c r="AJ28" s="1604"/>
      <c r="AK28" s="1604"/>
      <c r="AL28" s="1604"/>
      <c r="AM28" s="1604"/>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16660181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0" ht="12.95" customHeight="1">
      <c r="B36" s="204"/>
      <c r="X36" s="71"/>
      <c r="Y36" s="1595"/>
      <c r="Z36" s="1595"/>
      <c r="AA36" s="1595"/>
      <c r="AB36" s="1595"/>
      <c r="AC36" s="159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1">
        <v>0.09</v>
      </c>
      <c r="Z39" s="1961"/>
      <c r="AA39" s="1961"/>
      <c r="AB39" s="1961"/>
      <c r="AC39" s="1961"/>
      <c r="AD39" s="1591">
        <v>0.04</v>
      </c>
      <c r="AE39" s="1591"/>
      <c r="AF39" s="1591"/>
      <c r="AG39" s="1591"/>
      <c r="AH39" s="1591"/>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2">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22429798</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22429798</v>
      </c>
      <c r="AC48" s="1228"/>
      <c r="AD48" s="1228"/>
      <c r="AE48" s="1228"/>
      <c r="AF48" s="1229"/>
    </row>
    <row r="49" spans="1:40" ht="12.95" customHeight="1">
      <c r="D49" s="3" t="s">
        <v>872</v>
      </c>
      <c r="AA49" s="34"/>
      <c r="AB49" s="1598"/>
      <c r="AC49" s="1599"/>
      <c r="AD49" s="1599"/>
      <c r="AE49" s="1599"/>
      <c r="AF49" s="1600"/>
    </row>
    <row r="50" spans="1:40" s="323" customFormat="1" ht="12.95"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227">
        <f>(IF((Y41&lt;AB54),Y41,AB54))</f>
        <v>0</v>
      </c>
      <c r="AC55" s="1228"/>
      <c r="AD55" s="1228"/>
      <c r="AE55" s="1228"/>
      <c r="AF55" s="1229"/>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9">
        <f>AB48-AB56</f>
        <v>22429798</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-3921287</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1746</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6">
        <f>IF((Y67+AD67&lt;AB75),Y67+AD67,AB75)</f>
        <v>0</v>
      </c>
      <c r="AC76" s="1177"/>
      <c r="AD76" s="1177"/>
      <c r="AE76" s="1177"/>
      <c r="AF76" s="1178"/>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22429798</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1354</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5" t="s">
        <v>1606</v>
      </c>
      <c r="U7" s="1595"/>
      <c r="V7" s="1595"/>
      <c r="W7" s="1595"/>
      <c r="X7" s="1595"/>
      <c r="Y7" s="1595" t="s">
        <v>1749</v>
      </c>
      <c r="Z7" s="1595"/>
      <c r="AA7" s="1595"/>
      <c r="AB7" s="1595"/>
      <c r="AC7" s="1595"/>
      <c r="AD7" s="1595" t="s">
        <v>1360</v>
      </c>
      <c r="AE7" s="1595"/>
      <c r="AF7" s="1595"/>
      <c r="AG7" s="1595"/>
      <c r="AH7" s="1595"/>
      <c r="AI7" s="1595" t="s">
        <v>1750</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20581468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5" customHeight="1">
      <c r="B12" s="1619" t="s">
        <v>447</v>
      </c>
      <c r="C12" s="1004"/>
      <c r="D12" s="1004"/>
      <c r="E12" s="1004"/>
      <c r="F12" s="1004"/>
      <c r="G12" s="1004"/>
      <c r="H12" s="1004"/>
      <c r="I12" s="1004"/>
      <c r="J12" s="1004"/>
      <c r="K12" s="1004"/>
      <c r="L12" s="1004"/>
      <c r="M12" s="1004"/>
      <c r="N12" s="1004"/>
      <c r="O12" s="1004"/>
      <c r="P12" s="1004"/>
      <c r="Q12" s="1004"/>
      <c r="R12" s="1004"/>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1" t="s">
        <v>1364</v>
      </c>
      <c r="D18" s="1622"/>
      <c r="E18" s="1622"/>
      <c r="F18" s="1622"/>
      <c r="G18" s="1622"/>
      <c r="H18" s="1622"/>
      <c r="I18" s="1622"/>
      <c r="J18" s="1622"/>
      <c r="K18" s="1622"/>
      <c r="L18" s="1622"/>
      <c r="M18" s="1622"/>
      <c r="N18" s="1622"/>
      <c r="O18" s="1622"/>
      <c r="P18" s="1622"/>
      <c r="Q18" s="1622"/>
      <c r="R18" s="1622"/>
      <c r="S18" s="1623"/>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f>'Basis &amp; Credits'!T21</f>
        <v>3921287</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6">
        <f>(T20+T21)*-1</f>
        <v>-3921287</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2">
        <f>T11+T22</f>
        <v>16660181</v>
      </c>
      <c r="U23" s="1295"/>
      <c r="V23" s="1295"/>
      <c r="W23" s="1295"/>
      <c r="X23" s="1295"/>
      <c r="Y23" s="1592">
        <f>Y11+Y22</f>
        <v>0</v>
      </c>
      <c r="Z23" s="1295"/>
      <c r="AA23" s="1295"/>
      <c r="AB23" s="1295"/>
      <c r="AC23" s="1295"/>
      <c r="AD23" s="1592">
        <f>AD11+AD22</f>
        <v>0</v>
      </c>
      <c r="AE23" s="1295"/>
      <c r="AF23" s="1295"/>
      <c r="AG23" s="1295"/>
      <c r="AH23" s="1295"/>
      <c r="AI23" s="1592">
        <f>AI11+AI22</f>
        <v>0</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1748</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16660181</v>
      </c>
      <c r="U26" s="1604"/>
      <c r="V26" s="1604"/>
      <c r="W26" s="1604"/>
      <c r="X26" s="1604"/>
      <c r="Y26" s="1094">
        <f>Y23*Y25</f>
        <v>0</v>
      </c>
      <c r="Z26" s="1604"/>
      <c r="AA26" s="1604"/>
      <c r="AB26" s="1604"/>
      <c r="AC26" s="1604"/>
      <c r="AD26" s="1094">
        <f>AD23*AD25</f>
        <v>0</v>
      </c>
      <c r="AE26" s="1604"/>
      <c r="AF26" s="1604"/>
      <c r="AG26" s="1604"/>
      <c r="AH26" s="1604"/>
      <c r="AI26" s="1094">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16660181</v>
      </c>
      <c r="U28" s="1604"/>
      <c r="V28" s="1604"/>
      <c r="W28" s="1604"/>
      <c r="X28" s="1604"/>
      <c r="Y28" s="1094">
        <f>IF(ISERROR((Y26*Y27)),0,(Y26*Y27))</f>
        <v>0</v>
      </c>
      <c r="Z28" s="1604"/>
      <c r="AA28" s="1604"/>
      <c r="AB28" s="1604"/>
      <c r="AC28" s="1604"/>
      <c r="AD28" s="1094">
        <f>IF(ISERROR((AD26*AD27)),0,(AD26*AD27))</f>
        <v>0</v>
      </c>
      <c r="AE28" s="1604"/>
      <c r="AF28" s="1604"/>
      <c r="AG28" s="1604"/>
      <c r="AH28" s="1604"/>
      <c r="AI28" s="1094">
        <f>IF(ISERROR((AI26*AI27)),0,(AI26*AI27))</f>
        <v>0</v>
      </c>
      <c r="AJ28" s="1604"/>
      <c r="AK28" s="1604"/>
      <c r="AL28" s="1604"/>
      <c r="AM28" s="1604"/>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16660181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0" ht="12.95" customHeight="1">
      <c r="B36" s="204"/>
      <c r="X36" s="71"/>
      <c r="Y36" s="1595"/>
      <c r="Z36" s="1595"/>
      <c r="AA36" s="1595"/>
      <c r="AB36" s="1595"/>
      <c r="AC36" s="1595"/>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1">
        <v>0.09</v>
      </c>
      <c r="Z39" s="1961"/>
      <c r="AA39" s="1961"/>
      <c r="AB39" s="1961"/>
      <c r="AC39" s="1961"/>
      <c r="AD39" s="1961">
        <f>'Basis &amp; Credits'!AD39:AH39</f>
        <v>0.04</v>
      </c>
      <c r="AE39" s="1961"/>
      <c r="AF39" s="1961"/>
      <c r="AG39" s="1961"/>
      <c r="AH39" s="1961"/>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2">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IF((Y40+AD40)&gt;2500000,2500000,Y40+AD40)</f>
        <v>0</v>
      </c>
      <c r="Z41" s="1594"/>
      <c r="AA41" s="1594"/>
      <c r="AB41" s="1594"/>
      <c r="AC41" s="1594"/>
      <c r="AD41" s="1594"/>
      <c r="AE41" s="1594"/>
      <c r="AF41" s="1594"/>
      <c r="AG41" s="1594"/>
      <c r="AH41" s="1592"/>
    </row>
    <row r="42" spans="1:40" ht="12.95" customHeight="1">
      <c r="A42" s="3"/>
      <c r="B42" s="1603" t="s">
        <v>1162</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22429798</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22429798</v>
      </c>
      <c r="AC48" s="1228"/>
      <c r="AD48" s="1228"/>
      <c r="AE48" s="1228"/>
      <c r="AF48" s="1229"/>
    </row>
    <row r="49" spans="1:40" ht="12.95" customHeight="1">
      <c r="D49" s="3" t="s">
        <v>872</v>
      </c>
      <c r="AA49" s="34"/>
      <c r="AB49" s="1598"/>
      <c r="AC49" s="1599"/>
      <c r="AD49" s="1599"/>
      <c r="AE49" s="1599"/>
      <c r="AF49" s="1600"/>
    </row>
    <row r="50" spans="1:40" s="323" customFormat="1" ht="12.95" customHeight="1">
      <c r="A50"/>
      <c r="B50"/>
      <c r="C50"/>
      <c r="D50"/>
      <c r="E50" s="1605" t="s">
        <v>1353</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962">
        <f>(IF((Y41&lt;AB54),Y41,AB54))</f>
        <v>0</v>
      </c>
      <c r="AC55" s="1963"/>
      <c r="AD55" s="1963"/>
      <c r="AE55" s="1963"/>
      <c r="AF55" s="1964"/>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9">
        <f>AB48-AB56</f>
        <v>22429798</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5">
        <f>Y28</f>
        <v>0</v>
      </c>
      <c r="Z63" s="1601"/>
      <c r="AA63" s="1601"/>
      <c r="AB63" s="1601"/>
      <c r="AC63" s="1601"/>
      <c r="AD63" s="1295">
        <f>AI28</f>
        <v>0</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5" customHeight="1">
      <c r="C67" s="3"/>
      <c r="D67" s="3" t="s">
        <v>941</v>
      </c>
      <c r="Y67" s="1295">
        <f>ROUND(Y63*Y66,0)</f>
        <v>0</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8"/>
      <c r="AC70" s="1599"/>
      <c r="AD70" s="1599"/>
      <c r="AE70" s="1599"/>
      <c r="AF70" s="1600"/>
    </row>
    <row r="71" spans="1:34" ht="12.95" customHeight="1">
      <c r="A71" s="3"/>
      <c r="C71" s="3"/>
      <c r="D71" s="3"/>
      <c r="E71" s="1602" t="s">
        <v>1746</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6">
        <f>IF((Y67+AD67&lt;AB75),Y67+AD67,AB75)</f>
        <v>0</v>
      </c>
      <c r="AC76" s="1177"/>
      <c r="AD76" s="1177"/>
      <c r="AE76" s="1177"/>
      <c r="AF76" s="1178"/>
    </row>
    <row r="77" spans="1:34" ht="12.95" customHeight="1">
      <c r="C77" s="3"/>
      <c r="D77" s="3" t="s">
        <v>942</v>
      </c>
      <c r="AB77" s="1596">
        <f>AB76*AB70</f>
        <v>0</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22429798</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660000</v>
      </c>
      <c r="C5" s="329">
        <f>'Sources and Uses Budget'!C4</f>
        <v>660000</v>
      </c>
      <c r="D5" s="329">
        <f>'Sources and Uses Budget'!C4</f>
        <v>660000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19800</v>
      </c>
      <c r="C7" s="329">
        <f>'Sources and Uses Budget'!C6</f>
        <v>19800</v>
      </c>
      <c r="D7" s="329">
        <f>'Sources and Uses Budget'!C6</f>
        <v>19800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679800</v>
      </c>
      <c r="C9" s="331">
        <f>SUM(C5:C8)</f>
        <v>679800</v>
      </c>
      <c r="D9" s="331">
        <f>SUM(D5:D8)</f>
        <v>679800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679800</v>
      </c>
      <c r="C13" s="331">
        <f>SUM(C9+C12)</f>
        <v>679800</v>
      </c>
      <c r="D13" s="331">
        <f>SUM(D9+D12)</f>
        <v>679800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3311966</v>
      </c>
      <c r="C30" s="329">
        <f>'Sources and Uses Budget'!C29</f>
        <v>3311966</v>
      </c>
      <c r="D30" s="329">
        <f>'Sources and Uses Budget'!C29</f>
        <v>3311966</v>
      </c>
      <c r="E30" s="331">
        <f t="shared" si="0"/>
        <v>0</v>
      </c>
      <c r="F30" s="330"/>
      <c r="G30" s="330"/>
    </row>
    <row r="31" spans="1:7" s="568" customFormat="1" ht="12.75">
      <c r="A31" s="239" t="s">
        <v>911</v>
      </c>
      <c r="B31" s="329">
        <f>'Sources and Uses Budget'!C30</f>
        <v>8442490</v>
      </c>
      <c r="C31" s="329">
        <f>'Sources and Uses Budget'!C30</f>
        <v>8442490</v>
      </c>
      <c r="D31" s="329">
        <f>'Sources and Uses Budget'!C30</f>
        <v>8442490</v>
      </c>
      <c r="E31" s="331">
        <f t="shared" si="0"/>
        <v>0</v>
      </c>
      <c r="F31" s="330"/>
      <c r="G31" s="330"/>
    </row>
    <row r="32" spans="1:7" s="568" customFormat="1" ht="12.75">
      <c r="A32" s="239" t="s">
        <v>912</v>
      </c>
      <c r="B32" s="329">
        <f>'Sources and Uses Budget'!C31</f>
        <v>704756</v>
      </c>
      <c r="C32" s="329">
        <f>'Sources and Uses Budget'!C31</f>
        <v>704756</v>
      </c>
      <c r="D32" s="329">
        <f>'Sources and Uses Budget'!C31</f>
        <v>704756</v>
      </c>
      <c r="E32" s="331">
        <f t="shared" si="0"/>
        <v>0</v>
      </c>
      <c r="F32" s="330"/>
      <c r="G32" s="330"/>
    </row>
    <row r="33" spans="1:7" s="568" customFormat="1" ht="12.75">
      <c r="A33" s="239" t="s">
        <v>913</v>
      </c>
      <c r="B33" s="329">
        <f>'Sources and Uses Budget'!C32</f>
        <v>466237</v>
      </c>
      <c r="C33" s="329">
        <f>'Sources and Uses Budget'!C32</f>
        <v>466237</v>
      </c>
      <c r="D33" s="329">
        <f>'Sources and Uses Budget'!C32</f>
        <v>466237</v>
      </c>
      <c r="E33" s="331">
        <f t="shared" si="0"/>
        <v>0</v>
      </c>
      <c r="F33" s="330"/>
      <c r="G33" s="330"/>
    </row>
    <row r="34" spans="1:7" s="568" customFormat="1" ht="12.75">
      <c r="A34" s="239" t="s">
        <v>914</v>
      </c>
      <c r="B34" s="329">
        <f>'Sources and Uses Budget'!C33</f>
        <v>470178</v>
      </c>
      <c r="C34" s="329">
        <f>'Sources and Uses Budget'!C33</f>
        <v>470178</v>
      </c>
      <c r="D34" s="329">
        <f>'Sources and Uses Budget'!C33</f>
        <v>470178</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176317</v>
      </c>
      <c r="C36" s="329">
        <f>'Sources and Uses Budget'!C35</f>
        <v>176317</v>
      </c>
      <c r="D36" s="329">
        <f>'Sources and Uses Budget'!C35</f>
        <v>176317</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243317</v>
      </c>
      <c r="C38" s="329">
        <f>'Sources and Uses Budget'!C37</f>
        <v>243317</v>
      </c>
      <c r="D38" s="329">
        <f>'Sources and Uses Budget'!C37</f>
        <v>243317</v>
      </c>
      <c r="E38" s="331">
        <f>C38-B38</f>
        <v>0</v>
      </c>
      <c r="F38" s="330"/>
      <c r="G38" s="330"/>
    </row>
    <row r="39" spans="1:7" s="568" customFormat="1" ht="12.75">
      <c r="A39" s="887" t="s">
        <v>919</v>
      </c>
      <c r="B39" s="894">
        <f>'Sources and Uses Budget'!C38</f>
        <v>13815261</v>
      </c>
      <c r="C39" s="894">
        <f>'Sources and Uses Budget'!C38</f>
        <v>13815261</v>
      </c>
      <c r="D39" s="894">
        <f>'Sources and Uses Budget'!C38</f>
        <v>13815261</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532000</v>
      </c>
      <c r="C41" s="329">
        <f>'Sources and Uses Budget'!C40</f>
        <v>532000</v>
      </c>
      <c r="D41" s="329">
        <f>'Sources and Uses Budget'!C40</f>
        <v>532000</v>
      </c>
      <c r="E41" s="331">
        <f>C41-B41</f>
        <v>0</v>
      </c>
      <c r="F41" s="330"/>
      <c r="G41" s="330"/>
    </row>
    <row r="42" spans="1:7" s="568" customFormat="1" ht="12.75">
      <c r="A42" s="888" t="s">
        <v>922</v>
      </c>
      <c r="B42" s="329">
        <f>'Sources and Uses Budget'!C41</f>
        <v>224000</v>
      </c>
      <c r="C42" s="329">
        <f>'Sources and Uses Budget'!C41</f>
        <v>224000</v>
      </c>
      <c r="D42" s="329">
        <f>'Sources and Uses Budget'!C41</f>
        <v>224000</v>
      </c>
      <c r="E42" s="331">
        <f>C42-B42</f>
        <v>0</v>
      </c>
      <c r="F42" s="330"/>
      <c r="G42" s="330"/>
    </row>
    <row r="43" spans="1:7" s="568" customFormat="1" ht="12" customHeight="1">
      <c r="A43" s="887" t="s">
        <v>923</v>
      </c>
      <c r="B43" s="894">
        <f>'Sources and Uses Budget'!C42</f>
        <v>756000</v>
      </c>
      <c r="C43" s="894">
        <f>'Sources and Uses Budget'!C42</f>
        <v>756000</v>
      </c>
      <c r="D43" s="894">
        <f>'Sources and Uses Budget'!C42</f>
        <v>756000</v>
      </c>
      <c r="E43" s="331">
        <f>C43-B43</f>
        <v>0</v>
      </c>
      <c r="F43" s="330"/>
      <c r="G43" s="330"/>
    </row>
    <row r="44" spans="1:7" s="568" customFormat="1" ht="12.75">
      <c r="A44" s="887" t="s">
        <v>924</v>
      </c>
      <c r="B44" s="329">
        <f>'Sources and Uses Budget'!C43</f>
        <v>162400</v>
      </c>
      <c r="C44" s="329">
        <f>'Sources and Uses Budget'!C43</f>
        <v>162400</v>
      </c>
      <c r="D44" s="329">
        <f>'Sources and Uses Budget'!C43</f>
        <v>162400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992000</v>
      </c>
      <c r="C46" s="329">
        <f>'Sources and Uses Budget'!C45</f>
        <v>992000</v>
      </c>
      <c r="D46" s="329">
        <f>'Sources and Uses Budget'!C45</f>
        <v>992000</v>
      </c>
      <c r="E46" s="331">
        <f t="shared" si="0"/>
        <v>0</v>
      </c>
      <c r="F46" s="330"/>
      <c r="G46" s="330"/>
    </row>
    <row r="47" spans="1:7" s="568" customFormat="1" ht="12.75">
      <c r="A47" s="239" t="s">
        <v>927</v>
      </c>
      <c r="B47" s="329">
        <f>'Sources and Uses Budget'!C46</f>
        <v>131000</v>
      </c>
      <c r="C47" s="329">
        <f>'Sources and Uses Budget'!C46</f>
        <v>131000</v>
      </c>
      <c r="D47" s="329">
        <f>'Sources and Uses Budget'!C46</f>
        <v>131000</v>
      </c>
      <c r="E47" s="331">
        <f t="shared" si="0"/>
        <v>0</v>
      </c>
      <c r="F47" s="330"/>
      <c r="G47" s="330"/>
    </row>
    <row r="48" spans="1:7" s="568" customFormat="1" ht="12.75">
      <c r="A48" s="239" t="s">
        <v>928</v>
      </c>
      <c r="B48" s="329">
        <f>'Sources and Uses Budget'!C47</f>
        <v>489080</v>
      </c>
      <c r="C48" s="329">
        <f>'Sources and Uses Budget'!C47</f>
        <v>489080</v>
      </c>
      <c r="D48" s="329">
        <f>'Sources and Uses Budget'!C47</f>
        <v>489080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26200</v>
      </c>
      <c r="C50" s="329">
        <f>'Sources and Uses Budget'!C49</f>
        <v>26200</v>
      </c>
      <c r="D50" s="329">
        <f>'Sources and Uses Budget'!C49</f>
        <v>26200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448996</v>
      </c>
      <c r="C52" s="329">
        <f>'Sources and Uses Budget'!C51</f>
        <v>448996</v>
      </c>
      <c r="D52" s="329">
        <f>'Sources and Uses Budget'!C51</f>
        <v>448996</v>
      </c>
      <c r="E52" s="331">
        <f t="shared" si="0"/>
        <v>0</v>
      </c>
      <c r="F52" s="330"/>
      <c r="G52" s="330"/>
    </row>
    <row r="53" spans="1:7" s="568" customFormat="1" ht="12.75">
      <c r="A53" s="246" t="s">
        <v>533</v>
      </c>
      <c r="B53" s="329">
        <f>'Sources and Uses Budget'!C52</f>
        <v>124450</v>
      </c>
      <c r="C53" s="329">
        <f>'Sources and Uses Budget'!C52</f>
        <v>124450</v>
      </c>
      <c r="D53" s="329">
        <f>'Sources and Uses Budget'!C52</f>
        <v>124450</v>
      </c>
      <c r="E53" s="331">
        <f t="shared" si="0"/>
        <v>0</v>
      </c>
      <c r="F53" s="330"/>
      <c r="G53" s="330"/>
    </row>
    <row r="54" spans="1:7" s="568" customFormat="1" ht="12.75">
      <c r="A54" s="243" t="s">
        <v>933</v>
      </c>
      <c r="B54" s="894">
        <f>'Sources and Uses Budget'!C53</f>
        <v>2211726</v>
      </c>
      <c r="C54" s="894">
        <f>'Sources and Uses Budget'!C53</f>
        <v>2211726</v>
      </c>
      <c r="D54" s="894">
        <f>'Sources and Uses Budget'!C53</f>
        <v>2211726</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20000</v>
      </c>
      <c r="C56" s="329">
        <f>'Sources and Uses Budget'!C55</f>
        <v>20000</v>
      </c>
      <c r="D56" s="329">
        <f>'Sources and Uses Budget'!C55</f>
        <v>20000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12661</v>
      </c>
      <c r="C58" s="329">
        <f>'Sources and Uses Budget'!C57</f>
        <v>12661</v>
      </c>
      <c r="D58" s="329">
        <f>'Sources and Uses Budget'!C57</f>
        <v>12661</v>
      </c>
      <c r="E58" s="331">
        <f t="shared" si="0"/>
        <v>0</v>
      </c>
      <c r="F58" s="330"/>
      <c r="G58" s="330"/>
    </row>
    <row r="59" spans="1:7" s="568" customFormat="1" ht="12.75">
      <c r="A59" s="888" t="s">
        <v>930</v>
      </c>
      <c r="B59" s="329">
        <f>'Sources and Uses Budget'!C58</f>
        <v>6600</v>
      </c>
      <c r="C59" s="329">
        <f>'Sources and Uses Budget'!C58</f>
        <v>6600</v>
      </c>
      <c r="D59" s="329">
        <f>'Sources and Uses Budget'!C58</f>
        <v>6600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39261</v>
      </c>
      <c r="C62" s="894">
        <f>'Sources and Uses Budget'!C61</f>
        <v>39261</v>
      </c>
      <c r="D62" s="894">
        <f>'Sources and Uses Budget'!C61</f>
        <v>39261</v>
      </c>
      <c r="E62" s="331">
        <f t="shared" si="0"/>
        <v>0</v>
      </c>
      <c r="F62" s="330"/>
      <c r="G62" s="330"/>
    </row>
    <row r="63" spans="1:7" s="568" customFormat="1" ht="12.75">
      <c r="A63" s="890" t="s">
        <v>501</v>
      </c>
      <c r="B63" s="894">
        <f>'Sources and Uses Budget'!C62</f>
        <v>17664448</v>
      </c>
      <c r="C63" s="894">
        <f>'Sources and Uses Budget'!C62</f>
        <v>17664448</v>
      </c>
      <c r="D63" s="894">
        <f>'Sources and Uses Budget'!C62</f>
        <v>17664448</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70000</v>
      </c>
      <c r="C65" s="329">
        <f>'Sources and Uses Budget'!C64</f>
        <v>70000</v>
      </c>
      <c r="D65" s="329">
        <f>'Sources and Uses Budget'!C64</f>
        <v>70000</v>
      </c>
      <c r="E65" s="331">
        <f t="shared" si="0"/>
        <v>0</v>
      </c>
      <c r="F65" s="330"/>
      <c r="G65" s="330"/>
    </row>
    <row r="66" spans="1:7" s="568" customFormat="1" ht="24">
      <c r="A66" s="239" t="s">
        <v>1957</v>
      </c>
      <c r="B66" s="329">
        <f>'Sources and Uses Budget'!C65</f>
        <v>95200</v>
      </c>
      <c r="C66" s="329">
        <f>'Sources and Uses Budget'!C65</f>
        <v>95200</v>
      </c>
      <c r="D66" s="329">
        <f>'Sources and Uses Budget'!C65</f>
        <v>95200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105494</v>
      </c>
      <c r="C69" s="329">
        <f>'Sources and Uses Budget'!C68</f>
        <v>105494</v>
      </c>
      <c r="D69" s="329">
        <f>'Sources and Uses Budget'!C68</f>
        <v>105494</v>
      </c>
      <c r="E69" s="331">
        <f t="shared" si="0"/>
        <v>0</v>
      </c>
      <c r="F69" s="330"/>
      <c r="G69" s="330"/>
    </row>
    <row r="70" spans="1:7" s="568" customFormat="1" ht="12.75">
      <c r="A70" s="243" t="s">
        <v>1960</v>
      </c>
      <c r="B70" s="894">
        <f>'Sources and Uses Budget'!C69</f>
        <v>270694</v>
      </c>
      <c r="C70" s="894">
        <f>'Sources and Uses Budget'!C69</f>
        <v>270694</v>
      </c>
      <c r="D70" s="894">
        <f>'Sources and Uses Budget'!C69</f>
        <v>270694</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200000</v>
      </c>
      <c r="C72" s="329">
        <f>'Sources and Uses Budget'!C71</f>
        <v>200000</v>
      </c>
      <c r="D72" s="329">
        <f>'Sources and Uses Budget'!C71</f>
        <v>200000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162000</v>
      </c>
      <c r="C75" s="329">
        <f>'Sources and Uses Budget'!C74</f>
        <v>162000</v>
      </c>
      <c r="D75" s="329">
        <f>'Sources and Uses Budget'!C74</f>
        <v>162000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362000</v>
      </c>
      <c r="C77" s="894">
        <f>'Sources and Uses Budget'!C76</f>
        <v>362000</v>
      </c>
      <c r="D77" s="894">
        <f>'Sources and Uses Budget'!C76</f>
        <v>362000</v>
      </c>
      <c r="E77" s="331">
        <f>C77-B77</f>
        <v>0</v>
      </c>
      <c r="F77" s="330"/>
      <c r="G77" s="330"/>
    </row>
    <row r="78" spans="1:7" s="568" customFormat="1" ht="12.75">
      <c r="A78" s="883" t="s">
        <v>1744</v>
      </c>
      <c r="B78" s="327"/>
      <c r="C78" s="327"/>
      <c r="D78" s="327"/>
      <c r="E78" s="327"/>
      <c r="F78" s="327"/>
      <c r="G78" s="327"/>
    </row>
    <row r="79" spans="1:7" s="568" customFormat="1" ht="13.9" customHeight="1">
      <c r="A79" s="888" t="s">
        <v>1742</v>
      </c>
      <c r="B79" s="329">
        <f>'Sources and Uses Budget'!C78</f>
        <v>690763</v>
      </c>
      <c r="C79" s="329">
        <f>'Sources and Uses Budget'!C78</f>
        <v>690763</v>
      </c>
      <c r="D79" s="329">
        <f>'Sources and Uses Budget'!C78</f>
        <v>690763</v>
      </c>
      <c r="E79" s="331">
        <f t="shared" ref="E79:E105" si="2">C79-B79</f>
        <v>0</v>
      </c>
      <c r="F79" s="330"/>
      <c r="G79" s="330"/>
    </row>
    <row r="80" spans="1:7" s="568" customFormat="1" ht="12.75">
      <c r="A80" s="888" t="s">
        <v>538</v>
      </c>
      <c r="B80" s="329">
        <f>'Sources and Uses Budget'!C79</f>
        <v>318947</v>
      </c>
      <c r="C80" s="329">
        <f>'Sources and Uses Budget'!C79</f>
        <v>318947</v>
      </c>
      <c r="D80" s="329">
        <f>'Sources and Uses Budget'!C79</f>
        <v>318947</v>
      </c>
      <c r="E80" s="331">
        <f t="shared" si="2"/>
        <v>0</v>
      </c>
      <c r="F80" s="330"/>
      <c r="G80" s="330"/>
    </row>
    <row r="81" spans="1:7" s="568" customFormat="1" ht="12.75">
      <c r="A81" s="887" t="s">
        <v>1743</v>
      </c>
      <c r="B81" s="894">
        <f>'Sources and Uses Budget'!C80</f>
        <v>1009710</v>
      </c>
      <c r="C81" s="894">
        <f>'Sources and Uses Budget'!C80</f>
        <v>1009710</v>
      </c>
      <c r="D81" s="894">
        <f>'Sources and Uses Budget'!C80</f>
        <v>1009710</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150000</v>
      </c>
      <c r="C83" s="329">
        <f>'Sources and Uses Budget'!C82</f>
        <v>150000</v>
      </c>
      <c r="D83" s="329">
        <f>'Sources and Uses Budget'!C82</f>
        <v>150000</v>
      </c>
      <c r="E83" s="331">
        <f t="shared" si="2"/>
        <v>0</v>
      </c>
      <c r="F83" s="330"/>
      <c r="G83" s="330"/>
    </row>
    <row r="84" spans="1:7" s="568" customFormat="1" ht="12.75">
      <c r="A84" s="239" t="s">
        <v>516</v>
      </c>
      <c r="B84" s="329">
        <f>'Sources and Uses Budget'!C83</f>
        <v>241220</v>
      </c>
      <c r="C84" s="329">
        <f>'Sources and Uses Budget'!C83</f>
        <v>241220</v>
      </c>
      <c r="D84" s="329">
        <f>'Sources and Uses Budget'!C83</f>
        <v>241220</v>
      </c>
      <c r="E84" s="331">
        <f t="shared" si="2"/>
        <v>0</v>
      </c>
      <c r="F84" s="330"/>
      <c r="G84" s="330"/>
    </row>
    <row r="85" spans="1:7" s="568" customFormat="1" ht="12.75">
      <c r="A85" s="239" t="s">
        <v>517</v>
      </c>
      <c r="B85" s="329">
        <f>'Sources and Uses Budget'!C84</f>
        <v>944400</v>
      </c>
      <c r="C85" s="329">
        <f>'Sources and Uses Budget'!C84</f>
        <v>944400</v>
      </c>
      <c r="D85" s="329">
        <f>'Sources and Uses Budget'!C84</f>
        <v>944400</v>
      </c>
      <c r="E85" s="331">
        <f t="shared" si="2"/>
        <v>0</v>
      </c>
      <c r="F85" s="330"/>
      <c r="G85" s="330"/>
    </row>
    <row r="86" spans="1:7" s="568" customFormat="1" ht="12.75">
      <c r="A86" s="239" t="s">
        <v>518</v>
      </c>
      <c r="B86" s="329">
        <f>'Sources and Uses Budget'!C85</f>
        <v>319566</v>
      </c>
      <c r="C86" s="329">
        <f>'Sources and Uses Budget'!C85</f>
        <v>319566</v>
      </c>
      <c r="D86" s="329">
        <f>'Sources and Uses Budget'!C85</f>
        <v>319566</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84000</v>
      </c>
      <c r="C88" s="329">
        <f>'Sources and Uses Budget'!C87</f>
        <v>84000</v>
      </c>
      <c r="D88" s="329">
        <f>'Sources and Uses Budget'!C87</f>
        <v>84000</v>
      </c>
      <c r="E88" s="331">
        <f t="shared" si="2"/>
        <v>0</v>
      </c>
      <c r="F88" s="330"/>
      <c r="G88" s="330"/>
    </row>
    <row r="89" spans="1:7" s="568" customFormat="1" ht="12.75">
      <c r="A89" s="239" t="s">
        <v>521</v>
      </c>
      <c r="B89" s="329">
        <f>'Sources and Uses Budget'!C88</f>
        <v>114800</v>
      </c>
      <c r="C89" s="329">
        <f>'Sources and Uses Budget'!C88</f>
        <v>114800</v>
      </c>
      <c r="D89" s="329">
        <f>'Sources and Uses Budget'!C88</f>
        <v>114800</v>
      </c>
      <c r="E89" s="331">
        <f t="shared" si="2"/>
        <v>0</v>
      </c>
      <c r="F89" s="330"/>
      <c r="G89" s="330"/>
    </row>
    <row r="90" spans="1:7" s="568" customFormat="1" ht="12.75">
      <c r="A90" s="239" t="s">
        <v>522</v>
      </c>
      <c r="B90" s="329">
        <f>'Sources and Uses Budget'!C89</f>
        <v>26960</v>
      </c>
      <c r="C90" s="329">
        <f>'Sources and Uses Budget'!C89</f>
        <v>26960</v>
      </c>
      <c r="D90" s="329">
        <f>'Sources and Uses Budget'!C89</f>
        <v>26960</v>
      </c>
      <c r="E90" s="331">
        <f t="shared" si="2"/>
        <v>0</v>
      </c>
      <c r="F90" s="330"/>
      <c r="G90" s="330"/>
    </row>
    <row r="91" spans="1:7" s="568" customFormat="1" ht="12.75">
      <c r="A91" s="250" t="s">
        <v>1315</v>
      </c>
      <c r="B91" s="329">
        <f>'Sources and Uses Budget'!C90</f>
        <v>28000</v>
      </c>
      <c r="C91" s="329">
        <f>'Sources and Uses Budget'!C90</f>
        <v>28000</v>
      </c>
      <c r="D91" s="329">
        <f>'Sources and Uses Budget'!C90</f>
        <v>28000</v>
      </c>
      <c r="E91" s="331">
        <f t="shared" si="2"/>
        <v>0</v>
      </c>
      <c r="F91" s="330"/>
      <c r="G91" s="330"/>
    </row>
    <row r="92" spans="1:7" s="568" customFormat="1" ht="12.75">
      <c r="A92" s="250" t="s">
        <v>1741</v>
      </c>
      <c r="B92" s="329">
        <f>'Sources and Uses Budget'!C91</f>
        <v>14000</v>
      </c>
      <c r="C92" s="329">
        <f>'Sources and Uses Budget'!C91</f>
        <v>14000</v>
      </c>
      <c r="D92" s="329">
        <f>'Sources and Uses Budget'!C91</f>
        <v>14000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1922946</v>
      </c>
      <c r="C96" s="894">
        <f>'Sources and Uses Budget'!C95</f>
        <v>1922946</v>
      </c>
      <c r="D96" s="894">
        <f>'Sources and Uses Budget'!C95</f>
        <v>1922946</v>
      </c>
      <c r="E96" s="331">
        <f t="shared" si="2"/>
        <v>0</v>
      </c>
      <c r="F96" s="330"/>
      <c r="G96" s="330"/>
    </row>
    <row r="97" spans="1:7" s="568" customFormat="1" ht="12.75">
      <c r="A97" s="243" t="s">
        <v>524</v>
      </c>
      <c r="B97" s="894">
        <f>'Sources and Uses Budget'!C96</f>
        <v>21229798</v>
      </c>
      <c r="C97" s="894">
        <f>'Sources and Uses Budget'!C96</f>
        <v>21229798</v>
      </c>
      <c r="D97" s="894">
        <f>'Sources and Uses Budget'!C96</f>
        <v>21229798</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1200000</v>
      </c>
      <c r="C99" s="329">
        <f>'Sources and Uses Budget'!C98</f>
        <v>1200000</v>
      </c>
      <c r="D99" s="329">
        <f>'Sources and Uses Budget'!C98</f>
        <v>1200000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1200000</v>
      </c>
      <c r="C104" s="894">
        <f>'Sources and Uses Budget'!C103</f>
        <v>1200000</v>
      </c>
      <c r="D104" s="894">
        <f>'Sources and Uses Budget'!C103</f>
        <v>1200000</v>
      </c>
      <c r="E104" s="331">
        <f t="shared" si="2"/>
        <v>0</v>
      </c>
      <c r="F104" s="330"/>
      <c r="G104" s="330"/>
    </row>
    <row r="105" spans="1:7" s="568" customFormat="1" ht="12.75">
      <c r="A105" s="887" t="s">
        <v>529</v>
      </c>
      <c r="B105" s="894">
        <f>'Sources and Uses Budget'!C104</f>
        <v>22429798</v>
      </c>
      <c r="C105" s="894">
        <f>'Sources and Uses Budget'!C104</f>
        <v>22429798</v>
      </c>
      <c r="D105" s="894">
        <f>'Sources and Uses Budget'!C104</f>
        <v>22429798</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6" t="s">
        <v>300</v>
      </c>
      <c r="B2" s="987"/>
      <c r="C2" s="987"/>
      <c r="D2" s="987"/>
      <c r="E2" s="987"/>
      <c r="F2" s="987"/>
      <c r="G2" s="987"/>
      <c r="H2" s="987"/>
      <c r="I2" s="987"/>
      <c r="J2" s="987"/>
    </row>
    <row r="3" spans="1:10" ht="15">
      <c r="A3" s="988" t="s">
        <v>2303</v>
      </c>
      <c r="B3" s="987"/>
      <c r="C3" s="987"/>
      <c r="D3" s="987"/>
      <c r="E3" s="987"/>
      <c r="F3" s="987"/>
      <c r="G3" s="987"/>
      <c r="H3" s="987"/>
      <c r="I3" s="987"/>
      <c r="J3" s="987"/>
    </row>
    <row r="4" spans="1:10"/>
    <row r="5" spans="1:10" ht="12.75" customHeight="1">
      <c r="A5" s="993" t="s">
        <v>2170</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1870</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06" workbookViewId="0">
      <selection activeCell="D1054" sqref="D1054:F106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8" t="s">
        <v>2304</v>
      </c>
      <c r="B2" s="1018"/>
      <c r="C2" s="987"/>
      <c r="D2" s="987"/>
      <c r="E2" s="987"/>
      <c r="F2" s="987"/>
      <c r="G2" s="987"/>
      <c r="I2" t="s">
        <v>79</v>
      </c>
    </row>
    <row r="3" spans="1:9" ht="12.75">
      <c r="A3" s="190"/>
      <c r="B3" s="190"/>
      <c r="C3"/>
      <c r="D3"/>
      <c r="E3"/>
      <c r="F3"/>
      <c r="G3"/>
      <c r="I3" s="5" t="s">
        <v>1392</v>
      </c>
    </row>
    <row r="4" spans="1:9" ht="12.75">
      <c r="A4" s="1019" t="s">
        <v>2136</v>
      </c>
      <c r="B4" s="1019"/>
      <c r="C4" s="1020"/>
      <c r="D4" s="1020"/>
      <c r="E4" s="1020"/>
      <c r="F4" s="1020"/>
      <c r="G4" s="1020"/>
      <c r="I4" s="5" t="s">
        <v>1376</v>
      </c>
    </row>
    <row r="5" spans="1:9" ht="12.75">
      <c r="A5" s="1019" t="s">
        <v>1041</v>
      </c>
      <c r="B5" s="1019"/>
      <c r="C5" s="1020"/>
      <c r="D5" s="1020"/>
      <c r="E5" s="1020"/>
      <c r="F5" s="1020"/>
      <c r="G5" s="1020"/>
      <c r="I5" t="s">
        <v>124</v>
      </c>
    </row>
    <row r="6" spans="1:9" ht="13.7" customHeight="1"/>
    <row r="7" spans="1:9" ht="12.75">
      <c r="A7" s="1022" t="s">
        <v>2315</v>
      </c>
      <c r="B7" s="1022"/>
      <c r="C7" s="1022"/>
      <c r="D7" s="1022"/>
      <c r="E7" s="1022"/>
      <c r="F7" s="1022"/>
      <c r="G7" s="1022"/>
    </row>
    <row r="8" spans="1:9" ht="12.75">
      <c r="A8" s="1022"/>
      <c r="B8" s="1022"/>
      <c r="C8" s="1022"/>
      <c r="D8" s="1022"/>
      <c r="E8" s="1022"/>
      <c r="F8" s="1022"/>
      <c r="G8" s="1022"/>
    </row>
    <row r="9" spans="1:9" ht="12.75">
      <c r="A9" s="192"/>
      <c r="B9" s="192"/>
      <c r="C9" s="190"/>
      <c r="D9" s="190"/>
      <c r="E9" s="190"/>
      <c r="F9" s="190"/>
      <c r="G9" s="190"/>
    </row>
    <row r="10" spans="1:9" ht="12.75">
      <c r="A10" s="1004" t="s">
        <v>1544</v>
      </c>
      <c r="B10" s="1004"/>
      <c r="C10" s="1004"/>
      <c r="D10" s="1004"/>
      <c r="E10" s="1004"/>
      <c r="F10" s="1004"/>
      <c r="G10" s="1004"/>
    </row>
    <row r="11" spans="1:9" ht="12.75">
      <c r="A11" s="190"/>
      <c r="B11" s="190"/>
    </row>
    <row r="12" spans="1:9" ht="13.7" customHeight="1">
      <c r="C12" s="190"/>
      <c r="D12" s="1021" t="s">
        <v>1543</v>
      </c>
      <c r="E12" s="1021"/>
      <c r="F12" s="1021"/>
      <c r="G12" s="610"/>
    </row>
    <row r="13" spans="1:9" ht="12.75">
      <c r="C13" s="190"/>
      <c r="D13" s="1021"/>
      <c r="E13" s="1021"/>
      <c r="F13" s="1021"/>
      <c r="G13" s="610"/>
    </row>
    <row r="14" spans="1:9" ht="12.75">
      <c r="A14" s="191"/>
      <c r="B14" s="191"/>
      <c r="C14" s="191"/>
      <c r="D14" s="999" t="s">
        <v>1414</v>
      </c>
      <c r="E14" s="999"/>
      <c r="F14" s="999"/>
    </row>
    <row r="15" spans="1:9" ht="12.75">
      <c r="A15" s="191"/>
      <c r="B15" s="191"/>
      <c r="C15" s="191"/>
    </row>
    <row r="16" spans="1:9" ht="14.45" customHeight="1">
      <c r="A16" s="271"/>
      <c r="B16" s="609" t="s">
        <v>124</v>
      </c>
      <c r="C16" s="191"/>
      <c r="D16" s="973" t="s">
        <v>2065</v>
      </c>
      <c r="E16" s="979"/>
      <c r="F16" s="979"/>
      <c r="G16" s="354"/>
    </row>
    <row r="17" spans="1:7" ht="14.45" customHeight="1">
      <c r="A17" s="271"/>
      <c r="C17" s="191"/>
      <c r="D17" s="979"/>
      <c r="E17" s="979"/>
      <c r="F17" s="979"/>
      <c r="G17" s="354"/>
    </row>
    <row r="18" spans="1:7" ht="12.75">
      <c r="A18" s="191"/>
      <c r="C18" s="191"/>
      <c r="D18" s="979"/>
      <c r="E18" s="979"/>
      <c r="F18" s="979"/>
      <c r="G18" s="354"/>
    </row>
    <row r="19" spans="1:7" ht="12.75">
      <c r="A19" s="191"/>
      <c r="C19" s="191"/>
      <c r="D19" s="24"/>
      <c r="E19" s="128" t="s">
        <v>2066</v>
      </c>
      <c r="F19" s="24"/>
      <c r="G19" s="354"/>
    </row>
    <row r="20" spans="1:7" ht="12.75">
      <c r="A20" s="191"/>
      <c r="B20" s="191"/>
      <c r="C20" s="191"/>
    </row>
    <row r="21" spans="1:7" ht="14.25">
      <c r="A21" s="271"/>
      <c r="B21" s="609" t="s">
        <v>1376</v>
      </c>
      <c r="D21" s="973" t="s">
        <v>2067</v>
      </c>
      <c r="E21" s="979"/>
      <c r="F21" s="979"/>
    </row>
    <row r="22" spans="1:7" ht="12.75">
      <c r="D22" s="979"/>
      <c r="E22" s="979"/>
      <c r="F22" s="979"/>
    </row>
    <row r="23" spans="1:7" ht="12.75">
      <c r="D23" s="102"/>
      <c r="E23" s="104" t="s">
        <v>2068</v>
      </c>
      <c r="F23" s="102"/>
    </row>
    <row r="24" spans="1:7" ht="14.25">
      <c r="A24" s="271"/>
      <c r="B24" s="271"/>
      <c r="D24" s="44"/>
    </row>
    <row r="25" spans="1:7" ht="14.25">
      <c r="A25" s="271"/>
      <c r="B25" s="609" t="s">
        <v>124</v>
      </c>
      <c r="D25" s="979" t="s">
        <v>1408</v>
      </c>
      <c r="E25" s="979"/>
      <c r="F25" s="979"/>
    </row>
    <row r="26" spans="1:7" ht="14.25">
      <c r="A26" s="271"/>
      <c r="B26" s="271"/>
      <c r="D26" s="979"/>
      <c r="E26" s="979"/>
      <c r="F26" s="979"/>
    </row>
    <row r="27" spans="1:7" ht="14.25">
      <c r="A27" s="271"/>
      <c r="B27" s="271"/>
      <c r="D27" s="44"/>
    </row>
    <row r="28" spans="1:7" ht="14.25" customHeight="1">
      <c r="A28" s="271"/>
      <c r="B28" s="609" t="s">
        <v>1376</v>
      </c>
      <c r="D28" s="973" t="s">
        <v>2137</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76"/>
      <c r="F33" s="612"/>
    </row>
    <row r="34" spans="1:6" ht="14.45" customHeight="1">
      <c r="A34" s="271"/>
      <c r="B34" s="609" t="s">
        <v>124</v>
      </c>
      <c r="D34" s="979" t="s">
        <v>2138</v>
      </c>
      <c r="E34" s="979"/>
      <c r="F34" s="979"/>
    </row>
    <row r="35" spans="1:6" ht="14.25">
      <c r="A35" s="271"/>
      <c r="B35" s="271"/>
      <c r="D35" s="979"/>
      <c r="E35" s="979"/>
      <c r="F35" s="979"/>
    </row>
    <row r="36" spans="1:6" ht="14.25">
      <c r="A36" s="271"/>
      <c r="B36" s="271"/>
      <c r="D36" s="209"/>
      <c r="E36" s="209"/>
      <c r="F36" s="209"/>
    </row>
    <row r="37" spans="1:6" ht="14.25">
      <c r="A37" s="271"/>
      <c r="B37" s="609" t="s">
        <v>124</v>
      </c>
      <c r="D37" s="973" t="s">
        <v>1754</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09" t="s">
        <v>124</v>
      </c>
      <c r="D46" s="979" t="s">
        <v>1441</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09" t="s">
        <v>1376</v>
      </c>
      <c r="D52" s="973" t="s">
        <v>1886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09" t="s">
        <v>124</v>
      </c>
      <c r="D59" s="973" t="s">
        <v>1928</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09" t="s">
        <v>124</v>
      </c>
      <c r="D64" s="979" t="s">
        <v>2139</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09" t="s">
        <v>1376</v>
      </c>
      <c r="D68" s="973" t="s">
        <v>2069</v>
      </c>
      <c r="E68" s="979"/>
      <c r="F68" s="979"/>
    </row>
    <row r="69" spans="1:6" ht="12.75">
      <c r="D69" s="979"/>
      <c r="E69" s="979"/>
      <c r="F69" s="979"/>
    </row>
    <row r="70" spans="1:6" ht="12.75">
      <c r="D70" s="979"/>
      <c r="E70" s="979"/>
      <c r="F70" s="979"/>
    </row>
    <row r="71" spans="1:6" ht="14.25">
      <c r="A71" s="271"/>
      <c r="B71" s="271"/>
      <c r="D71" s="209"/>
      <c r="E71" s="128" t="s">
        <v>2066</v>
      </c>
      <c r="F71" s="209"/>
    </row>
    <row r="72" spans="1:6" ht="14.25">
      <c r="A72" s="271"/>
      <c r="B72" s="271"/>
    </row>
    <row r="73" spans="1:6" ht="14.25">
      <c r="A73" s="271"/>
      <c r="B73" s="609" t="s">
        <v>124</v>
      </c>
      <c r="D73" s="979" t="s">
        <v>1542</v>
      </c>
      <c r="E73" s="979"/>
      <c r="F73" s="979"/>
    </row>
    <row r="74" spans="1:6" ht="12.75">
      <c r="D74" s="979"/>
      <c r="E74" s="979"/>
      <c r="F74" s="979"/>
    </row>
    <row r="75" spans="1:6" ht="12.75">
      <c r="D75" s="979"/>
      <c r="E75" s="979"/>
      <c r="F75" s="979"/>
    </row>
    <row r="76" spans="1:6" ht="12.75"/>
    <row r="77" spans="1:6" ht="14.25">
      <c r="A77" s="271" t="s">
        <v>229</v>
      </c>
      <c r="B77" s="609" t="s">
        <v>124</v>
      </c>
      <c r="D77" s="979" t="s">
        <v>1444</v>
      </c>
      <c r="E77" s="979"/>
      <c r="F77" s="979"/>
    </row>
    <row r="78" spans="1:6" ht="12.75">
      <c r="D78" s="979"/>
      <c r="E78" s="979"/>
      <c r="F78" s="979"/>
    </row>
    <row r="79" spans="1:6" ht="12.75"/>
    <row r="80" spans="1:6" ht="14.25">
      <c r="A80" s="271" t="s">
        <v>229</v>
      </c>
      <c r="B80" s="609" t="s">
        <v>124</v>
      </c>
      <c r="D80" s="979" t="s">
        <v>1445</v>
      </c>
      <c r="E80" s="979"/>
      <c r="F80" s="979"/>
    </row>
    <row r="81" spans="1:7" ht="12.75">
      <c r="D81" s="979"/>
      <c r="E81" s="979"/>
      <c r="F81" s="979"/>
    </row>
    <row r="82" spans="1:7" ht="12.75">
      <c r="D82" s="979"/>
      <c r="E82" s="979"/>
      <c r="F82" s="979"/>
    </row>
    <row r="83" spans="1:7" ht="12.75">
      <c r="D83" s="44"/>
    </row>
    <row r="84" spans="1:7" ht="14.25">
      <c r="A84" s="271" t="s">
        <v>229</v>
      </c>
      <c r="B84" s="609" t="s">
        <v>124</v>
      </c>
      <c r="D84" s="979" t="s">
        <v>1446</v>
      </c>
      <c r="E84" s="979"/>
      <c r="F84" s="979"/>
    </row>
    <row r="85" spans="1:7" ht="12.75">
      <c r="D85" s="979"/>
      <c r="E85" s="979"/>
      <c r="F85" s="979"/>
    </row>
    <row r="86" spans="1:7" ht="12.75"/>
    <row r="87" spans="1:7" ht="12.75">
      <c r="A87" s="1004" t="s">
        <v>1380</v>
      </c>
      <c r="B87" s="1004"/>
      <c r="C87" s="1004"/>
      <c r="D87" s="1004"/>
      <c r="E87" s="1004"/>
      <c r="F87" s="1004"/>
      <c r="G87" s="1004"/>
    </row>
    <row r="88" spans="1:7" ht="12.75">
      <c r="E88"/>
      <c r="F88"/>
      <c r="G88"/>
    </row>
    <row r="89" spans="1:7" ht="13.7" customHeight="1">
      <c r="C89" s="590"/>
      <c r="D89" s="1006" t="s">
        <v>1381</v>
      </c>
      <c r="E89" s="1006"/>
      <c r="F89" s="1006"/>
      <c r="G89"/>
    </row>
    <row r="90" spans="1:7" ht="13.7" customHeight="1">
      <c r="A90" s="44"/>
      <c r="B90" s="44"/>
      <c r="D90" s="979" t="s">
        <v>1545</v>
      </c>
      <c r="E90" s="979"/>
      <c r="F90" s="979"/>
      <c r="G90"/>
    </row>
    <row r="91" spans="1:7" ht="12.75">
      <c r="A91" s="44"/>
      <c r="B91" s="44"/>
      <c r="E91"/>
      <c r="F91"/>
      <c r="G91"/>
    </row>
    <row r="92" spans="1:7" ht="14.25" customHeight="1">
      <c r="A92" s="271"/>
      <c r="B92" s="609" t="s">
        <v>1376</v>
      </c>
      <c r="D92" s="973" t="s">
        <v>1859</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09" t="s">
        <v>124</v>
      </c>
      <c r="D101" s="1000" t="s">
        <v>1860</v>
      </c>
      <c r="E101" s="1000"/>
      <c r="F101" s="1000"/>
      <c r="G101"/>
    </row>
    <row r="102" spans="1:7" ht="14.25">
      <c r="A102" s="271"/>
      <c r="B102" s="271"/>
      <c r="D102" s="1000"/>
      <c r="E102" s="1000"/>
      <c r="F102" s="1000"/>
      <c r="G102"/>
    </row>
    <row r="103" spans="1:7" ht="14.25">
      <c r="A103" s="271"/>
      <c r="B103" s="271"/>
      <c r="D103" s="1000"/>
      <c r="E103" s="1000"/>
      <c r="F103" s="1000"/>
      <c r="G103"/>
    </row>
    <row r="104" spans="1:7" ht="14.25">
      <c r="A104" s="271"/>
      <c r="B104" s="271"/>
      <c r="D104" s="1000"/>
      <c r="E104" s="1000"/>
      <c r="F104" s="1000"/>
      <c r="G104"/>
    </row>
    <row r="105" spans="1:7" ht="14.25">
      <c r="A105" s="271"/>
      <c r="B105" s="271"/>
      <c r="D105" s="1000"/>
      <c r="E105" s="1000"/>
      <c r="F105" s="1000"/>
      <c r="G105"/>
    </row>
    <row r="106" spans="1:7" ht="14.25">
      <c r="A106" s="271"/>
      <c r="B106" s="271"/>
      <c r="D106" s="1000"/>
      <c r="E106" s="1000"/>
      <c r="F106" s="1000"/>
      <c r="G106"/>
    </row>
    <row r="107" spans="1:7" ht="14.25">
      <c r="A107" s="271"/>
      <c r="B107" s="271"/>
      <c r="D107" s="1000"/>
      <c r="E107" s="1000"/>
      <c r="F107" s="1000"/>
      <c r="G107"/>
    </row>
    <row r="108" spans="1:7" ht="14.25">
      <c r="A108" s="271"/>
      <c r="B108" s="271"/>
      <c r="D108" s="1000"/>
      <c r="E108" s="1000"/>
      <c r="F108" s="1000"/>
      <c r="G108"/>
    </row>
    <row r="109" spans="1:7" ht="14.25">
      <c r="A109" s="271"/>
      <c r="B109" s="271"/>
      <c r="D109" s="1000"/>
      <c r="E109" s="1000"/>
      <c r="F109" s="1000"/>
      <c r="G109"/>
    </row>
    <row r="110" spans="1:7" ht="14.25">
      <c r="A110" s="271"/>
      <c r="B110" s="271"/>
      <c r="D110" s="1000"/>
      <c r="E110" s="1000"/>
      <c r="F110" s="1000"/>
      <c r="G110"/>
    </row>
    <row r="111" spans="1:7" ht="14.25">
      <c r="A111" s="271"/>
      <c r="B111" s="271"/>
      <c r="D111" s="1000"/>
      <c r="E111" s="1000"/>
      <c r="F111" s="1000"/>
      <c r="G111"/>
    </row>
    <row r="112" spans="1:7" ht="14.25">
      <c r="A112" s="271"/>
      <c r="B112" s="271"/>
      <c r="D112" s="1000"/>
      <c r="E112" s="1000"/>
      <c r="F112" s="1000"/>
      <c r="G112"/>
    </row>
    <row r="113" spans="1:7" ht="14.25">
      <c r="A113" s="271"/>
      <c r="B113" s="271"/>
      <c r="D113" s="1000"/>
      <c r="E113" s="1000"/>
      <c r="F113" s="1000"/>
      <c r="G113"/>
    </row>
    <row r="114" spans="1:7" ht="14.25">
      <c r="A114" s="271"/>
      <c r="B114" s="609" t="s">
        <v>124</v>
      </c>
      <c r="D114" s="979" t="s">
        <v>1546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09" t="s">
        <v>1376</v>
      </c>
      <c r="D122" s="979" t="s">
        <v>1547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09" t="s">
        <v>1376</v>
      </c>
      <c r="D128" s="979" t="s">
        <v>1548</v>
      </c>
      <c r="E128" s="979"/>
      <c r="F128" s="979"/>
    </row>
    <row r="129" spans="1:7" s="323" customFormat="1" ht="13.9" customHeight="1">
      <c r="A129" s="316"/>
      <c r="B129" s="316"/>
      <c r="C129" s="316"/>
      <c r="D129" s="979"/>
      <c r="E129" s="979"/>
      <c r="F129" s="979"/>
      <c r="G129" s="357"/>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09" t="s">
        <v>1376</v>
      </c>
      <c r="D141" s="973" t="s">
        <v>1731</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38" t="s">
        <v>1732</v>
      </c>
      <c r="E159" s="1038"/>
      <c r="F159" s="1038"/>
      <c r="G159"/>
    </row>
    <row r="160" spans="1:7" ht="13.9" customHeight="1">
      <c r="A160" s="18"/>
      <c r="B160" s="18"/>
      <c r="D160" s="44"/>
      <c r="G160"/>
    </row>
    <row r="161" spans="1:7" ht="13.9" customHeight="1">
      <c r="A161" s="271"/>
      <c r="B161" s="609" t="s">
        <v>124</v>
      </c>
      <c r="D161" s="1000" t="s">
        <v>2301</v>
      </c>
      <c r="E161" s="1040"/>
      <c r="F161" s="1040"/>
      <c r="G161"/>
    </row>
    <row r="162" spans="1:7" ht="13.9" customHeight="1">
      <c r="A162" s="271"/>
      <c r="B162" s="18"/>
      <c r="D162" s="1000"/>
      <c r="E162" s="1040"/>
      <c r="F162" s="1040"/>
      <c r="G162"/>
    </row>
    <row r="163" spans="1:7" ht="13.9" customHeight="1">
      <c r="A163" s="271"/>
      <c r="B163" s="18"/>
      <c r="D163" s="1040"/>
      <c r="E163" s="1040"/>
      <c r="F163" s="1040"/>
      <c r="G163"/>
    </row>
    <row r="164" spans="1:7" ht="13.9" customHeight="1">
      <c r="A164" s="271"/>
      <c r="B164" s="18"/>
      <c r="D164" s="1040"/>
      <c r="E164" s="1040"/>
      <c r="F164" s="1040"/>
      <c r="G164"/>
    </row>
    <row r="165" spans="1:7" ht="13.9" customHeight="1">
      <c r="A165" s="18"/>
      <c r="B165" s="18"/>
      <c r="D165" s="1040"/>
      <c r="E165" s="1040"/>
      <c r="F165" s="1040"/>
      <c r="G165"/>
    </row>
    <row r="166" spans="1:7" ht="13.9" customHeight="1">
      <c r="A166" s="18"/>
      <c r="B166" s="18"/>
      <c r="D166" s="44"/>
      <c r="G166"/>
    </row>
    <row r="167" spans="1:7" ht="13.9" customHeight="1">
      <c r="A167" s="271"/>
      <c r="B167" s="609" t="s">
        <v>124</v>
      </c>
      <c r="D167" s="1040" t="s">
        <v>1549</v>
      </c>
      <c r="E167" s="1040"/>
      <c r="F167" s="1040"/>
      <c r="G167"/>
    </row>
    <row r="168" spans="1:7" ht="13.9" customHeight="1">
      <c r="A168" s="18"/>
      <c r="B168" s="18"/>
      <c r="D168" s="1040"/>
      <c r="E168" s="1040"/>
      <c r="F168" s="1040"/>
    </row>
    <row r="169" spans="1:7" ht="13.9" customHeight="1">
      <c r="A169" s="18"/>
      <c r="B169" s="18"/>
      <c r="D169" s="1040"/>
      <c r="E169" s="1040"/>
      <c r="F169" s="1040"/>
    </row>
    <row r="170" spans="1:7" ht="13.9" customHeight="1">
      <c r="A170" s="18"/>
      <c r="B170" s="18"/>
      <c r="D170" s="1040"/>
      <c r="E170" s="1040"/>
      <c r="F170" s="1040"/>
    </row>
    <row r="171" spans="1:7" ht="13.9" customHeight="1">
      <c r="A171" s="18"/>
      <c r="B171" s="18"/>
      <c r="D171" s="44"/>
    </row>
    <row r="172" spans="1:7" ht="13.9" customHeight="1">
      <c r="A172" s="370"/>
      <c r="B172" s="609" t="s">
        <v>124</v>
      </c>
      <c r="C172" s="370"/>
      <c r="D172" s="1036" t="s">
        <v>2140</v>
      </c>
      <c r="E172" s="1036"/>
      <c r="F172" s="1036"/>
      <c r="G172" s="361"/>
    </row>
    <row r="173" spans="1:7" ht="13.9" customHeight="1">
      <c r="A173" s="370"/>
      <c r="B173" s="370"/>
      <c r="C173" s="370"/>
      <c r="D173" s="1036"/>
      <c r="E173" s="1036"/>
      <c r="F173" s="1036"/>
      <c r="G173" s="361"/>
    </row>
    <row r="174" spans="1:7" ht="13.9" customHeight="1">
      <c r="A174" s="370"/>
      <c r="B174" s="370"/>
      <c r="C174" s="370"/>
      <c r="D174" s="1036"/>
      <c r="E174" s="1036"/>
      <c r="F174" s="1036"/>
      <c r="G174" s="361"/>
    </row>
    <row r="175" spans="1:7" ht="12.75">
      <c r="A175" s="370"/>
      <c r="B175" s="370"/>
      <c r="C175" s="370"/>
      <c r="D175" s="372"/>
      <c r="E175" s="361"/>
      <c r="F175" s="361"/>
      <c r="G175" s="361"/>
    </row>
    <row r="176" spans="1:7" ht="12.75">
      <c r="A176" s="1004" t="s">
        <v>1383</v>
      </c>
      <c r="B176" s="1004"/>
      <c r="C176" s="1004"/>
      <c r="D176" s="1004"/>
      <c r="E176" s="1004"/>
      <c r="F176" s="1004"/>
      <c r="G176" s="1004"/>
    </row>
    <row r="177" spans="1:6" ht="12.75">
      <c r="D177" s="44"/>
    </row>
    <row r="178" spans="1:6" ht="12.75">
      <c r="C178" s="590"/>
      <c r="D178" s="1013" t="s">
        <v>1382</v>
      </c>
      <c r="E178" s="1013"/>
      <c r="F178" s="1013"/>
    </row>
    <row r="179" spans="1:6" ht="12.75">
      <c r="A179" s="190"/>
      <c r="B179" s="190"/>
      <c r="C179" s="190"/>
      <c r="D179" s="1037" t="s">
        <v>1415</v>
      </c>
      <c r="E179" s="1037"/>
      <c r="F179" s="1037"/>
    </row>
    <row r="180" spans="1:6" ht="12.75">
      <c r="A180" s="191"/>
      <c r="B180" s="191"/>
      <c r="C180" s="191"/>
    </row>
    <row r="181" spans="1:6" ht="14.25">
      <c r="A181" s="271"/>
      <c r="B181" s="609" t="s">
        <v>124</v>
      </c>
      <c r="D181" s="1002" t="s">
        <v>1734</v>
      </c>
      <c r="E181" s="1003"/>
      <c r="F181" s="1003"/>
    </row>
    <row r="182" spans="1:6" ht="14.25">
      <c r="A182" s="271"/>
      <c r="D182" s="312"/>
      <c r="E182" s="102"/>
      <c r="F182" s="102"/>
    </row>
    <row r="183" spans="1:6" ht="14.25">
      <c r="A183" s="271"/>
      <c r="B183" s="609" t="s">
        <v>124</v>
      </c>
      <c r="D183" s="1003" t="s">
        <v>1550</v>
      </c>
      <c r="E183" s="1003"/>
      <c r="F183" s="1003"/>
    </row>
    <row r="184" spans="1:6" ht="14.25">
      <c r="A184" s="271"/>
      <c r="D184" s="102"/>
      <c r="E184" s="102"/>
      <c r="F184" s="102"/>
    </row>
    <row r="185" spans="1:6" ht="14.25">
      <c r="A185" s="271"/>
      <c r="B185" s="609" t="s">
        <v>124</v>
      </c>
      <c r="D185" s="1039" t="s">
        <v>1812</v>
      </c>
      <c r="E185" s="1039"/>
      <c r="F185" s="1039"/>
    </row>
    <row r="186" spans="1:6" ht="13.7" customHeight="1">
      <c r="A186" s="271"/>
      <c r="D186" s="41" t="s">
        <v>900</v>
      </c>
      <c r="E186" s="973" t="s">
        <v>2135</v>
      </c>
      <c r="F186" s="973"/>
    </row>
    <row r="187" spans="1:6" ht="14.25">
      <c r="A187" s="271"/>
      <c r="D187" s="776"/>
      <c r="E187" s="973"/>
      <c r="F187" s="973"/>
    </row>
    <row r="188" spans="1:6" ht="14.25">
      <c r="A188" s="271"/>
      <c r="D188" s="776"/>
      <c r="E188" s="973"/>
      <c r="F188" s="973"/>
    </row>
    <row r="189" spans="1:6" ht="14.25">
      <c r="A189" s="271"/>
      <c r="D189"/>
      <c r="E189" s="973"/>
      <c r="F189" s="973"/>
    </row>
    <row r="190" spans="1:6" ht="13.7" customHeight="1">
      <c r="A190" s="271"/>
      <c r="D190" s="776" t="s">
        <v>901</v>
      </c>
      <c r="E190" s="973" t="s">
        <v>1813</v>
      </c>
      <c r="F190" s="973"/>
    </row>
    <row r="191" spans="1:6" ht="13.7" customHeight="1">
      <c r="A191" s="271"/>
      <c r="D191" s="776"/>
      <c r="E191" s="973"/>
      <c r="F191" s="973"/>
    </row>
    <row r="192" spans="1:6" ht="13.7" customHeight="1">
      <c r="A192" s="271"/>
      <c r="D192" s="776"/>
      <c r="E192" s="973"/>
      <c r="F192" s="973"/>
    </row>
    <row r="193" spans="1:7" ht="13.7" customHeight="1">
      <c r="A193" s="271"/>
      <c r="D193" s="776"/>
      <c r="E193" s="973"/>
      <c r="F193" s="973"/>
    </row>
    <row r="194" spans="1:7" ht="13.7" customHeight="1">
      <c r="A194" s="271"/>
      <c r="D194" s="776"/>
      <c r="E194" s="973"/>
      <c r="F194" s="973"/>
    </row>
    <row r="195" spans="1:7" ht="14.25">
      <c r="A195" s="271"/>
      <c r="D195"/>
      <c r="E195" s="973"/>
      <c r="F195" s="973"/>
    </row>
    <row r="196" spans="1:7" ht="14.25">
      <c r="A196" s="271"/>
      <c r="D196"/>
      <c r="E196" s="973"/>
      <c r="F196" s="973"/>
    </row>
    <row r="197" spans="1:7" ht="12.75"/>
    <row r="198" spans="1:7" ht="14.25">
      <c r="A198" s="271"/>
      <c r="B198" s="609" t="s">
        <v>124</v>
      </c>
      <c r="D198" s="973" t="s">
        <v>2305</v>
      </c>
      <c r="E198" s="979"/>
      <c r="F198" s="979"/>
    </row>
    <row r="199" spans="1:7" ht="14.25">
      <c r="A199" s="271"/>
      <c r="B199" s="271"/>
      <c r="D199" s="979"/>
      <c r="E199" s="979"/>
      <c r="F199" s="979"/>
    </row>
    <row r="200" spans="1:7" ht="14.25">
      <c r="A200" s="271"/>
      <c r="B200" s="271"/>
      <c r="D200" s="979"/>
      <c r="E200" s="979"/>
      <c r="F200" s="979"/>
    </row>
    <row r="201" spans="1:7" ht="14.25">
      <c r="A201" s="271"/>
      <c r="B201" s="271"/>
      <c r="D201" s="979"/>
      <c r="E201" s="979"/>
      <c r="F201" s="979"/>
    </row>
    <row r="202" spans="1:7" ht="12.75">
      <c r="D202" s="1038" t="s">
        <v>2307</v>
      </c>
      <c r="E202" s="1038"/>
      <c r="F202" s="1038"/>
    </row>
    <row r="203" spans="1:7" ht="12.75">
      <c r="D203" s="625"/>
      <c r="E203" s="625"/>
      <c r="F203" s="625"/>
    </row>
    <row r="204" spans="1:7" ht="14.25">
      <c r="A204" s="271"/>
      <c r="B204" s="609" t="s">
        <v>124</v>
      </c>
      <c r="D204" s="998" t="s">
        <v>2308</v>
      </c>
      <c r="E204" s="999"/>
      <c r="F204" s="999"/>
    </row>
    <row r="205" spans="1:7" ht="12.75"/>
    <row r="206" spans="1:7" ht="12.75">
      <c r="A206" s="1004" t="s">
        <v>1385</v>
      </c>
      <c r="B206" s="1004"/>
      <c r="C206" s="1004"/>
      <c r="D206" s="1004"/>
      <c r="E206" s="1004"/>
      <c r="F206" s="1004"/>
      <c r="G206" s="1004"/>
    </row>
    <row r="207" spans="1:7" ht="12.75"/>
    <row r="208" spans="1:7" ht="12.75">
      <c r="C208" s="591"/>
      <c r="D208" s="1013" t="s">
        <v>1384</v>
      </c>
      <c r="E208" s="1013"/>
      <c r="F208" s="1013"/>
    </row>
    <row r="209" spans="1:6" ht="12.75">
      <c r="A209" s="592"/>
      <c r="B209" s="592"/>
      <c r="C209" s="591"/>
      <c r="D209" s="1013" t="s">
        <v>697</v>
      </c>
      <c r="E209" s="1013"/>
      <c r="F209" s="1013"/>
    </row>
    <row r="210" spans="1:6" ht="12.75">
      <c r="A210" s="190"/>
      <c r="B210" s="190"/>
      <c r="C210" s="190"/>
      <c r="D210" s="1003" t="s">
        <v>1416</v>
      </c>
      <c r="E210" s="1003"/>
      <c r="F210" s="1003"/>
    </row>
    <row r="211" spans="1:6" ht="12.75">
      <c r="A211" s="190"/>
      <c r="B211" s="190"/>
      <c r="C211" s="190"/>
    </row>
    <row r="212" spans="1:6" ht="12.75">
      <c r="A212" s="190"/>
      <c r="B212" s="190"/>
      <c r="C212" s="190"/>
      <c r="D212" s="979" t="s">
        <v>1426</v>
      </c>
      <c r="E212" s="979"/>
      <c r="F212" s="979"/>
    </row>
    <row r="213" spans="1:6" ht="12.75">
      <c r="A213" s="190"/>
      <c r="B213" s="190"/>
      <c r="C213" s="190"/>
      <c r="D213" s="979"/>
      <c r="E213" s="979"/>
      <c r="F213" s="979"/>
    </row>
    <row r="214" spans="1:6" ht="12.75">
      <c r="A214" s="190"/>
      <c r="B214" s="190"/>
      <c r="C214" s="190"/>
      <c r="D214" s="979"/>
      <c r="E214" s="979"/>
      <c r="F214" s="979"/>
    </row>
    <row r="215" spans="1:6" ht="12.75">
      <c r="A215" s="190"/>
      <c r="B215" s="190"/>
      <c r="C215" s="190"/>
      <c r="D215" s="979"/>
      <c r="E215" s="979"/>
      <c r="F215" s="979"/>
    </row>
    <row r="216" spans="1:6" ht="12.75">
      <c r="A216" s="190"/>
      <c r="B216" s="190"/>
      <c r="C216" s="190"/>
    </row>
    <row r="217" spans="1:6" ht="12.75">
      <c r="A217" s="190"/>
      <c r="B217" s="190"/>
      <c r="C217" s="190"/>
      <c r="D217" s="973" t="s">
        <v>2141</v>
      </c>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0"/>
      <c r="B221" s="190"/>
      <c r="C221" s="190"/>
      <c r="D221" s="979"/>
      <c r="E221" s="979"/>
      <c r="F221" s="979"/>
    </row>
    <row r="222" spans="1:6" ht="12.75">
      <c r="A222" s="190"/>
      <c r="B222" s="190"/>
      <c r="C222" s="190"/>
      <c r="D222" s="979"/>
      <c r="E222" s="979"/>
      <c r="F222" s="979"/>
    </row>
    <row r="223" spans="1:6" ht="12.75">
      <c r="A223" s="191"/>
      <c r="B223" s="191"/>
      <c r="C223" s="191"/>
    </row>
    <row r="224" spans="1:6" ht="14.45" customHeight="1">
      <c r="A224" s="271"/>
      <c r="B224" s="609" t="s">
        <v>1376</v>
      </c>
      <c r="C224" s="191"/>
      <c r="D224" s="999" t="s">
        <v>292</v>
      </c>
      <c r="E224" s="999"/>
      <c r="F224" s="999"/>
    </row>
    <row r="225" spans="1:6" ht="14.25">
      <c r="A225" s="271"/>
      <c r="C225" s="191"/>
      <c r="D225" s="1003" t="s">
        <v>1111</v>
      </c>
      <c r="E225" s="1003"/>
      <c r="F225" s="1003"/>
    </row>
    <row r="226" spans="1:6" ht="14.25">
      <c r="A226" s="271"/>
      <c r="B226" s="271"/>
      <c r="C226" s="191"/>
      <c r="D226" s="104" t="s">
        <v>1430</v>
      </c>
      <c r="E226" s="1011" t="s">
        <v>2070</v>
      </c>
      <c r="F226" s="1011"/>
    </row>
    <row r="227" spans="1:6" ht="12.75">
      <c r="D227" s="1002" t="s">
        <v>1409</v>
      </c>
      <c r="E227" s="1003"/>
      <c r="F227" s="1003"/>
    </row>
    <row r="228" spans="1:6" ht="12.75"/>
    <row r="229" spans="1:6" ht="14.25">
      <c r="A229" s="271"/>
      <c r="B229" s="609" t="s">
        <v>124</v>
      </c>
      <c r="D229" s="1003" t="s">
        <v>293</v>
      </c>
      <c r="E229" s="1003"/>
      <c r="F229" s="1003"/>
    </row>
    <row r="230" spans="1:6" ht="14.25">
      <c r="A230" s="271"/>
      <c r="D230" s="999" t="s">
        <v>1111</v>
      </c>
      <c r="E230" s="999"/>
      <c r="F230" s="999"/>
    </row>
    <row r="231" spans="1:6" ht="14.25">
      <c r="A231" s="271"/>
      <c r="B231" s="271"/>
      <c r="D231" s="63" t="s">
        <v>1431</v>
      </c>
      <c r="E231" s="1011" t="s">
        <v>2071</v>
      </c>
      <c r="F231" s="1011"/>
    </row>
    <row r="232" spans="1:6" ht="12.75">
      <c r="D232" s="1003" t="s">
        <v>1410</v>
      </c>
      <c r="E232" s="1003"/>
      <c r="F232" s="1003"/>
    </row>
    <row r="233" spans="1:6" ht="12.75"/>
    <row r="234" spans="1:6" ht="14.25">
      <c r="A234" s="271"/>
      <c r="B234" s="609" t="s">
        <v>124</v>
      </c>
      <c r="D234" s="1003" t="s">
        <v>641</v>
      </c>
      <c r="E234" s="1003"/>
      <c r="F234" s="1003"/>
    </row>
    <row r="235" spans="1:6" ht="14.25">
      <c r="A235" s="271"/>
      <c r="D235" s="44" t="s">
        <v>1111</v>
      </c>
    </row>
    <row r="236" spans="1:6" ht="14.25">
      <c r="A236" s="271"/>
      <c r="B236" s="271"/>
      <c r="D236" s="63" t="s">
        <v>1430</v>
      </c>
      <c r="E236" s="1011" t="s">
        <v>2072</v>
      </c>
      <c r="F236" s="1011"/>
    </row>
    <row r="237" spans="1:6" ht="14.25">
      <c r="A237" s="271"/>
      <c r="B237" s="271"/>
      <c r="D237" s="979" t="s">
        <v>1433</v>
      </c>
      <c r="E237" s="979"/>
      <c r="F237" s="979"/>
    </row>
    <row r="238" spans="1:6" ht="12.75">
      <c r="D238" s="979"/>
      <c r="E238" s="979"/>
      <c r="F238" s="979"/>
    </row>
    <row r="239" spans="1:6" ht="12.75">
      <c r="D239" s="979"/>
      <c r="E239" s="979"/>
      <c r="F239" s="979"/>
    </row>
    <row r="240" spans="1:6" ht="12.75">
      <c r="D240" s="979"/>
      <c r="E240" s="979"/>
      <c r="F240" s="979"/>
    </row>
    <row r="241" spans="1:6" ht="12.75">
      <c r="D241" s="979"/>
      <c r="E241" s="979"/>
      <c r="F241" s="979"/>
    </row>
    <row r="242" spans="1:6" ht="12.75">
      <c r="D242" s="979" t="s">
        <v>1411</v>
      </c>
      <c r="E242" s="979"/>
      <c r="F242" s="979"/>
    </row>
    <row r="243" spans="1:6" ht="12.75">
      <c r="D243" s="44"/>
    </row>
    <row r="244" spans="1:6" ht="14.25">
      <c r="A244" s="271"/>
      <c r="B244" s="609" t="s">
        <v>124</v>
      </c>
      <c r="D244" s="1003" t="s">
        <v>642</v>
      </c>
      <c r="E244" s="1003"/>
      <c r="F244" s="1003"/>
    </row>
    <row r="245" spans="1:6" ht="14.25">
      <c r="A245" s="271"/>
      <c r="D245" s="1003" t="s">
        <v>1111</v>
      </c>
      <c r="E245" s="1003"/>
      <c r="F245" s="1003"/>
    </row>
    <row r="246" spans="1:6" ht="14.25">
      <c r="A246" s="271"/>
      <c r="B246" s="271"/>
      <c r="D246" s="63" t="s">
        <v>1430</v>
      </c>
      <c r="E246" s="1011" t="s">
        <v>2073</v>
      </c>
      <c r="F246" s="1011"/>
    </row>
    <row r="247" spans="1:6" ht="12.75">
      <c r="D247" s="1002" t="s">
        <v>1932</v>
      </c>
      <c r="E247" s="1003"/>
      <c r="F247" s="1003"/>
    </row>
    <row r="248" spans="1:6" ht="12.75">
      <c r="D248" s="102"/>
      <c r="E248" s="102"/>
      <c r="F248" s="102"/>
    </row>
    <row r="249" spans="1:6" ht="14.25">
      <c r="A249" s="271"/>
      <c r="B249" s="609" t="s">
        <v>124</v>
      </c>
      <c r="D249" s="1002" t="s">
        <v>1931</v>
      </c>
      <c r="E249" s="1003"/>
      <c r="F249" s="1003"/>
    </row>
    <row r="250" spans="1:6" ht="14.25">
      <c r="A250" s="271"/>
      <c r="D250" s="1003" t="s">
        <v>1111</v>
      </c>
      <c r="E250" s="1003"/>
      <c r="F250" s="1003"/>
    </row>
    <row r="251" spans="1:6" ht="14.25">
      <c r="A251" s="271"/>
      <c r="B251" s="271"/>
      <c r="D251" s="63" t="s">
        <v>1430</v>
      </c>
      <c r="E251" s="1011" t="s">
        <v>2074</v>
      </c>
      <c r="F251" s="1011"/>
    </row>
    <row r="252" spans="1:6" ht="12.75">
      <c r="D252" s="1002" t="s">
        <v>1933</v>
      </c>
      <c r="E252" s="1003"/>
      <c r="F252" s="1003"/>
    </row>
    <row r="253" spans="1:6" ht="12.75">
      <c r="D253" s="44"/>
    </row>
    <row r="254" spans="1:6" ht="14.25">
      <c r="A254" s="271"/>
      <c r="B254" s="609" t="s">
        <v>124</v>
      </c>
      <c r="D254" s="102" t="s">
        <v>1453</v>
      </c>
      <c r="E254" s="102"/>
      <c r="F254" s="102"/>
    </row>
    <row r="255" spans="1:6" ht="14.25">
      <c r="A255" s="271"/>
      <c r="B255"/>
      <c r="D255" s="973" t="s">
        <v>1755</v>
      </c>
      <c r="E255" s="979"/>
      <c r="F255" s="979"/>
    </row>
    <row r="256" spans="1:6" ht="14.25">
      <c r="A256" s="271"/>
      <c r="D256" s="979"/>
      <c r="E256" s="979"/>
      <c r="F256" s="979"/>
    </row>
    <row r="257" spans="1:7" ht="14.25">
      <c r="A257" s="271"/>
      <c r="D257" s="979"/>
      <c r="E257" s="979"/>
      <c r="F257" s="979"/>
    </row>
    <row r="258" spans="1:7" ht="14.25">
      <c r="A258" s="271"/>
      <c r="D258" s="24"/>
      <c r="E258" s="24"/>
      <c r="F258" s="24"/>
    </row>
    <row r="259" spans="1:7" ht="14.25">
      <c r="A259" s="271"/>
      <c r="B259" s="609" t="s">
        <v>124</v>
      </c>
      <c r="D259" s="1003" t="s">
        <v>1022</v>
      </c>
      <c r="E259" s="1003"/>
      <c r="F259" s="1003"/>
    </row>
    <row r="260" spans="1:7" ht="14.25">
      <c r="A260" s="271"/>
      <c r="D260" s="102"/>
      <c r="E260" s="102"/>
      <c r="F260" s="102"/>
    </row>
    <row r="261" spans="1:7" ht="12.75">
      <c r="A261" s="1004" t="s">
        <v>1387</v>
      </c>
      <c r="B261" s="1004"/>
      <c r="C261" s="1004"/>
      <c r="D261" s="1004"/>
      <c r="E261" s="1004"/>
      <c r="F261" s="1004"/>
      <c r="G261" s="1004"/>
    </row>
    <row r="262" spans="1:7" ht="12.75">
      <c r="D262" s="44"/>
    </row>
    <row r="263" spans="1:7" ht="12.75">
      <c r="C263" s="590"/>
      <c r="D263" s="1005" t="s">
        <v>1386</v>
      </c>
      <c r="E263" s="1005"/>
      <c r="F263" s="1005"/>
    </row>
    <row r="264" spans="1:7" ht="12.75">
      <c r="A264" s="190"/>
      <c r="B264" s="190"/>
      <c r="C264" s="190"/>
      <c r="D264" s="999" t="s">
        <v>1417</v>
      </c>
      <c r="E264" s="999"/>
      <c r="F264" s="999"/>
    </row>
    <row r="265" spans="1:7" ht="12.75">
      <c r="A265" s="18"/>
      <c r="B265" s="18"/>
      <c r="C265" s="18"/>
      <c r="D265" s="3"/>
    </row>
    <row r="266" spans="1:7" ht="12.75">
      <c r="A266" s="18"/>
      <c r="C266" s="18"/>
      <c r="D266" s="1005" t="s">
        <v>209</v>
      </c>
      <c r="E266" s="1005"/>
      <c r="F266" s="1005"/>
      <c r="G266"/>
    </row>
    <row r="267" spans="1:7" ht="14.45" customHeight="1">
      <c r="A267" s="271"/>
      <c r="B267" s="609" t="s">
        <v>1376</v>
      </c>
      <c r="C267" s="880"/>
      <c r="D267" s="1014" t="s">
        <v>2010</v>
      </c>
      <c r="E267" s="1014"/>
      <c r="F267" s="1014"/>
      <c r="G267"/>
    </row>
    <row r="268" spans="1:7" ht="14.25">
      <c r="A268" s="271"/>
      <c r="B268" s="881"/>
      <c r="C268" s="880"/>
      <c r="D268" s="1014"/>
      <c r="E268" s="1014"/>
      <c r="F268" s="1014"/>
      <c r="G268"/>
    </row>
    <row r="269" spans="1:7" ht="14.25">
      <c r="A269" s="271"/>
      <c r="B269" s="881"/>
      <c r="C269" s="880"/>
      <c r="D269" s="1014"/>
      <c r="E269" s="1014"/>
      <c r="F269" s="1014"/>
      <c r="G269"/>
    </row>
    <row r="270" spans="1:7" ht="14.45" customHeight="1">
      <c r="A270" s="271"/>
      <c r="B270" s="881"/>
      <c r="C270" s="880"/>
      <c r="D270" s="1014"/>
      <c r="E270" s="1014"/>
      <c r="F270" s="1014"/>
      <c r="G270"/>
    </row>
    <row r="271" spans="1:7" ht="14.25">
      <c r="A271" s="271"/>
      <c r="B271" s="881"/>
      <c r="C271" s="880"/>
      <c r="D271" s="882"/>
      <c r="E271" s="882"/>
      <c r="F271" s="882"/>
      <c r="G271"/>
    </row>
    <row r="272" spans="1:7" ht="14.25">
      <c r="A272" s="271"/>
      <c r="B272" s="609" t="s">
        <v>1376</v>
      </c>
      <c r="C272" s="880"/>
      <c r="D272" s="1014" t="s">
        <v>2011</v>
      </c>
      <c r="E272" s="1014"/>
      <c r="F272" s="1014"/>
      <c r="G272"/>
    </row>
    <row r="273" spans="1:7" ht="14.25">
      <c r="A273" s="271"/>
      <c r="B273" s="881"/>
      <c r="C273" s="880"/>
      <c r="D273" s="1014"/>
      <c r="E273" s="1014"/>
      <c r="F273" s="1014"/>
      <c r="G273"/>
    </row>
    <row r="274" spans="1:7" ht="14.25">
      <c r="A274" s="271"/>
      <c r="B274" s="881"/>
      <c r="C274" s="880"/>
      <c r="D274" s="1014"/>
      <c r="E274" s="1014"/>
      <c r="F274" s="1014"/>
      <c r="G274"/>
    </row>
    <row r="275" spans="1:7" ht="14.25">
      <c r="A275" s="271"/>
      <c r="B275" s="881"/>
      <c r="C275" s="880"/>
      <c r="D275" s="1014"/>
      <c r="E275" s="1014"/>
      <c r="F275" s="1014"/>
      <c r="G275"/>
    </row>
    <row r="276" spans="1:7" ht="14.25">
      <c r="A276" s="271"/>
      <c r="B276" s="881"/>
      <c r="C276" s="880"/>
      <c r="D276" s="1014"/>
      <c r="E276" s="1014"/>
      <c r="F276" s="1014"/>
      <c r="G276"/>
    </row>
    <row r="277" spans="1:7" ht="14.25">
      <c r="A277" s="271"/>
      <c r="B277" s="881"/>
      <c r="C277" s="880"/>
      <c r="D277" s="882"/>
      <c r="E277" s="882"/>
      <c r="F277" s="882"/>
      <c r="G277"/>
    </row>
    <row r="278" spans="1:7" ht="14.25">
      <c r="A278" s="271"/>
      <c r="B278" s="881"/>
      <c r="C278" s="880"/>
      <c r="D278" s="1014" t="s">
        <v>1559</v>
      </c>
      <c r="E278" s="1014"/>
      <c r="F278" s="1014"/>
      <c r="G278"/>
    </row>
    <row r="279" spans="1:7" ht="14.25">
      <c r="A279" s="271"/>
      <c r="B279" s="881"/>
      <c r="C279" s="880"/>
      <c r="D279" s="1014"/>
      <c r="E279" s="1014"/>
      <c r="F279" s="1014"/>
      <c r="G279"/>
    </row>
    <row r="280" spans="1:7" ht="14.25">
      <c r="A280" s="271"/>
      <c r="B280" s="881"/>
      <c r="C280" s="880"/>
      <c r="D280" s="1014"/>
      <c r="E280" s="1014"/>
      <c r="F280" s="1014"/>
      <c r="G280"/>
    </row>
    <row r="281" spans="1:7" ht="14.25">
      <c r="A281" s="271"/>
      <c r="B281" s="881"/>
      <c r="C281" s="880"/>
      <c r="D281" s="1014"/>
      <c r="E281" s="1014"/>
      <c r="F281" s="1014"/>
      <c r="G281"/>
    </row>
    <row r="282" spans="1:7" ht="14.25">
      <c r="A282" s="271"/>
      <c r="B282" s="881"/>
      <c r="C282" s="880"/>
      <c r="D282" s="1014"/>
      <c r="E282" s="1014"/>
      <c r="F282" s="1014"/>
      <c r="G282"/>
    </row>
    <row r="283" spans="1:7" ht="14.25">
      <c r="A283" s="271"/>
      <c r="B283" s="271"/>
      <c r="D283" s="209"/>
      <c r="E283" s="209"/>
      <c r="F283" s="209"/>
      <c r="G283"/>
    </row>
    <row r="284" spans="1:7" s="448" customFormat="1" ht="14.45" customHeight="1">
      <c r="A284" s="289"/>
      <c r="B284" s="609" t="s">
        <v>124</v>
      </c>
      <c r="C284" s="798"/>
      <c r="D284" s="1012" t="s">
        <v>1926</v>
      </c>
      <c r="E284" s="1012"/>
      <c r="F284" s="1012"/>
      <c r="G284" s="799"/>
    </row>
    <row r="285" spans="1:7" s="448" customFormat="1" ht="14.25">
      <c r="A285" s="289"/>
      <c r="B285" s="798"/>
      <c r="C285" s="798"/>
      <c r="D285" s="1012"/>
      <c r="E285" s="1012"/>
      <c r="F285" s="1012"/>
      <c r="G285" s="799"/>
    </row>
    <row r="286" spans="1:7" s="448" customFormat="1" ht="14.25">
      <c r="A286" s="289"/>
      <c r="B286" s="798"/>
      <c r="C286" s="798"/>
      <c r="D286" s="1012"/>
      <c r="E286" s="1012"/>
      <c r="F286" s="1012"/>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9" t="s">
        <v>1112</v>
      </c>
      <c r="E289" s="999"/>
      <c r="F289" s="999"/>
      <c r="G289"/>
    </row>
    <row r="290" spans="1:7" ht="14.25">
      <c r="A290" s="271"/>
      <c r="B290" s="271"/>
      <c r="D290" s="999" t="s">
        <v>1560</v>
      </c>
      <c r="E290" s="999"/>
      <c r="F290" s="999"/>
      <c r="G290"/>
    </row>
    <row r="291" spans="1:7" ht="14.25">
      <c r="A291" s="271"/>
      <c r="B291" s="271"/>
      <c r="D291" s="3" t="s">
        <v>1042</v>
      </c>
      <c r="E291" s="927" t="s">
        <v>2076</v>
      </c>
      <c r="F291" s="3"/>
    </row>
    <row r="292" spans="1:7" ht="12.75">
      <c r="D292" s="28"/>
    </row>
    <row r="293" spans="1:7" ht="14.25">
      <c r="A293" s="271"/>
      <c r="B293" s="609" t="s">
        <v>1376</v>
      </c>
      <c r="D293" s="979" t="s">
        <v>1561</v>
      </c>
      <c r="E293" s="979"/>
      <c r="F293" s="979"/>
    </row>
    <row r="294" spans="1:7" ht="14.25">
      <c r="A294" s="271"/>
      <c r="B294" s="271"/>
      <c r="D294" s="979"/>
      <c r="E294" s="979"/>
      <c r="F294" s="979"/>
    </row>
    <row r="295" spans="1:7" ht="12.75">
      <c r="D295" s="28"/>
    </row>
    <row r="296" spans="1:7" ht="12.75">
      <c r="A296" s="1004" t="s">
        <v>1389</v>
      </c>
      <c r="B296" s="1004"/>
      <c r="C296" s="1004"/>
      <c r="D296" s="1004"/>
      <c r="E296" s="1004"/>
      <c r="F296" s="1004"/>
      <c r="G296" s="1004"/>
    </row>
    <row r="297" spans="1:7" ht="12.75">
      <c r="D297" s="28"/>
    </row>
    <row r="298" spans="1:7" ht="12.75">
      <c r="C298" s="590"/>
      <c r="D298" s="1005" t="s">
        <v>1388</v>
      </c>
      <c r="E298" s="1005"/>
      <c r="F298" s="1005"/>
    </row>
    <row r="299" spans="1:7" ht="12.75">
      <c r="A299" s="190"/>
      <c r="B299" s="190"/>
      <c r="C299" s="190"/>
      <c r="D299" s="44"/>
    </row>
    <row r="300" spans="1:7" ht="12.75">
      <c r="A300" s="191"/>
      <c r="B300" s="191"/>
      <c r="C300" s="191"/>
      <c r="D300" s="1005" t="s">
        <v>211</v>
      </c>
      <c r="E300" s="1005"/>
      <c r="F300" s="1005"/>
    </row>
    <row r="301" spans="1:7" ht="14.45" customHeight="1">
      <c r="A301" s="271"/>
      <c r="B301" s="609" t="s">
        <v>124</v>
      </c>
      <c r="D301" s="973" t="s">
        <v>1883</v>
      </c>
      <c r="E301" s="979"/>
      <c r="F301" s="979"/>
    </row>
    <row r="302" spans="1:7" ht="12.75">
      <c r="D302" s="979"/>
      <c r="E302" s="979"/>
      <c r="F302" s="979"/>
    </row>
    <row r="303" spans="1:7" ht="12.75">
      <c r="D303" s="979"/>
      <c r="E303" s="979"/>
      <c r="F303" s="979"/>
    </row>
    <row r="304" spans="1:7" ht="12.75">
      <c r="D304" s="24"/>
      <c r="E304" s="24"/>
      <c r="F304" s="24"/>
    </row>
    <row r="305" spans="1:7" s="448" customFormat="1" ht="14.45" customHeight="1">
      <c r="A305" s="289"/>
      <c r="B305" s="609" t="s">
        <v>124</v>
      </c>
      <c r="C305" s="798"/>
      <c r="D305" s="1012" t="s">
        <v>1927</v>
      </c>
      <c r="E305" s="1012"/>
      <c r="F305" s="1012"/>
      <c r="G305" s="799"/>
    </row>
    <row r="306" spans="1:7" s="448" customFormat="1" ht="12.75">
      <c r="A306" s="798"/>
      <c r="B306" s="798"/>
      <c r="C306" s="798"/>
      <c r="D306" s="1012"/>
      <c r="E306" s="1012"/>
      <c r="F306" s="1012"/>
      <c r="G306" s="799"/>
    </row>
    <row r="307" spans="1:7" s="448" customFormat="1" ht="12.75">
      <c r="A307" s="798"/>
      <c r="B307" s="798"/>
      <c r="C307" s="798"/>
      <c r="D307" s="1012"/>
      <c r="E307" s="1012"/>
      <c r="F307" s="1012"/>
      <c r="G307" s="799"/>
    </row>
    <row r="308" spans="1:7" s="448" customFormat="1" ht="12.75">
      <c r="A308" s="798"/>
      <c r="B308" s="798"/>
      <c r="C308" s="798"/>
      <c r="E308" s="373" t="s">
        <v>2077</v>
      </c>
      <c r="F308" s="373"/>
      <c r="G308" s="799"/>
    </row>
    <row r="309" spans="1:7" ht="12.75">
      <c r="D309" s="212"/>
    </row>
    <row r="310" spans="1:7" ht="12.75">
      <c r="A310" s="1004" t="s">
        <v>1390</v>
      </c>
      <c r="B310" s="1004"/>
      <c r="C310" s="1004"/>
      <c r="D310" s="1004"/>
      <c r="E310" s="1004"/>
      <c r="F310" s="1004"/>
      <c r="G310" s="1004"/>
    </row>
    <row r="311" spans="1:7" ht="12.75">
      <c r="D311" s="212"/>
    </row>
    <row r="312" spans="1:7" ht="12.75">
      <c r="C312" s="190"/>
      <c r="D312" s="1006" t="s">
        <v>1562</v>
      </c>
      <c r="E312" s="1006"/>
      <c r="F312" s="1006"/>
    </row>
    <row r="313" spans="1:7" ht="12.75">
      <c r="C313" s="190"/>
      <c r="D313" s="1006"/>
      <c r="E313" s="1006"/>
      <c r="F313" s="1006"/>
    </row>
    <row r="314" spans="1:7" ht="12.75">
      <c r="A314" s="191"/>
      <c r="B314" s="191"/>
      <c r="C314" s="191"/>
      <c r="D314" s="3"/>
    </row>
    <row r="315" spans="1:7" ht="12.75">
      <c r="C315" s="191"/>
      <c r="D315" s="1005" t="s">
        <v>162</v>
      </c>
      <c r="E315" s="1005"/>
      <c r="F315" s="1005"/>
    </row>
    <row r="316" spans="1:7" ht="14.25">
      <c r="A316" s="271"/>
      <c r="B316" s="271"/>
      <c r="D316" s="1016" t="s">
        <v>1563</v>
      </c>
      <c r="E316" s="1016"/>
      <c r="F316" s="1016"/>
    </row>
    <row r="317" spans="1:7" ht="12" customHeight="1"/>
    <row r="318" spans="1:7" ht="14.45" customHeight="1">
      <c r="A318" s="271"/>
      <c r="B318" s="609" t="s">
        <v>124</v>
      </c>
      <c r="D318" s="979" t="s">
        <v>1564</v>
      </c>
      <c r="E318" s="979"/>
      <c r="F318" s="979"/>
    </row>
    <row r="319" spans="1:7" ht="14.25">
      <c r="A319" s="271"/>
      <c r="B319" s="271"/>
      <c r="D319" s="979"/>
      <c r="E319" s="979"/>
      <c r="F319" s="979"/>
    </row>
    <row r="320" spans="1:7" ht="12.75"/>
    <row r="321" spans="1:7" ht="14.45" customHeight="1">
      <c r="A321" s="271"/>
      <c r="B321" s="609" t="s">
        <v>124</v>
      </c>
      <c r="D321" s="979" t="s">
        <v>1565</v>
      </c>
      <c r="E321" s="979"/>
      <c r="F321" s="979"/>
    </row>
    <row r="322" spans="1:7" ht="14.25">
      <c r="A322" s="271"/>
      <c r="B322" s="271"/>
      <c r="D322" s="979"/>
      <c r="E322" s="979"/>
      <c r="F322" s="979"/>
    </row>
    <row r="323" spans="1:7" ht="14.25">
      <c r="A323" s="271"/>
      <c r="B323" s="271"/>
      <c r="D323" s="979"/>
      <c r="E323" s="979"/>
      <c r="F323" s="979"/>
    </row>
    <row r="324" spans="1:7" ht="12.75">
      <c r="D324" s="44"/>
      <c r="E324"/>
      <c r="F324"/>
      <c r="G324"/>
    </row>
    <row r="325" spans="1:7" ht="14.25">
      <c r="A325" s="271"/>
      <c r="B325" s="609" t="s">
        <v>124</v>
      </c>
      <c r="D325" s="979" t="s">
        <v>1566</v>
      </c>
      <c r="E325" s="979"/>
      <c r="F325" s="979"/>
    </row>
    <row r="326" spans="1:7" ht="14.25">
      <c r="A326" s="271"/>
      <c r="B326" s="271"/>
      <c r="D326" s="979"/>
      <c r="E326" s="979"/>
      <c r="F326" s="979"/>
    </row>
    <row r="327" spans="1:7" ht="12.75">
      <c r="A327" s="18"/>
      <c r="B327" s="18"/>
      <c r="D327" s="44"/>
    </row>
    <row r="328" spans="1:7" ht="12.75">
      <c r="A328" s="1004" t="s">
        <v>1377</v>
      </c>
      <c r="B328" s="1004"/>
      <c r="C328" s="1004"/>
      <c r="D328" s="1004"/>
      <c r="E328" s="1004"/>
      <c r="F328" s="1004"/>
      <c r="G328" s="1004"/>
    </row>
    <row r="329" spans="1:7" ht="12.75">
      <c r="A329" s="18"/>
      <c r="B329" s="18"/>
      <c r="D329" s="44"/>
      <c r="G329"/>
    </row>
    <row r="330" spans="1:7" ht="12.75">
      <c r="C330" s="18"/>
      <c r="D330" s="1005" t="s">
        <v>163</v>
      </c>
      <c r="E330" s="1005"/>
      <c r="F330" s="1005"/>
      <c r="G330"/>
    </row>
    <row r="331" spans="1:7" ht="12.75">
      <c r="C331" s="18"/>
      <c r="D331" s="999" t="s">
        <v>1418</v>
      </c>
      <c r="E331" s="999"/>
      <c r="F331" s="999"/>
      <c r="G331"/>
    </row>
    <row r="332" spans="1:7" ht="12.75">
      <c r="C332" s="18"/>
      <c r="D332" s="182"/>
      <c r="G332"/>
    </row>
    <row r="333" spans="1:7" ht="12.75">
      <c r="B333" s="609" t="s">
        <v>124</v>
      </c>
      <c r="D333" s="999" t="s">
        <v>1567</v>
      </c>
      <c r="E333" s="999"/>
      <c r="F333" s="999"/>
      <c r="G333"/>
    </row>
    <row r="334" spans="1:7" ht="14.25">
      <c r="A334" s="271"/>
      <c r="B334" s="271"/>
      <c r="D334" s="420"/>
      <c r="G334"/>
    </row>
    <row r="335" spans="1:7" ht="14.25">
      <c r="A335" s="271"/>
      <c r="B335" s="609" t="s">
        <v>124</v>
      </c>
      <c r="D335" s="999" t="s">
        <v>1568</v>
      </c>
      <c r="E335" s="999"/>
      <c r="F335" s="999"/>
      <c r="G335"/>
    </row>
    <row r="336" spans="1:7" ht="12.75">
      <c r="G336"/>
    </row>
    <row r="337" spans="1:7" ht="14.45" customHeight="1">
      <c r="A337" s="271"/>
      <c r="B337" s="609" t="s">
        <v>124</v>
      </c>
      <c r="D337" s="979" t="s">
        <v>1574</v>
      </c>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c r="G343"/>
    </row>
    <row r="344" spans="1:7" ht="14.25">
      <c r="A344" s="271"/>
      <c r="B344" s="271"/>
      <c r="D344" s="979"/>
      <c r="E344" s="979"/>
      <c r="F344" s="979"/>
      <c r="G344"/>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4.25">
      <c r="A350" s="271"/>
      <c r="B350" s="271"/>
      <c r="D350" s="979"/>
      <c r="E350" s="979"/>
      <c r="F350" s="979"/>
    </row>
    <row r="351" spans="1:7" ht="14.25">
      <c r="A351" s="271"/>
      <c r="B351" s="271"/>
      <c r="D351" s="979"/>
      <c r="E351" s="979"/>
      <c r="F351" s="979"/>
    </row>
    <row r="352" spans="1:7" ht="12.75"/>
    <row r="353" spans="1:6" ht="14.45" customHeight="1">
      <c r="A353" s="271"/>
      <c r="B353" s="609" t="s">
        <v>124</v>
      </c>
      <c r="D353" s="979" t="s">
        <v>1569</v>
      </c>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D360" s="979"/>
      <c r="E360" s="979"/>
      <c r="F360" s="979"/>
    </row>
    <row r="361" spans="1:6" ht="12.75">
      <c r="D361" s="979"/>
      <c r="E361" s="979"/>
      <c r="F361" s="979"/>
    </row>
    <row r="362" spans="1:6" ht="12.75">
      <c r="E362" s="44"/>
      <c r="F362" s="44"/>
    </row>
    <row r="363" spans="1:6" ht="14.25" customHeight="1">
      <c r="A363" s="271"/>
      <c r="B363" s="609" t="s">
        <v>124</v>
      </c>
      <c r="D363" s="993" t="s">
        <v>2078</v>
      </c>
      <c r="E363" s="993"/>
      <c r="F363" s="993"/>
    </row>
    <row r="364" spans="1:6" ht="12.75">
      <c r="D364" s="993"/>
      <c r="E364" s="993"/>
      <c r="F364" s="993"/>
    </row>
    <row r="365" spans="1:6" ht="12.75">
      <c r="D365" s="993"/>
      <c r="E365" s="993"/>
      <c r="F365" s="993"/>
    </row>
    <row r="366" spans="1:6" ht="12.75">
      <c r="D366" s="993"/>
      <c r="E366" s="993"/>
      <c r="F366" s="993"/>
    </row>
    <row r="367" spans="1:6" ht="12.75">
      <c r="D367" s="993"/>
      <c r="E367" s="993"/>
      <c r="F367" s="993"/>
    </row>
    <row r="368" spans="1:6" ht="12.75">
      <c r="D368" s="209"/>
      <c r="E368" s="104" t="s">
        <v>2079</v>
      </c>
      <c r="F368" s="209"/>
    </row>
    <row r="369" spans="1:6" ht="13.5" thickBot="1">
      <c r="D369" s="777"/>
      <c r="E369" s="98"/>
      <c r="F369" s="98"/>
    </row>
    <row r="370" spans="1:6" ht="14.25" thickTop="1" thickBot="1">
      <c r="D370" s="1015" t="s">
        <v>1266</v>
      </c>
      <c r="E370" s="1015"/>
      <c r="F370" s="1015"/>
    </row>
    <row r="371" spans="1:6" ht="13.5" thickTop="1">
      <c r="D371" s="1017" t="s">
        <v>1570</v>
      </c>
      <c r="E371" s="1017"/>
      <c r="F371" s="1017"/>
    </row>
    <row r="372" spans="1:6" ht="12.75">
      <c r="D372" s="44"/>
    </row>
    <row r="373" spans="1:6" ht="14.25">
      <c r="A373" s="271"/>
      <c r="B373" s="609" t="s">
        <v>124</v>
      </c>
      <c r="C373" s="361"/>
      <c r="D373" s="1009" t="s">
        <v>2142</v>
      </c>
      <c r="E373" s="1009"/>
      <c r="F373" s="1009"/>
    </row>
    <row r="374" spans="1:6" ht="14.25">
      <c r="A374" s="271"/>
      <c r="B374" s="271"/>
      <c r="C374" s="361"/>
      <c r="D374" s="420"/>
    </row>
    <row r="375" spans="1:6" ht="14.25">
      <c r="A375" s="271"/>
      <c r="B375" s="609" t="s">
        <v>124</v>
      </c>
      <c r="C375" s="361"/>
      <c r="D375" s="974" t="s">
        <v>2143</v>
      </c>
      <c r="E375" s="997"/>
      <c r="F375" s="997"/>
    </row>
    <row r="376" spans="1:6" ht="14.25">
      <c r="A376" s="271"/>
      <c r="B376" s="271"/>
      <c r="C376" s="361"/>
      <c r="D376" s="997"/>
      <c r="E376" s="997"/>
      <c r="F376" s="997"/>
    </row>
    <row r="377" spans="1:6" ht="14.25">
      <c r="A377" s="271"/>
      <c r="B377" s="271"/>
      <c r="C377" s="361"/>
      <c r="D377" s="997"/>
      <c r="E377" s="997"/>
      <c r="F377" s="997"/>
    </row>
    <row r="378" spans="1:6" ht="14.25">
      <c r="A378" s="271"/>
      <c r="B378" s="271"/>
      <c r="C378" s="361"/>
      <c r="D378" s="997"/>
      <c r="E378" s="997"/>
      <c r="F378" s="997"/>
    </row>
    <row r="379" spans="1:6" ht="14.25">
      <c r="A379" s="271"/>
      <c r="B379" s="271"/>
      <c r="C379" s="361"/>
      <c r="D379" s="997"/>
      <c r="E379" s="997"/>
      <c r="F379" s="997"/>
    </row>
    <row r="380" spans="1:6" ht="14.25">
      <c r="A380" s="271"/>
      <c r="B380" s="271"/>
      <c r="C380" s="361"/>
      <c r="D380" s="997"/>
      <c r="E380" s="997"/>
      <c r="F380" s="997"/>
    </row>
    <row r="381" spans="1:6" ht="14.25">
      <c r="A381" s="271"/>
      <c r="B381" s="271"/>
      <c r="C381" s="361"/>
      <c r="D381" s="997"/>
      <c r="E381" s="997"/>
      <c r="F381" s="997"/>
    </row>
    <row r="382" spans="1:6" ht="14.25">
      <c r="A382" s="271"/>
      <c r="B382" s="271"/>
      <c r="C382" s="361"/>
      <c r="D382" s="997"/>
      <c r="E382" s="997"/>
      <c r="F382" s="997"/>
    </row>
    <row r="383" spans="1:6" ht="14.25">
      <c r="A383" s="271"/>
      <c r="B383" s="271"/>
      <c r="C383" s="361"/>
      <c r="D383" s="997"/>
      <c r="E383" s="997"/>
      <c r="F383" s="997"/>
    </row>
    <row r="384" spans="1:6" ht="14.25">
      <c r="A384" s="271"/>
      <c r="B384" s="271"/>
      <c r="C384" s="361"/>
      <c r="D384" s="997"/>
      <c r="E384" s="997"/>
      <c r="F384" s="997"/>
    </row>
    <row r="385" spans="1:6" ht="14.25">
      <c r="A385" s="271"/>
      <c r="B385" s="271"/>
      <c r="C385" s="361"/>
      <c r="D385" s="627"/>
      <c r="E385" s="627"/>
      <c r="F385" s="627"/>
    </row>
    <row r="386" spans="1:6" ht="14.25">
      <c r="A386" s="271"/>
      <c r="B386" s="609" t="s">
        <v>124</v>
      </c>
      <c r="C386" s="361"/>
      <c r="D386" s="997" t="s">
        <v>1571</v>
      </c>
      <c r="E386" s="997"/>
      <c r="F386" s="997"/>
    </row>
    <row r="387" spans="1:6" ht="12.75">
      <c r="A387" s="361"/>
      <c r="B387" s="361"/>
      <c r="C387" s="361"/>
      <c r="D387" s="997"/>
      <c r="E387" s="997"/>
      <c r="F387" s="997"/>
    </row>
    <row r="388" spans="1:6" ht="12.75">
      <c r="A388" s="361"/>
      <c r="B388" s="361"/>
      <c r="C388" s="361"/>
      <c r="D388" s="997"/>
      <c r="E388" s="997"/>
      <c r="F388" s="997"/>
    </row>
    <row r="389" spans="1:6" ht="12.75">
      <c r="A389" s="361"/>
      <c r="B389" s="361"/>
      <c r="C389" s="361"/>
      <c r="D389" s="997"/>
      <c r="E389" s="997"/>
      <c r="F389" s="997"/>
    </row>
    <row r="390" spans="1:6" ht="12.75">
      <c r="A390" s="361"/>
      <c r="B390" s="361"/>
      <c r="C390" s="361"/>
      <c r="D390" s="627"/>
      <c r="E390" s="627"/>
      <c r="F390" s="627"/>
    </row>
    <row r="391" spans="1:6" ht="12.75">
      <c r="A391" s="361"/>
      <c r="B391" s="361"/>
      <c r="C391" s="361"/>
      <c r="D391" s="997" t="s">
        <v>1572</v>
      </c>
      <c r="E391" s="997"/>
      <c r="F391" s="997"/>
    </row>
    <row r="392" spans="1:6" ht="12.75">
      <c r="A392" s="361"/>
      <c r="B392" s="361"/>
      <c r="C392" s="361"/>
      <c r="D392" s="997"/>
      <c r="E392" s="997"/>
      <c r="F392" s="997"/>
    </row>
    <row r="393" spans="1:6" ht="12.75">
      <c r="A393" s="361"/>
      <c r="B393" s="361"/>
      <c r="C393" s="361"/>
      <c r="D393" s="997"/>
      <c r="E393" s="997"/>
      <c r="F393" s="997"/>
    </row>
    <row r="394" spans="1:6" ht="12.75">
      <c r="A394" s="361"/>
      <c r="B394" s="361"/>
      <c r="C394" s="361"/>
      <c r="D394" s="997"/>
      <c r="E394" s="997"/>
      <c r="F394" s="997"/>
    </row>
    <row r="395" spans="1:6" ht="12.75">
      <c r="A395" s="361"/>
      <c r="B395" s="361"/>
      <c r="C395" s="361"/>
      <c r="D395" s="997"/>
      <c r="E395" s="997"/>
      <c r="F395" s="997"/>
    </row>
    <row r="396" spans="1:6" ht="12.75">
      <c r="A396" s="361"/>
      <c r="B396" s="361"/>
      <c r="C396" s="361"/>
      <c r="D396" s="997"/>
      <c r="E396" s="997"/>
      <c r="F396" s="997"/>
    </row>
    <row r="397" spans="1:6" ht="12.75">
      <c r="A397" s="361"/>
      <c r="B397" s="361"/>
      <c r="C397" s="361"/>
      <c r="D397" s="997"/>
      <c r="E397" s="997"/>
      <c r="F397" s="997"/>
    </row>
    <row r="398" spans="1:6" ht="12.75">
      <c r="A398" s="361"/>
      <c r="B398" s="361"/>
      <c r="C398" s="361"/>
      <c r="D398" s="997"/>
      <c r="E398" s="997"/>
      <c r="F398" s="997"/>
    </row>
    <row r="399" spans="1:6" ht="12.75">
      <c r="A399" s="361"/>
      <c r="B399" s="361"/>
      <c r="C399" s="361"/>
      <c r="D399" s="997"/>
      <c r="E399" s="997"/>
      <c r="F399" s="997"/>
    </row>
    <row r="400" spans="1:6" ht="13.7" customHeight="1">
      <c r="A400" s="361"/>
      <c r="B400" s="361"/>
      <c r="C400" s="361"/>
      <c r="D400" s="997" t="s">
        <v>1575</v>
      </c>
      <c r="E400" s="997"/>
      <c r="F400" s="997"/>
    </row>
    <row r="401" spans="1:6" ht="13.7" customHeight="1">
      <c r="A401" s="361"/>
      <c r="B401" s="361"/>
      <c r="C401" s="361"/>
      <c r="D401" s="997"/>
      <c r="E401" s="997"/>
      <c r="F401" s="997"/>
    </row>
    <row r="402" spans="1:6" ht="13.7" customHeight="1">
      <c r="A402" s="361"/>
      <c r="B402" s="361"/>
      <c r="C402" s="361"/>
      <c r="D402" s="997"/>
      <c r="E402" s="997"/>
      <c r="F402" s="997"/>
    </row>
    <row r="403" spans="1:6" ht="13.7" customHeight="1">
      <c r="A403" s="361"/>
      <c r="B403" s="361"/>
      <c r="C403" s="361"/>
      <c r="D403" s="997"/>
      <c r="E403" s="997"/>
      <c r="F403" s="997"/>
    </row>
    <row r="404" spans="1:6" ht="13.7" customHeight="1">
      <c r="A404" s="361"/>
      <c r="B404" s="361"/>
      <c r="C404" s="361"/>
      <c r="D404" s="997"/>
      <c r="E404" s="997"/>
      <c r="F404" s="997"/>
    </row>
    <row r="405" spans="1:6" ht="13.7" customHeight="1">
      <c r="A405" s="361"/>
      <c r="B405" s="361"/>
      <c r="C405" s="361"/>
      <c r="D405" s="997"/>
      <c r="E405" s="997"/>
      <c r="F405" s="997"/>
    </row>
    <row r="406" spans="1:6" ht="13.7" customHeight="1">
      <c r="A406" s="361"/>
      <c r="B406" s="361"/>
      <c r="C406" s="361"/>
      <c r="D406" s="997"/>
      <c r="E406" s="997"/>
      <c r="F406" s="997"/>
    </row>
    <row r="407" spans="1:6" ht="13.7" customHeight="1">
      <c r="A407" s="361"/>
      <c r="B407" s="361"/>
      <c r="C407" s="361"/>
      <c r="D407" s="997"/>
      <c r="E407" s="997"/>
      <c r="F407" s="997"/>
    </row>
    <row r="408" spans="1:6" ht="13.7" customHeight="1">
      <c r="A408" s="361"/>
      <c r="B408" s="361"/>
      <c r="C408" s="361"/>
      <c r="D408" s="997"/>
      <c r="E408" s="997"/>
      <c r="F408" s="997"/>
    </row>
    <row r="409" spans="1:6" ht="13.7" customHeight="1">
      <c r="A409" s="361"/>
      <c r="B409" s="361"/>
      <c r="C409" s="361"/>
      <c r="D409" s="997"/>
      <c r="E409" s="997"/>
      <c r="F409" s="997"/>
    </row>
    <row r="410" spans="1:6" ht="13.7" customHeight="1">
      <c r="A410" s="361"/>
      <c r="B410" s="361"/>
      <c r="C410" s="361"/>
      <c r="D410" s="997"/>
      <c r="E410" s="997"/>
      <c r="F410" s="997"/>
    </row>
    <row r="411" spans="1:6" ht="13.7" customHeight="1">
      <c r="A411" s="361"/>
      <c r="B411" s="361"/>
      <c r="C411" s="361"/>
      <c r="D411" s="997"/>
      <c r="E411" s="997"/>
      <c r="F411" s="997"/>
    </row>
    <row r="412" spans="1:6" ht="13.7" customHeight="1">
      <c r="A412" s="361"/>
      <c r="B412" s="361"/>
      <c r="C412" s="361"/>
      <c r="D412" s="997"/>
      <c r="E412" s="997"/>
      <c r="F412" s="997"/>
    </row>
    <row r="413" spans="1:6" ht="13.7" customHeight="1">
      <c r="A413" s="361"/>
      <c r="B413" s="361"/>
      <c r="C413" s="361"/>
      <c r="D413" s="997"/>
      <c r="E413" s="997"/>
      <c r="F413" s="997"/>
    </row>
    <row r="414" spans="1:6" ht="13.7" customHeight="1">
      <c r="A414" s="361"/>
      <c r="B414" s="361"/>
      <c r="C414" s="361"/>
      <c r="D414" s="997"/>
      <c r="E414" s="997"/>
      <c r="F414" s="997"/>
    </row>
    <row r="415" spans="1:6" ht="13.7" customHeight="1">
      <c r="A415" s="361"/>
      <c r="B415" s="361"/>
      <c r="C415" s="361"/>
      <c r="D415" s="997"/>
      <c r="E415" s="997"/>
      <c r="F415" s="997"/>
    </row>
    <row r="416" spans="1:6" ht="13.7" customHeight="1">
      <c r="A416" s="361"/>
      <c r="B416" s="361"/>
      <c r="C416" s="361"/>
      <c r="D416" s="997"/>
      <c r="E416" s="997"/>
      <c r="F416" s="997"/>
    </row>
    <row r="417" spans="1:6" ht="13.7" customHeight="1">
      <c r="A417" s="361"/>
      <c r="B417" s="361"/>
      <c r="C417" s="361"/>
      <c r="D417" s="997"/>
      <c r="E417" s="997"/>
      <c r="F417" s="997"/>
    </row>
    <row r="418" spans="1:6" ht="12.75">
      <c r="A418" s="361"/>
      <c r="B418" s="361"/>
      <c r="C418" s="361"/>
      <c r="D418" s="420"/>
    </row>
    <row r="419" spans="1:6" ht="13.7" customHeight="1">
      <c r="A419" s="361"/>
      <c r="B419" s="609" t="s">
        <v>124</v>
      </c>
      <c r="C419" s="361"/>
      <c r="D419" s="997" t="s">
        <v>1573</v>
      </c>
      <c r="E419" s="997"/>
      <c r="F419" s="997"/>
    </row>
    <row r="420" spans="1:6" ht="12.75">
      <c r="A420" s="361"/>
      <c r="B420" s="361"/>
      <c r="C420" s="361"/>
      <c r="D420" s="997"/>
      <c r="E420" s="997"/>
      <c r="F420" s="997"/>
    </row>
    <row r="421" spans="1:6" ht="12.75">
      <c r="A421" s="361"/>
      <c r="B421" s="361"/>
      <c r="C421" s="361"/>
      <c r="D421" s="627"/>
      <c r="E421" s="627"/>
      <c r="F421" s="627"/>
    </row>
    <row r="422" spans="1:6" ht="12.75">
      <c r="A422" s="361"/>
      <c r="B422" s="609" t="s">
        <v>124</v>
      </c>
      <c r="C422" s="361"/>
      <c r="D422" s="1000" t="s">
        <v>1880</v>
      </c>
      <c r="E422" s="1000"/>
      <c r="F422" s="1000"/>
    </row>
    <row r="423" spans="1:6" ht="12.75">
      <c r="A423" s="361"/>
      <c r="B423" s="361"/>
      <c r="C423" s="361"/>
      <c r="D423" s="1000"/>
      <c r="E423" s="1000"/>
      <c r="F423" s="1000"/>
    </row>
    <row r="424" spans="1:6" ht="12.75">
      <c r="A424" s="361"/>
      <c r="B424" s="361"/>
      <c r="C424" s="361"/>
      <c r="D424" s="1000"/>
      <c r="E424" s="1000"/>
      <c r="F424" s="1000"/>
    </row>
    <row r="425" spans="1:6" ht="12.75">
      <c r="A425" s="361"/>
      <c r="B425" s="361"/>
      <c r="C425" s="361"/>
      <c r="D425" s="1000"/>
      <c r="E425" s="1000"/>
      <c r="F425" s="1000"/>
    </row>
    <row r="426" spans="1:6" ht="12.75">
      <c r="A426" s="361"/>
      <c r="B426" s="361"/>
      <c r="C426" s="361"/>
      <c r="D426" s="1000"/>
      <c r="E426" s="1000"/>
      <c r="F426" s="1000"/>
    </row>
    <row r="427" spans="1:6" ht="12.75">
      <c r="A427" s="361"/>
      <c r="B427" s="361"/>
      <c r="C427" s="361"/>
      <c r="D427" s="1000"/>
      <c r="E427" s="1000"/>
      <c r="F427" s="1000"/>
    </row>
    <row r="428" spans="1:6" ht="14.45" customHeight="1">
      <c r="A428" s="271"/>
      <c r="B428" s="609" t="s">
        <v>124</v>
      </c>
      <c r="C428" s="361"/>
      <c r="D428" s="1000" t="s">
        <v>1861</v>
      </c>
      <c r="E428" s="1000"/>
      <c r="F428" s="1000"/>
    </row>
    <row r="429" spans="1:6" ht="14.25">
      <c r="A429" s="500"/>
      <c r="B429" s="500"/>
      <c r="C429" s="361"/>
      <c r="D429" s="1000"/>
      <c r="E429" s="1000"/>
      <c r="F429" s="1000"/>
    </row>
    <row r="430" spans="1:6" ht="14.25">
      <c r="A430" s="500"/>
      <c r="B430" s="500"/>
      <c r="C430" s="361"/>
      <c r="D430" s="1000"/>
      <c r="E430" s="1000"/>
      <c r="F430" s="1000"/>
    </row>
    <row r="431" spans="1:6" ht="14.25">
      <c r="A431" s="500"/>
      <c r="B431" s="500"/>
      <c r="C431" s="361"/>
      <c r="D431" s="1000"/>
      <c r="E431" s="1000"/>
      <c r="F431" s="1000"/>
    </row>
    <row r="432" spans="1:6" ht="14.25" customHeight="1">
      <c r="A432" s="500"/>
      <c r="B432" s="500"/>
      <c r="C432" s="361"/>
      <c r="D432" s="1001" t="s">
        <v>1876</v>
      </c>
      <c r="E432" s="1001"/>
      <c r="F432" s="1001"/>
    </row>
    <row r="433" spans="1:6" ht="12.75">
      <c r="D433" s="44"/>
    </row>
    <row r="434" spans="1:6" ht="14.45" customHeight="1">
      <c r="A434" s="271"/>
      <c r="B434" s="609" t="s">
        <v>124</v>
      </c>
      <c r="C434" s="207"/>
      <c r="D434" s="979" t="s">
        <v>2144</v>
      </c>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4.25">
      <c r="A462" s="271"/>
      <c r="B462" s="271"/>
      <c r="D462" s="979"/>
      <c r="E462" s="979"/>
      <c r="F462" s="979"/>
    </row>
    <row r="463" spans="1:6" ht="14.25">
      <c r="A463" s="271"/>
      <c r="B463" s="271"/>
      <c r="D463" s="979"/>
      <c r="E463" s="979"/>
      <c r="F463" s="979"/>
    </row>
    <row r="464" spans="1:6" ht="12.75" hidden="1">
      <c r="D464" s="979"/>
      <c r="E464" s="979"/>
      <c r="F464" s="979"/>
    </row>
    <row r="465" spans="1:6" ht="12.75" hidden="1">
      <c r="D465" s="44"/>
    </row>
    <row r="466" spans="1:6" ht="14.25">
      <c r="A466" s="271"/>
      <c r="B466" s="609" t="s">
        <v>124</v>
      </c>
      <c r="C466" s="207"/>
      <c r="D466" s="998" t="s">
        <v>2081</v>
      </c>
      <c r="E466" s="999"/>
      <c r="F466" s="999"/>
    </row>
    <row r="467" spans="1:6" ht="12.75">
      <c r="D467"/>
      <c r="E467" s="928" t="s">
        <v>2080</v>
      </c>
      <c r="F467" s="928"/>
    </row>
    <row r="468" spans="1:6" ht="13.7" customHeight="1">
      <c r="D468" s="973" t="s">
        <v>1858</v>
      </c>
      <c r="E468" s="979"/>
      <c r="F468" s="979"/>
    </row>
    <row r="469" spans="1:6" ht="13.7" customHeight="1">
      <c r="D469" s="979"/>
      <c r="E469" s="979"/>
      <c r="F469" s="979"/>
    </row>
    <row r="470" spans="1:6" ht="12.75">
      <c r="D470" s="44"/>
    </row>
    <row r="471" spans="1:6" ht="14.45" customHeight="1">
      <c r="A471" s="271"/>
      <c r="B471" s="609" t="s">
        <v>124</v>
      </c>
      <c r="C471" s="207"/>
      <c r="D471" s="979" t="s">
        <v>1576</v>
      </c>
      <c r="E471" s="979"/>
      <c r="F471" s="979"/>
    </row>
    <row r="472" spans="1:6" ht="12.75">
      <c r="D472" s="979"/>
      <c r="E472" s="979"/>
      <c r="F472" s="979"/>
    </row>
    <row r="473" spans="1:6" ht="12.75">
      <c r="D473" s="979"/>
      <c r="E473" s="979"/>
      <c r="F473" s="979"/>
    </row>
    <row r="474" spans="1:6" ht="12.75">
      <c r="D474" s="24"/>
      <c r="E474" s="24"/>
      <c r="F474" s="24"/>
    </row>
    <row r="475" spans="1:6" ht="14.25">
      <c r="B475" s="609" t="s">
        <v>124</v>
      </c>
      <c r="C475" s="271"/>
      <c r="D475" s="973" t="s">
        <v>1719</v>
      </c>
      <c r="E475" s="979"/>
      <c r="F475" s="979"/>
    </row>
    <row r="476" spans="1:6" ht="12.75">
      <c r="D476" s="979"/>
      <c r="E476" s="979"/>
      <c r="F476" s="979"/>
    </row>
    <row r="477" spans="1:6" ht="12.75">
      <c r="D477" s="44"/>
      <c r="E477" s="44"/>
    </row>
    <row r="478" spans="1:6" ht="14.25">
      <c r="B478" s="609" t="s">
        <v>124</v>
      </c>
      <c r="C478" s="271"/>
      <c r="D478" s="979" t="s">
        <v>1577</v>
      </c>
      <c r="E478" s="979"/>
      <c r="F478" s="979"/>
    </row>
    <row r="479" spans="1:6" ht="12.75">
      <c r="D479" s="979"/>
      <c r="E479" s="979"/>
      <c r="F479" s="979"/>
    </row>
    <row r="480" spans="1:6" ht="12.75">
      <c r="D480" s="979"/>
      <c r="E480" s="979"/>
      <c r="F480" s="979"/>
    </row>
    <row r="481" spans="2:6" ht="12.75">
      <c r="D481" s="979"/>
      <c r="E481" s="979"/>
      <c r="F481" s="979"/>
    </row>
    <row r="482" spans="2:6" ht="12.75">
      <c r="B482" s="609" t="s">
        <v>124</v>
      </c>
      <c r="D482" s="979"/>
      <c r="E482" s="979"/>
      <c r="F482" s="979"/>
    </row>
    <row r="483" spans="2:6" ht="12.75">
      <c r="D483" s="979"/>
      <c r="E483" s="979"/>
      <c r="F483" s="979"/>
    </row>
    <row r="484" spans="2:6" ht="12.75">
      <c r="D484" s="979"/>
      <c r="E484" s="979"/>
      <c r="F484" s="979"/>
    </row>
    <row r="485" spans="2:6" ht="12.75">
      <c r="B485" s="609" t="s">
        <v>124</v>
      </c>
      <c r="D485" s="979"/>
      <c r="E485" s="979"/>
      <c r="F485" s="979"/>
    </row>
    <row r="486" spans="2:6" ht="12.75">
      <c r="D486" s="979"/>
      <c r="E486" s="979"/>
      <c r="F486" s="979"/>
    </row>
    <row r="487" spans="2:6" ht="12.75">
      <c r="D487" s="979"/>
      <c r="E487" s="979"/>
      <c r="F487" s="979"/>
    </row>
    <row r="488" spans="2:6" ht="12.75">
      <c r="D488" s="979"/>
      <c r="E488" s="979"/>
      <c r="F488" s="979"/>
    </row>
    <row r="489" spans="2:6" ht="12.75">
      <c r="B489" s="609" t="s">
        <v>124</v>
      </c>
      <c r="D489" s="979"/>
      <c r="E489" s="979"/>
      <c r="F489" s="979"/>
    </row>
    <row r="490" spans="2:6" ht="12.75">
      <c r="D490" s="979"/>
      <c r="E490" s="979"/>
      <c r="F490" s="979"/>
    </row>
    <row r="491" spans="2:6" ht="12.75">
      <c r="B491" s="609" t="s">
        <v>124</v>
      </c>
      <c r="D491" s="979"/>
      <c r="E491" s="979"/>
      <c r="F491" s="979"/>
    </row>
    <row r="492" spans="2:6" ht="12.75">
      <c r="D492" s="979"/>
      <c r="E492" s="979"/>
      <c r="F492" s="979"/>
    </row>
    <row r="493" spans="2:6" ht="13.7" customHeight="1">
      <c r="B493" s="609" t="s">
        <v>124</v>
      </c>
      <c r="D493" s="979" t="s">
        <v>1578</v>
      </c>
      <c r="E493" s="979"/>
      <c r="F493" s="979"/>
    </row>
    <row r="494" spans="2:6" ht="12.75">
      <c r="D494" s="979"/>
      <c r="E494" s="979"/>
      <c r="F494" s="979"/>
    </row>
    <row r="495" spans="2:6" ht="12.75">
      <c r="D495" s="979"/>
      <c r="E495" s="979"/>
      <c r="F495" s="979"/>
    </row>
    <row r="496" spans="2:6" ht="12.75">
      <c r="D496" s="979"/>
      <c r="E496" s="979"/>
      <c r="F496" s="979"/>
    </row>
    <row r="497" spans="1:7" ht="12.75">
      <c r="D497" s="979"/>
      <c r="E497" s="979"/>
      <c r="F497" s="979"/>
    </row>
    <row r="498" spans="1:7" ht="12.75">
      <c r="D498" s="44"/>
    </row>
    <row r="499" spans="1:7" ht="12.75">
      <c r="B499" s="609" t="s">
        <v>124</v>
      </c>
      <c r="D499" s="999" t="s">
        <v>1419</v>
      </c>
      <c r="E499" s="999"/>
      <c r="F499" s="999"/>
    </row>
    <row r="500" spans="1:7" ht="12.75">
      <c r="A500" s="44"/>
      <c r="B500" s="44"/>
    </row>
    <row r="501" spans="1:7" ht="12.75">
      <c r="A501" s="1004" t="s">
        <v>1378</v>
      </c>
      <c r="B501" s="1004"/>
      <c r="C501" s="1004"/>
      <c r="D501" s="1004"/>
      <c r="E501" s="1004"/>
      <c r="F501" s="1004"/>
      <c r="G501" s="1004"/>
    </row>
    <row r="502" spans="1:7" ht="12.75">
      <c r="A502" s="44"/>
      <c r="B502" s="44"/>
    </row>
    <row r="503" spans="1:7" ht="12.75">
      <c r="D503" s="1008" t="s">
        <v>1118</v>
      </c>
      <c r="E503" s="1008"/>
      <c r="F503" s="1008"/>
    </row>
    <row r="504" spans="1:7" ht="12.75">
      <c r="D504" s="1009" t="s">
        <v>1412</v>
      </c>
      <c r="E504" s="1009"/>
      <c r="F504" s="1009"/>
    </row>
    <row r="505" spans="1:7" ht="14.25">
      <c r="A505" s="271"/>
      <c r="B505" s="271"/>
      <c r="D505" s="420"/>
    </row>
    <row r="506" spans="1:7" ht="14.25">
      <c r="A506" s="271"/>
      <c r="B506" s="609" t="s">
        <v>124</v>
      </c>
      <c r="D506" s="997" t="s">
        <v>1579</v>
      </c>
      <c r="E506" s="997"/>
      <c r="F506" s="997"/>
    </row>
    <row r="507" spans="1:7" ht="14.25">
      <c r="A507" s="271"/>
      <c r="B507" s="271"/>
      <c r="D507" s="997"/>
      <c r="E507" s="997"/>
      <c r="F507" s="997"/>
    </row>
    <row r="508" spans="1:7" ht="14.25">
      <c r="A508" s="271"/>
      <c r="B508" s="271"/>
      <c r="D508" s="44"/>
    </row>
    <row r="509" spans="1:7" ht="14.25">
      <c r="A509" s="271"/>
      <c r="B509" s="609" t="s">
        <v>124</v>
      </c>
      <c r="D509" s="1010" t="s">
        <v>1877</v>
      </c>
      <c r="E509" s="1007"/>
      <c r="F509" s="1007"/>
    </row>
    <row r="510" spans="1:7" ht="14.25">
      <c r="A510" s="271"/>
      <c r="B510" s="271"/>
      <c r="D510" s="1007"/>
      <c r="E510" s="1007"/>
      <c r="F510" s="1007"/>
    </row>
    <row r="511" spans="1:7" ht="14.25">
      <c r="A511" s="271"/>
      <c r="B511" s="271"/>
      <c r="D511" s="1007"/>
      <c r="E511" s="1007"/>
      <c r="F511" s="1007"/>
      <c r="G511"/>
    </row>
    <row r="512" spans="1:7" ht="14.25">
      <c r="A512" s="271"/>
      <c r="B512" s="271"/>
      <c r="D512" s="1007"/>
      <c r="E512" s="1007"/>
      <c r="F512" s="1007"/>
      <c r="G512"/>
    </row>
    <row r="513" spans="1:7" ht="12.75">
      <c r="G513"/>
    </row>
    <row r="514" spans="1:7" ht="14.25">
      <c r="A514" s="271"/>
      <c r="B514" s="609" t="s">
        <v>124</v>
      </c>
      <c r="D514" s="999" t="s">
        <v>1581</v>
      </c>
      <c r="E514" s="999"/>
      <c r="F514" s="999"/>
      <c r="G514"/>
    </row>
    <row r="515" spans="1:7" ht="12.75">
      <c r="D515" s="44"/>
      <c r="G515"/>
    </row>
    <row r="516" spans="1:7" ht="14.25">
      <c r="A516" s="271"/>
      <c r="B516" s="609" t="s">
        <v>124</v>
      </c>
      <c r="D516" s="979" t="s">
        <v>1582</v>
      </c>
      <c r="E516" s="979"/>
      <c r="F516" s="979"/>
      <c r="G516"/>
    </row>
    <row r="517" spans="1:7" ht="12.75">
      <c r="D517" s="979"/>
      <c r="E517" s="979"/>
      <c r="F517" s="979"/>
      <c r="G517"/>
    </row>
    <row r="518" spans="1:7" ht="12.75">
      <c r="D518" s="420"/>
      <c r="G518"/>
    </row>
    <row r="519" spans="1:7" ht="14.25">
      <c r="A519" s="271"/>
      <c r="B519" s="609" t="s">
        <v>1376</v>
      </c>
      <c r="D519" s="999" t="s">
        <v>1580</v>
      </c>
      <c r="E519" s="999"/>
      <c r="F519" s="999"/>
    </row>
    <row r="520" spans="1:7" ht="14.25">
      <c r="A520" s="271"/>
      <c r="B520" s="271"/>
      <c r="D520" s="44"/>
    </row>
    <row r="521" spans="1:7" ht="12.75">
      <c r="A521" s="1004" t="s">
        <v>1379</v>
      </c>
      <c r="B521" s="1004"/>
      <c r="C521" s="1004"/>
      <c r="D521" s="1004"/>
      <c r="E521" s="1004"/>
      <c r="F521" s="1004"/>
      <c r="G521" s="1004"/>
    </row>
    <row r="522" spans="1:7" ht="12" customHeight="1">
      <c r="A522" s="271"/>
      <c r="B522" s="271"/>
      <c r="D522" s="44"/>
    </row>
    <row r="523" spans="1:7" ht="12.75">
      <c r="B523" s="609" t="s">
        <v>1376</v>
      </c>
      <c r="C523" s="190"/>
      <c r="D523" s="1028" t="s">
        <v>1525</v>
      </c>
      <c r="E523" s="1028"/>
      <c r="F523" s="1028"/>
    </row>
    <row r="524" spans="1:7" ht="12.75">
      <c r="C524" s="190"/>
      <c r="D524" s="1028"/>
      <c r="E524" s="1028"/>
      <c r="F524" s="1028"/>
    </row>
    <row r="525" spans="1:7" ht="12.75">
      <c r="A525" s="191"/>
      <c r="B525" s="191"/>
      <c r="C525" s="191"/>
      <c r="D525" s="1028"/>
      <c r="E525" s="1028"/>
      <c r="F525" s="1028"/>
    </row>
    <row r="526" spans="1:7" ht="12.75">
      <c r="A526" s="191"/>
      <c r="B526" s="191"/>
      <c r="C526" s="191"/>
      <c r="D526" s="1028"/>
      <c r="E526" s="1028"/>
      <c r="F526" s="1028"/>
    </row>
    <row r="527" spans="1:7" ht="12.75">
      <c r="A527" s="191"/>
      <c r="B527" s="191"/>
      <c r="C527" s="191"/>
    </row>
    <row r="528" spans="1:7" ht="14.25">
      <c r="A528" s="271"/>
      <c r="B528" s="609" t="s">
        <v>124</v>
      </c>
      <c r="C528" s="207"/>
      <c r="D528" s="979" t="s">
        <v>2145</v>
      </c>
      <c r="E528" s="979"/>
      <c r="F528" s="979"/>
      <c r="G528"/>
    </row>
    <row r="529" spans="1:7" ht="12.75">
      <c r="A529" s="207"/>
      <c r="B529" s="207"/>
      <c r="C529" s="207"/>
      <c r="D529" s="979"/>
      <c r="E529" s="979"/>
      <c r="F529" s="979"/>
      <c r="G529"/>
    </row>
    <row r="530" spans="1:7" ht="12.75">
      <c r="A530" s="191"/>
      <c r="B530" s="191"/>
      <c r="C530" s="191"/>
      <c r="D530" s="44"/>
      <c r="G530"/>
    </row>
    <row r="531" spans="1:7" ht="12.75">
      <c r="A531" s="191"/>
      <c r="B531" s="609" t="s">
        <v>124</v>
      </c>
      <c r="C531" s="191"/>
      <c r="D531" s="929" t="s">
        <v>2082</v>
      </c>
      <c r="E531" s="930"/>
      <c r="G531"/>
    </row>
    <row r="532" spans="1:7" ht="12.75">
      <c r="A532" s="191"/>
      <c r="B532" s="191"/>
      <c r="C532" s="191"/>
      <c r="D532" s="930"/>
      <c r="E532" s="104" t="s">
        <v>2083</v>
      </c>
      <c r="G532"/>
    </row>
    <row r="533" spans="1:7" ht="14.25">
      <c r="A533" s="271"/>
      <c r="B533"/>
      <c r="D533" s="997" t="s">
        <v>2146</v>
      </c>
      <c r="E533" s="997"/>
      <c r="F533" s="997"/>
      <c r="G533"/>
    </row>
    <row r="534" spans="1:7" ht="14.25">
      <c r="A534" s="271"/>
      <c r="B534" s="271"/>
      <c r="D534" s="997"/>
      <c r="E534" s="997"/>
      <c r="F534" s="997"/>
      <c r="G534"/>
    </row>
    <row r="535" spans="1:7" ht="12.75">
      <c r="D535" s="997"/>
      <c r="E535" s="997"/>
      <c r="F535" s="997"/>
    </row>
    <row r="536" spans="1:7" ht="12" customHeight="1">
      <c r="A536" s="44"/>
      <c r="B536" s="44"/>
      <c r="C536" s="207"/>
      <c r="E536" s="44"/>
    </row>
    <row r="537" spans="1:7" ht="12.75">
      <c r="A537" s="1004" t="s">
        <v>1391</v>
      </c>
      <c r="B537" s="1004"/>
      <c r="C537" s="1004"/>
      <c r="D537" s="1004"/>
      <c r="E537" s="1004"/>
      <c r="F537" s="1004"/>
      <c r="G537" s="1004"/>
    </row>
    <row r="538" spans="1:7" ht="12" customHeight="1">
      <c r="A538" s="44"/>
      <c r="B538" s="44"/>
      <c r="C538" s="207"/>
      <c r="E538" s="44"/>
    </row>
    <row r="539" spans="1:7" ht="12.75">
      <c r="C539" s="207"/>
      <c r="D539" s="1005" t="s">
        <v>1420</v>
      </c>
      <c r="E539" s="1005"/>
      <c r="F539" s="1005"/>
    </row>
    <row r="540" spans="1:7" ht="12.75"/>
    <row r="541" spans="1:7" ht="12.75">
      <c r="B541" s="609" t="s">
        <v>124</v>
      </c>
      <c r="D541" s="979" t="s">
        <v>1551</v>
      </c>
      <c r="E541" s="979"/>
      <c r="F541" s="979"/>
    </row>
    <row r="542" spans="1:7" ht="12.75">
      <c r="D542" s="979"/>
      <c r="E542" s="979"/>
      <c r="F542" s="979"/>
    </row>
    <row r="543" spans="1:7" ht="12" customHeight="1">
      <c r="A543" s="207"/>
      <c r="B543" s="207"/>
      <c r="C543" s="207"/>
      <c r="D543" s="44"/>
    </row>
    <row r="544" spans="1:7" ht="14.25">
      <c r="A544" s="271"/>
      <c r="B544" s="609" t="s">
        <v>124</v>
      </c>
      <c r="C544" s="207"/>
      <c r="D544" s="979" t="s">
        <v>1552</v>
      </c>
      <c r="E544" s="979"/>
      <c r="F544" s="979"/>
    </row>
    <row r="545" spans="1:7" ht="12.75">
      <c r="A545" s="207"/>
      <c r="B545" s="207"/>
      <c r="C545" s="207"/>
      <c r="D545" s="979"/>
      <c r="E545" s="979"/>
      <c r="F545" s="979"/>
    </row>
    <row r="546" spans="1:7" ht="12" customHeight="1">
      <c r="A546" s="207"/>
      <c r="B546" s="207"/>
      <c r="C546" s="207"/>
      <c r="D546" s="44"/>
    </row>
    <row r="547" spans="1:7" ht="12.75">
      <c r="A547" s="1024" t="s">
        <v>1427</v>
      </c>
      <c r="B547" s="1024"/>
      <c r="C547" s="1024"/>
      <c r="D547" s="1024"/>
      <c r="E547" s="1024"/>
      <c r="F547" s="1024"/>
      <c r="G547" s="1024"/>
    </row>
    <row r="548" spans="1:7" ht="12" customHeight="1">
      <c r="A548" s="44"/>
      <c r="B548" s="44"/>
      <c r="C548" s="207"/>
      <c r="D548" s="44"/>
    </row>
    <row r="549" spans="1:7" ht="12.75">
      <c r="C549" s="207"/>
      <c r="D549" s="1005" t="s">
        <v>164</v>
      </c>
      <c r="E549" s="1005"/>
      <c r="F549" s="1005"/>
    </row>
    <row r="550" spans="1:7" ht="12.75">
      <c r="C550" s="207"/>
      <c r="D550" s="999" t="s">
        <v>1534</v>
      </c>
      <c r="E550" s="999"/>
      <c r="F550" s="999"/>
    </row>
    <row r="551" spans="1:7" ht="12.75">
      <c r="C551" s="207"/>
      <c r="D551" s="44"/>
      <c r="E551" s="44"/>
      <c r="F551" s="44"/>
    </row>
    <row r="552" spans="1:7" ht="14.25">
      <c r="A552" s="271"/>
      <c r="B552" s="609" t="s">
        <v>1376</v>
      </c>
      <c r="C552" s="207"/>
      <c r="D552" s="999" t="s">
        <v>1113</v>
      </c>
      <c r="E552" s="999"/>
      <c r="F552" s="999"/>
    </row>
    <row r="553" spans="1:7" ht="12" customHeight="1">
      <c r="A553" s="207"/>
      <c r="B553" s="207"/>
      <c r="C553" s="207"/>
      <c r="D553" s="44"/>
      <c r="E553"/>
      <c r="F553"/>
      <c r="G553"/>
    </row>
    <row r="554" spans="1:7" ht="14.45" customHeight="1">
      <c r="A554" s="271"/>
      <c r="B554" s="609" t="s">
        <v>1376</v>
      </c>
      <c r="C554" s="207"/>
      <c r="D554" s="979" t="s">
        <v>1533</v>
      </c>
      <c r="E554" s="979"/>
      <c r="F554" s="979"/>
      <c r="G554"/>
    </row>
    <row r="555" spans="1:7" ht="12.75">
      <c r="A555" s="207"/>
      <c r="B555" s="207"/>
      <c r="C555" s="207"/>
      <c r="D555" s="979"/>
      <c r="E555" s="979"/>
      <c r="F555" s="979"/>
      <c r="G555"/>
    </row>
    <row r="556" spans="1:7" ht="12" customHeight="1">
      <c r="A556" s="207"/>
      <c r="B556" s="207"/>
      <c r="C556" s="207"/>
      <c r="D556" s="44"/>
      <c r="E556"/>
      <c r="F556"/>
      <c r="G556"/>
    </row>
    <row r="557" spans="1:7" ht="14.25">
      <c r="A557" s="271"/>
      <c r="B557" s="609" t="s">
        <v>1376</v>
      </c>
      <c r="C557" s="207"/>
      <c r="D557" s="979" t="s">
        <v>1535</v>
      </c>
      <c r="E557" s="979"/>
      <c r="F557" s="979"/>
      <c r="G557"/>
    </row>
    <row r="558" spans="1:7" ht="12.75">
      <c r="A558" s="207"/>
      <c r="B558" s="207"/>
      <c r="C558" s="207"/>
      <c r="D558" s="979"/>
      <c r="E558" s="979"/>
      <c r="F558" s="979"/>
      <c r="G558"/>
    </row>
    <row r="559" spans="1:7" ht="12" customHeight="1">
      <c r="A559" s="207"/>
      <c r="B559" s="207"/>
      <c r="C559" s="207"/>
      <c r="D559" s="44"/>
      <c r="E559"/>
      <c r="F559"/>
      <c r="G559"/>
    </row>
    <row r="560" spans="1:7" ht="14.25">
      <c r="A560" s="271"/>
      <c r="B560" s="609" t="s">
        <v>1376</v>
      </c>
      <c r="C560" s="207"/>
      <c r="D560" s="979" t="s">
        <v>1536</v>
      </c>
      <c r="E560" s="979"/>
      <c r="F560" s="979"/>
      <c r="G560"/>
    </row>
    <row r="561" spans="1:7" ht="12.75">
      <c r="A561" s="207"/>
      <c r="B561" s="207"/>
      <c r="C561" s="207"/>
      <c r="D561" s="979"/>
      <c r="E561" s="979"/>
      <c r="F561" s="979"/>
      <c r="G561"/>
    </row>
    <row r="562" spans="1:7" ht="12" customHeight="1">
      <c r="A562" s="207"/>
      <c r="B562" s="207"/>
      <c r="C562" s="207"/>
      <c r="D562" s="44"/>
      <c r="E562"/>
      <c r="F562"/>
      <c r="G562"/>
    </row>
    <row r="563" spans="1:7" ht="14.45" customHeight="1">
      <c r="A563" s="271"/>
      <c r="B563" s="609" t="s">
        <v>1376</v>
      </c>
      <c r="C563" s="207"/>
      <c r="D563" s="979" t="s">
        <v>1537</v>
      </c>
      <c r="E563" s="979"/>
      <c r="F563" s="979"/>
      <c r="G563"/>
    </row>
    <row r="564" spans="1:7" ht="12.75">
      <c r="A564" s="207"/>
      <c r="B564" s="207"/>
      <c r="C564" s="207"/>
      <c r="D564" s="979"/>
      <c r="E564" s="979"/>
      <c r="F564" s="979"/>
      <c r="G564"/>
    </row>
    <row r="565" spans="1:7" ht="12.75">
      <c r="A565" s="207"/>
      <c r="B565" s="207"/>
      <c r="C565" s="207"/>
      <c r="D565" s="979"/>
      <c r="E565" s="979"/>
      <c r="F565" s="979"/>
      <c r="G565"/>
    </row>
    <row r="566" spans="1:7" ht="12.75">
      <c r="A566" s="207"/>
      <c r="B566" s="207"/>
      <c r="C566" s="207"/>
      <c r="D566" s="44"/>
      <c r="E566"/>
      <c r="F566"/>
      <c r="G566"/>
    </row>
    <row r="567" spans="1:7" ht="14.25">
      <c r="A567" s="271"/>
      <c r="B567" s="609" t="s">
        <v>124</v>
      </c>
      <c r="C567" s="207"/>
      <c r="D567" s="973" t="s">
        <v>1631</v>
      </c>
      <c r="E567" s="979"/>
      <c r="F567" s="979"/>
      <c r="G567"/>
    </row>
    <row r="568" spans="1:7" ht="12.75">
      <c r="A568" s="207"/>
      <c r="B568" s="207"/>
      <c r="C568" s="207"/>
      <c r="D568" s="979"/>
      <c r="E568" s="979"/>
      <c r="F568" s="979"/>
      <c r="G568"/>
    </row>
    <row r="569" spans="1:7" ht="12.75">
      <c r="A569" s="207"/>
      <c r="B569" s="207"/>
      <c r="C569" s="207"/>
      <c r="D569" s="44"/>
      <c r="G569"/>
    </row>
    <row r="570" spans="1:7" ht="14.25">
      <c r="A570" s="271"/>
      <c r="B570" s="609" t="s">
        <v>124</v>
      </c>
      <c r="C570" s="207"/>
      <c r="D570" s="979" t="s">
        <v>1538</v>
      </c>
      <c r="E570" s="979"/>
      <c r="F570" s="979"/>
      <c r="G570"/>
    </row>
    <row r="571" spans="1:7" ht="12.75">
      <c r="A571" s="207"/>
      <c r="B571" s="207"/>
      <c r="C571" s="207"/>
      <c r="D571" s="979"/>
      <c r="E571" s="979"/>
      <c r="F571" s="979"/>
      <c r="G571"/>
    </row>
    <row r="572" spans="1:7" ht="12" customHeight="1">
      <c r="A572" s="207"/>
      <c r="B572" s="207"/>
      <c r="C572" s="207"/>
      <c r="D572" s="44"/>
      <c r="G572"/>
    </row>
    <row r="573" spans="1:7" ht="14.25">
      <c r="A573" s="271"/>
      <c r="B573" s="609" t="s">
        <v>1376</v>
      </c>
      <c r="C573" s="207"/>
      <c r="D573" s="999" t="s">
        <v>1539</v>
      </c>
      <c r="E573" s="999"/>
      <c r="F573" s="999"/>
      <c r="G573"/>
    </row>
    <row r="574" spans="1:7" ht="14.25">
      <c r="A574" s="271"/>
      <c r="B574" s="271"/>
      <c r="C574" s="207"/>
      <c r="D574" s="1027" t="s">
        <v>2084</v>
      </c>
      <c r="E574" s="1027"/>
      <c r="F574" s="1027"/>
      <c r="G574"/>
    </row>
    <row r="575" spans="1:7" ht="12.75">
      <c r="A575" s="18"/>
      <c r="B575" s="18"/>
      <c r="C575" s="207"/>
      <c r="D575" s="931"/>
      <c r="E575" s="104" t="s">
        <v>2085</v>
      </c>
      <c r="F575" s="932"/>
      <c r="G575"/>
    </row>
    <row r="576" spans="1:7" ht="15" customHeight="1">
      <c r="A576" s="18"/>
      <c r="B576" s="18"/>
      <c r="C576" s="207"/>
      <c r="D576" s="973" t="s">
        <v>1753</v>
      </c>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979"/>
      <c r="E583" s="979"/>
      <c r="F583" s="979"/>
      <c r="G583"/>
    </row>
    <row r="584" spans="1:7" ht="12.75">
      <c r="A584" s="18"/>
      <c r="B584" s="18"/>
      <c r="C584" s="207"/>
      <c r="D584" s="979"/>
      <c r="E584" s="979"/>
      <c r="F584" s="979"/>
      <c r="G584"/>
    </row>
    <row r="585" spans="1:7" ht="12.75">
      <c r="A585" s="18"/>
      <c r="B585" s="18"/>
      <c r="C585" s="207"/>
      <c r="D585" s="209"/>
      <c r="E585" s="209"/>
      <c r="F585" s="209"/>
      <c r="G585"/>
    </row>
    <row r="586" spans="1:7" ht="14.25">
      <c r="A586" s="271"/>
      <c r="B586" s="609" t="s">
        <v>1376</v>
      </c>
      <c r="C586" s="207"/>
      <c r="D586" s="999" t="s">
        <v>1540</v>
      </c>
      <c r="E586" s="999"/>
      <c r="F586" s="999"/>
      <c r="G586"/>
    </row>
    <row r="587" spans="1:7" ht="13.7" customHeight="1">
      <c r="C587" s="207"/>
      <c r="D587" s="979" t="s">
        <v>1541</v>
      </c>
      <c r="E587" s="979"/>
      <c r="F587" s="979"/>
      <c r="G587"/>
    </row>
    <row r="588" spans="1:7" ht="12.75">
      <c r="A588" s="207"/>
      <c r="B588" s="207"/>
      <c r="C588" s="207"/>
      <c r="D588" s="979"/>
      <c r="E588" s="979"/>
      <c r="F588" s="979"/>
      <c r="G588"/>
    </row>
    <row r="589" spans="1:7" ht="12.75">
      <c r="A589" s="207"/>
      <c r="B589" s="207"/>
      <c r="C589" s="207"/>
      <c r="D589" s="979"/>
      <c r="E589" s="979"/>
      <c r="F589" s="979"/>
      <c r="G589"/>
    </row>
    <row r="590" spans="1:7" ht="12.75">
      <c r="A590" s="207"/>
      <c r="B590" s="207"/>
      <c r="C590" s="207"/>
      <c r="D590" s="209"/>
      <c r="E590" s="209"/>
      <c r="F590" s="209"/>
      <c r="G590"/>
    </row>
    <row r="591" spans="1:7" ht="14.45" customHeight="1">
      <c r="A591" s="271"/>
      <c r="B591" s="609" t="s">
        <v>1376</v>
      </c>
      <c r="C591" s="207"/>
      <c r="D591" s="979" t="s">
        <v>2147</v>
      </c>
      <c r="E591" s="979"/>
      <c r="F591" s="979"/>
      <c r="G591"/>
    </row>
    <row r="592" spans="1:7" ht="14.25">
      <c r="A592" s="271"/>
      <c r="B592" s="271"/>
      <c r="C592" s="207"/>
      <c r="D592" s="979"/>
      <c r="E592" s="979"/>
      <c r="F592" s="979"/>
      <c r="G592"/>
    </row>
    <row r="593" spans="1:7" ht="14.25">
      <c r="A593" s="271"/>
      <c r="B593" s="271"/>
      <c r="C593" s="207"/>
      <c r="D593" s="979"/>
      <c r="E593" s="979"/>
      <c r="F593" s="979"/>
    </row>
    <row r="594" spans="1:7" ht="12.75">
      <c r="A594" s="207"/>
      <c r="B594" s="207"/>
      <c r="C594" s="207"/>
      <c r="D594" s="979"/>
      <c r="E594" s="979"/>
      <c r="F594" s="979"/>
    </row>
    <row r="595" spans="1:7" ht="12.75">
      <c r="A595" s="207"/>
      <c r="B595" s="207"/>
      <c r="C595" s="207"/>
      <c r="D595" s="44"/>
    </row>
    <row r="596" spans="1:7" ht="12.75">
      <c r="A596" s="191"/>
      <c r="B596" s="609" t="s">
        <v>1376</v>
      </c>
      <c r="C596" s="191"/>
      <c r="D596" s="1002" t="s">
        <v>1815</v>
      </c>
      <c r="E596" s="1003"/>
      <c r="F596" s="1003"/>
    </row>
    <row r="597" spans="1:7" ht="12.75">
      <c r="A597" s="191"/>
      <c r="B597" s="191"/>
      <c r="C597" s="191"/>
    </row>
    <row r="598" spans="1:7" ht="12.75">
      <c r="A598" s="207"/>
      <c r="B598" s="207"/>
      <c r="C598" s="207"/>
      <c r="D598" s="24"/>
      <c r="E598" s="24"/>
      <c r="F598" s="24"/>
    </row>
    <row r="599" spans="1:7" ht="12.75">
      <c r="A599" s="1004" t="s">
        <v>1393</v>
      </c>
      <c r="B599" s="1004"/>
      <c r="C599" s="1004"/>
      <c r="D599" s="1004"/>
      <c r="E599" s="1004"/>
      <c r="F599" s="1004"/>
      <c r="G599" s="1004"/>
    </row>
    <row r="600" spans="1:7" ht="12.75">
      <c r="A600" s="207"/>
      <c r="B600" s="207"/>
      <c r="C600" s="207"/>
    </row>
    <row r="601" spans="1:7" ht="12.75">
      <c r="C601" s="190"/>
      <c r="D601" s="1006" t="s">
        <v>165</v>
      </c>
      <c r="E601" s="1006"/>
      <c r="F601" s="1006"/>
    </row>
    <row r="602" spans="1:7" ht="12.75">
      <c r="C602" s="190"/>
      <c r="D602" s="1007" t="s">
        <v>1442</v>
      </c>
      <c r="E602" s="1007"/>
      <c r="F602" s="1007"/>
    </row>
    <row r="603" spans="1:7" ht="12.75">
      <c r="C603" s="190"/>
      <c r="D603" s="371"/>
    </row>
    <row r="604" spans="1:7" ht="14.25">
      <c r="A604" s="271"/>
      <c r="B604" s="609" t="s">
        <v>1376</v>
      </c>
      <c r="D604" s="1007" t="s">
        <v>1114</v>
      </c>
      <c r="E604" s="1007"/>
      <c r="F604" s="1007"/>
    </row>
    <row r="605" spans="1:7" ht="12.75">
      <c r="A605" s="18"/>
      <c r="B605" s="18"/>
      <c r="D605" s="361"/>
    </row>
    <row r="606" spans="1:7" ht="14.45" customHeight="1">
      <c r="A606" s="271"/>
      <c r="B606" s="609" t="s">
        <v>1376</v>
      </c>
      <c r="D606" s="1007" t="s">
        <v>2148</v>
      </c>
      <c r="E606" s="1007"/>
      <c r="F606" s="1007"/>
    </row>
    <row r="607" spans="1:7" ht="14.45" customHeight="1">
      <c r="A607" s="271"/>
      <c r="B607" s="271"/>
      <c r="D607" s="1007"/>
      <c r="E607" s="1007"/>
      <c r="F607" s="1007"/>
    </row>
    <row r="608" spans="1:7" ht="14.25">
      <c r="A608" s="271"/>
      <c r="B608" s="271"/>
      <c r="D608" s="1007"/>
      <c r="E608" s="1007"/>
      <c r="F608" s="1007"/>
    </row>
    <row r="609" spans="1:7" ht="14.25">
      <c r="A609" s="271"/>
      <c r="B609" s="271"/>
      <c r="D609" s="613"/>
      <c r="E609" s="613"/>
      <c r="F609" s="613"/>
    </row>
    <row r="610" spans="1:7" ht="14.25">
      <c r="A610" s="271"/>
      <c r="B610" s="609" t="s">
        <v>124</v>
      </c>
      <c r="D610" s="1007" t="s">
        <v>1443</v>
      </c>
      <c r="E610" s="1007"/>
      <c r="F610" s="1007"/>
    </row>
    <row r="611" spans="1:7" ht="14.25">
      <c r="A611" s="271"/>
      <c r="B611" s="271"/>
      <c r="D611" s="1007"/>
      <c r="E611" s="1007"/>
      <c r="F611" s="1007"/>
    </row>
    <row r="612" spans="1:7" ht="14.25">
      <c r="A612" s="271"/>
      <c r="B612" s="271"/>
      <c r="D612" s="1007"/>
      <c r="E612" s="1007"/>
      <c r="F612" s="1007"/>
    </row>
    <row r="613" spans="1:7" ht="14.25">
      <c r="A613" s="271"/>
      <c r="B613" s="271"/>
      <c r="D613" s="1007"/>
      <c r="E613" s="1007"/>
      <c r="F613" s="1007"/>
    </row>
    <row r="614" spans="1:7" ht="14.25">
      <c r="A614" s="271"/>
      <c r="B614" s="271"/>
      <c r="D614" s="371"/>
    </row>
    <row r="615" spans="1:7" ht="14.25">
      <c r="A615" s="271"/>
      <c r="B615" s="609" t="s">
        <v>1376</v>
      </c>
      <c r="D615" s="1007" t="s">
        <v>2149</v>
      </c>
      <c r="E615" s="1007"/>
      <c r="F615" s="1007"/>
    </row>
    <row r="616" spans="1:7" ht="14.25">
      <c r="A616" s="271"/>
      <c r="B616" s="271"/>
      <c r="D616" s="1007"/>
      <c r="E616" s="1007"/>
      <c r="F616" s="1007"/>
    </row>
    <row r="617" spans="1:7" ht="14.25">
      <c r="A617" s="271"/>
      <c r="B617" s="271"/>
      <c r="D617" s="371"/>
    </row>
    <row r="618" spans="1:7" ht="14.45" customHeight="1">
      <c r="A618" s="271"/>
      <c r="B618" s="609" t="s">
        <v>124</v>
      </c>
      <c r="D618" s="1007" t="s">
        <v>1447</v>
      </c>
      <c r="E618" s="1007"/>
      <c r="F618" s="1007"/>
    </row>
    <row r="619" spans="1:7" ht="14.25">
      <c r="A619" s="271"/>
      <c r="B619" s="271"/>
      <c r="D619" s="1007"/>
      <c r="E619" s="1007"/>
      <c r="F619" s="1007"/>
    </row>
    <row r="620" spans="1:7" ht="14.25">
      <c r="A620" s="271"/>
      <c r="B620" s="271"/>
      <c r="D620" s="371"/>
    </row>
    <row r="621" spans="1:7" ht="14.25">
      <c r="A621" s="271"/>
      <c r="B621" s="609" t="s">
        <v>1376</v>
      </c>
      <c r="D621" s="1007" t="s">
        <v>1115</v>
      </c>
      <c r="E621" s="1007"/>
      <c r="F621" s="1007"/>
    </row>
    <row r="622" spans="1:7" ht="12.75">
      <c r="A622" s="18"/>
      <c r="B622" s="18"/>
    </row>
    <row r="623" spans="1:7" ht="12.75">
      <c r="A623" s="1004" t="s">
        <v>1395</v>
      </c>
      <c r="B623" s="1004"/>
      <c r="C623" s="1004"/>
      <c r="D623" s="1004"/>
      <c r="E623" s="1004"/>
      <c r="F623" s="1004"/>
      <c r="G623" s="1004"/>
    </row>
    <row r="624" spans="1:7" ht="12.75">
      <c r="A624" s="63"/>
      <c r="B624" s="63"/>
    </row>
    <row r="625" spans="1:7" ht="12.75">
      <c r="C625" s="191"/>
      <c r="D625" s="1013" t="s">
        <v>1394</v>
      </c>
      <c r="E625" s="1013"/>
      <c r="F625" s="1013"/>
    </row>
    <row r="626" spans="1:7" ht="12.75">
      <c r="C626" s="191"/>
      <c r="D626" s="1003" t="s">
        <v>1421</v>
      </c>
      <c r="E626" s="1003"/>
      <c r="F626" s="1003"/>
    </row>
    <row r="627" spans="1:7" ht="12.75">
      <c r="C627" s="191"/>
      <c r="D627" s="102"/>
      <c r="E627" s="102"/>
      <c r="F627" s="102"/>
    </row>
    <row r="628" spans="1:7" ht="14.25" customHeight="1">
      <c r="A628" s="271"/>
      <c r="B628" s="609" t="s">
        <v>1376</v>
      </c>
      <c r="D628" s="994" t="s">
        <v>2087</v>
      </c>
      <c r="E628" s="995"/>
      <c r="F628" s="995"/>
    </row>
    <row r="629" spans="1:7" ht="12.75">
      <c r="D629" s="995"/>
      <c r="E629" s="995"/>
      <c r="F629" s="995"/>
    </row>
    <row r="630" spans="1:7" ht="12.75">
      <c r="D630" s="933"/>
      <c r="E630" s="927" t="s">
        <v>2086</v>
      </c>
      <c r="F630" s="933"/>
    </row>
    <row r="631" spans="1:7" ht="12.75">
      <c r="A631" s="63"/>
      <c r="B631" s="63"/>
    </row>
    <row r="632" spans="1:7" ht="12" customHeight="1">
      <c r="A632" s="1004" t="s">
        <v>1397</v>
      </c>
      <c r="B632" s="1004"/>
      <c r="C632" s="1004"/>
      <c r="D632" s="1004"/>
      <c r="E632" s="1004"/>
      <c r="F632" s="1004"/>
      <c r="G632" s="1004"/>
    </row>
    <row r="633" spans="1:7" ht="12.75">
      <c r="A633" s="44"/>
      <c r="B633" s="44"/>
    </row>
    <row r="634" spans="1:7" ht="12.75">
      <c r="C634" s="190"/>
      <c r="D634" s="1005" t="s">
        <v>1396</v>
      </c>
      <c r="E634" s="1005"/>
      <c r="F634" s="1005"/>
    </row>
    <row r="635" spans="1:7" ht="12.75">
      <c r="A635" s="191"/>
      <c r="B635" s="191"/>
      <c r="C635" s="191"/>
      <c r="D635" s="999" t="s">
        <v>1553</v>
      </c>
      <c r="E635" s="999"/>
      <c r="F635" s="999"/>
    </row>
    <row r="636" spans="1:7" ht="12.75">
      <c r="A636" s="191"/>
      <c r="B636" s="191"/>
      <c r="C636" s="191"/>
    </row>
    <row r="637" spans="1:7" ht="14.25">
      <c r="A637" s="271"/>
      <c r="B637" s="271"/>
      <c r="D637" s="1013" t="s">
        <v>870</v>
      </c>
      <c r="E637" s="1013"/>
      <c r="F637" s="1013"/>
    </row>
    <row r="638" spans="1:7" ht="14.25">
      <c r="A638" s="271"/>
      <c r="B638" s="609" t="s">
        <v>1376</v>
      </c>
      <c r="D638" s="1003" t="s">
        <v>1554</v>
      </c>
      <c r="E638" s="1003"/>
      <c r="F638" s="1003"/>
    </row>
    <row r="639" spans="1:7" ht="14.25">
      <c r="A639" s="271"/>
      <c r="B639" s="271"/>
      <c r="D639" s="44"/>
    </row>
    <row r="640" spans="1:7" ht="14.25">
      <c r="A640" s="271"/>
      <c r="B640" s="609" t="s">
        <v>124</v>
      </c>
      <c r="D640" s="979" t="s">
        <v>1555</v>
      </c>
      <c r="E640" s="979"/>
      <c r="F640" s="979"/>
    </row>
    <row r="641" spans="1:7" ht="14.25">
      <c r="A641" s="271"/>
      <c r="B641" s="271"/>
      <c r="D641" s="979"/>
      <c r="E641" s="979"/>
      <c r="F641" s="979"/>
    </row>
    <row r="642" spans="1:7" ht="14.25">
      <c r="A642" s="271"/>
      <c r="B642" s="271"/>
      <c r="D642" s="44"/>
    </row>
    <row r="643" spans="1:7" ht="14.25">
      <c r="A643" s="271"/>
      <c r="B643" s="609" t="s">
        <v>1376</v>
      </c>
      <c r="D643" s="973" t="s">
        <v>1923</v>
      </c>
      <c r="E643" s="973"/>
      <c r="F643" s="973"/>
    </row>
    <row r="644" spans="1:7" ht="13.7" customHeight="1">
      <c r="D644" s="973"/>
      <c r="E644" s="973"/>
      <c r="F644" s="973"/>
    </row>
    <row r="645" spans="1:7" ht="12.75"/>
    <row r="646" spans="1:7" ht="14.25">
      <c r="A646" s="271"/>
      <c r="B646" s="609" t="s">
        <v>124</v>
      </c>
      <c r="D646" s="1003" t="s">
        <v>1556</v>
      </c>
      <c r="E646" s="1003"/>
      <c r="F646" s="1003"/>
    </row>
    <row r="647" spans="1:7" ht="12.75">
      <c r="A647" s="190"/>
      <c r="B647" s="190"/>
      <c r="C647" s="190"/>
    </row>
    <row r="648" spans="1:7" ht="12.75">
      <c r="A648" s="1004" t="s">
        <v>1398</v>
      </c>
      <c r="B648" s="1004"/>
      <c r="C648" s="1004"/>
      <c r="D648" s="1004"/>
      <c r="E648" s="1004"/>
      <c r="F648" s="1004"/>
      <c r="G648" s="1004"/>
    </row>
    <row r="649" spans="1:7" ht="12.75">
      <c r="A649" s="190"/>
      <c r="B649" s="190"/>
      <c r="C649" s="190"/>
    </row>
    <row r="650" spans="1:7" ht="12.75">
      <c r="C650" s="18"/>
      <c r="D650" s="1043" t="s">
        <v>1422</v>
      </c>
      <c r="E650" s="1043"/>
      <c r="F650" s="1043"/>
    </row>
    <row r="651" spans="1:7" ht="12.75">
      <c r="A651" s="18"/>
      <c r="B651" s="18"/>
      <c r="D651" s="3"/>
    </row>
    <row r="652" spans="1:7" ht="14.25" customHeight="1">
      <c r="A652" s="271"/>
      <c r="B652" s="609" t="s">
        <v>1376</v>
      </c>
      <c r="D652" s="994" t="s">
        <v>2150</v>
      </c>
      <c r="E652" s="994"/>
      <c r="F652" s="994"/>
    </row>
    <row r="653" spans="1:7" ht="14.25">
      <c r="A653" s="271"/>
      <c r="B653" s="271"/>
      <c r="D653" s="994"/>
      <c r="E653" s="994"/>
      <c r="F653" s="994"/>
    </row>
    <row r="654" spans="1:7" ht="12.75">
      <c r="D654" s="933"/>
      <c r="E654" s="927" t="s">
        <v>2089</v>
      </c>
      <c r="F654" s="933"/>
    </row>
    <row r="655" spans="1:7" ht="12.75">
      <c r="D655" s="976" t="s">
        <v>2088</v>
      </c>
      <c r="E655" s="976"/>
      <c r="F655" s="976"/>
    </row>
    <row r="656" spans="1:7" ht="12.75" customHeight="1">
      <c r="D656" s="976"/>
      <c r="E656" s="976"/>
      <c r="F656" s="976"/>
    </row>
    <row r="657" spans="1:9" ht="12.75">
      <c r="B657"/>
      <c r="D657" s="976"/>
      <c r="E657" s="976"/>
      <c r="F657" s="976"/>
    </row>
    <row r="658" spans="1:9" ht="12.75"/>
    <row r="659" spans="1:9" ht="14.25">
      <c r="A659" s="303"/>
      <c r="B659" s="609" t="s">
        <v>124</v>
      </c>
      <c r="D659" s="1044" t="s">
        <v>1557</v>
      </c>
      <c r="E659" s="1044"/>
      <c r="F659" s="1044"/>
      <c r="G659" s="44"/>
    </row>
    <row r="660" spans="1:9" ht="14.25">
      <c r="A660" s="303"/>
      <c r="B660" s="303"/>
      <c r="D660" s="1044"/>
      <c r="E660" s="1044"/>
      <c r="F660" s="1044"/>
      <c r="G660" s="44"/>
    </row>
    <row r="661" spans="1:9" ht="14.25">
      <c r="A661" s="303"/>
      <c r="B661" s="303"/>
      <c r="D661" s="44"/>
      <c r="E661" s="44"/>
      <c r="F661" s="44"/>
      <c r="G661" s="44"/>
    </row>
    <row r="662" spans="1:9" ht="13.7" customHeight="1">
      <c r="A662" s="303"/>
      <c r="B662" s="609" t="s">
        <v>124</v>
      </c>
      <c r="D662" s="1014" t="s">
        <v>1816</v>
      </c>
      <c r="E662" s="1014"/>
      <c r="F662" s="1014"/>
      <c r="G662" s="44"/>
    </row>
    <row r="663" spans="1:9" ht="14.25">
      <c r="A663" s="303"/>
      <c r="B663" s="303"/>
      <c r="D663" s="1014"/>
      <c r="E663" s="1014"/>
      <c r="F663" s="1014"/>
      <c r="G663" s="44"/>
    </row>
    <row r="664" spans="1:9" ht="14.25">
      <c r="A664" s="271"/>
      <c r="B664" s="271"/>
      <c r="D664" s="626"/>
      <c r="E664" s="626"/>
      <c r="F664" s="626"/>
      <c r="G664" s="44"/>
    </row>
    <row r="665" spans="1:9" ht="14.25">
      <c r="A665" s="271"/>
      <c r="B665" s="609" t="s">
        <v>124</v>
      </c>
      <c r="C665" s="207"/>
      <c r="D665" s="1045" t="s">
        <v>1558</v>
      </c>
      <c r="E665" s="1045"/>
      <c r="F665" s="1045"/>
      <c r="G665" s="44"/>
    </row>
    <row r="666" spans="1:9" ht="12.75">
      <c r="A666" s="44"/>
      <c r="B666" s="44"/>
      <c r="C666" s="207"/>
      <c r="D666" s="44"/>
      <c r="E666" s="44"/>
      <c r="F666" s="44"/>
      <c r="G666" s="44"/>
      <c r="H666" s="267"/>
      <c r="I666" s="267"/>
    </row>
    <row r="667" spans="1:9" ht="12.75">
      <c r="A667" s="1004" t="s">
        <v>1400</v>
      </c>
      <c r="B667" s="1004"/>
      <c r="C667" s="1004"/>
      <c r="D667" s="1004"/>
      <c r="E667" s="1004"/>
      <c r="F667" s="1004"/>
      <c r="G667" s="1004"/>
    </row>
    <row r="668" spans="1:9" ht="12.75">
      <c r="A668" s="44"/>
      <c r="B668" s="44"/>
      <c r="C668" s="207"/>
      <c r="D668" s="44"/>
      <c r="E668" s="44"/>
      <c r="F668" s="44"/>
      <c r="G668" s="44"/>
    </row>
    <row r="669" spans="1:9" ht="12.75">
      <c r="C669" s="190"/>
      <c r="D669" s="1005" t="s">
        <v>1399</v>
      </c>
      <c r="E669" s="1005"/>
      <c r="F669" s="1005"/>
      <c r="G669" s="44"/>
    </row>
    <row r="670" spans="1:9" ht="12.75">
      <c r="A670" s="191"/>
      <c r="B670" s="191"/>
      <c r="C670" s="191"/>
      <c r="D670" s="999" t="s">
        <v>1423</v>
      </c>
      <c r="E670" s="999"/>
      <c r="F670" s="999"/>
      <c r="G670" s="44"/>
    </row>
    <row r="671" spans="1:9" ht="12.75">
      <c r="A671" s="191"/>
      <c r="B671" s="191"/>
      <c r="C671" s="191"/>
      <c r="D671" s="44"/>
      <c r="E671" s="44"/>
      <c r="F671" s="44"/>
      <c r="G671" s="44"/>
    </row>
    <row r="672" spans="1:9" ht="14.45" customHeight="1">
      <c r="A672" s="271"/>
      <c r="B672" s="609" t="s">
        <v>1376</v>
      </c>
      <c r="C672" s="207"/>
      <c r="D672" s="973" t="s">
        <v>1879</v>
      </c>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c r="A676" s="271"/>
      <c r="B676" s="271"/>
      <c r="C676" s="207"/>
      <c r="D676" s="973"/>
      <c r="E676" s="973"/>
      <c r="F676" s="973"/>
      <c r="G676" s="44"/>
    </row>
    <row r="677" spans="1:7" ht="14.25">
      <c r="A677" s="271"/>
      <c r="B677" s="271"/>
      <c r="C677" s="207"/>
      <c r="D677" s="973"/>
      <c r="E677" s="973"/>
      <c r="F677" s="973"/>
      <c r="G677" s="44"/>
    </row>
    <row r="678" spans="1:7" ht="14.25" hidden="1">
      <c r="A678" s="271"/>
      <c r="B678" s="271"/>
      <c r="C678" s="207"/>
      <c r="D678" s="371"/>
      <c r="F678" s="44"/>
      <c r="G678" s="44"/>
    </row>
    <row r="679" spans="1:7" ht="14.25" hidden="1">
      <c r="A679" s="271"/>
      <c r="B679" s="609" t="s">
        <v>79</v>
      </c>
      <c r="C679" s="207"/>
      <c r="D679" s="1030" t="s">
        <v>1440</v>
      </c>
      <c r="E679" s="1030"/>
      <c r="F679" s="1030"/>
      <c r="G679" s="44"/>
    </row>
    <row r="680" spans="1:7" ht="14.25" hidden="1">
      <c r="A680" s="271"/>
      <c r="B680" s="271"/>
      <c r="C680" s="207"/>
      <c r="D680" s="1025" t="s">
        <v>2151</v>
      </c>
      <c r="E680" s="1025"/>
      <c r="F680" s="1025"/>
      <c r="G680" s="44"/>
    </row>
    <row r="681" spans="1:7" ht="14.25" hidden="1">
      <c r="A681" s="271"/>
      <c r="B681" s="271"/>
      <c r="C681" s="207"/>
      <c r="D681" s="1025"/>
      <c r="E681" s="1025"/>
      <c r="F681" s="1025"/>
      <c r="G681" s="44"/>
    </row>
    <row r="682" spans="1:7" ht="14.25" hidden="1">
      <c r="A682" s="271"/>
      <c r="B682" s="271"/>
      <c r="C682" s="207"/>
      <c r="D682" s="1025"/>
      <c r="E682" s="1025"/>
      <c r="F682" s="1025"/>
      <c r="G682" s="44"/>
    </row>
    <row r="683" spans="1:7" ht="14.25" hidden="1">
      <c r="A683" s="271"/>
      <c r="B683" s="271"/>
      <c r="C683" s="207"/>
      <c r="D683" s="1025"/>
      <c r="E683" s="1025"/>
      <c r="F683" s="1025"/>
      <c r="G683" s="44"/>
    </row>
    <row r="684" spans="1:7" ht="14.25" hidden="1">
      <c r="A684" s="271"/>
      <c r="B684" s="271"/>
      <c r="C684" s="207"/>
      <c r="D684" s="1025"/>
      <c r="E684" s="1025"/>
      <c r="F684" s="1025"/>
      <c r="G684" s="44"/>
    </row>
    <row r="685" spans="1:7" ht="14.25" hidden="1">
      <c r="A685" s="271"/>
      <c r="B685" s="271"/>
      <c r="C685" s="207"/>
      <c r="D685" s="1046" t="s">
        <v>1878</v>
      </c>
      <c r="E685" s="1046"/>
      <c r="F685" s="1046"/>
      <c r="G685" s="44"/>
    </row>
    <row r="686" spans="1:7" ht="12.75">
      <c r="A686" s="44"/>
      <c r="B686" s="44"/>
      <c r="C686" s="207"/>
      <c r="D686" s="44"/>
      <c r="E686" s="44"/>
      <c r="F686" s="44"/>
      <c r="G686" s="44"/>
    </row>
    <row r="687" spans="1:7" ht="12.75">
      <c r="A687" s="1004" t="s">
        <v>1401</v>
      </c>
      <c r="B687" s="1004"/>
      <c r="C687" s="1004"/>
      <c r="D687" s="1004"/>
      <c r="E687" s="1004"/>
      <c r="F687" s="1004"/>
      <c r="G687" s="1004"/>
    </row>
    <row r="688" spans="1:7" ht="12.75">
      <c r="A688" s="44"/>
      <c r="B688" s="44"/>
      <c r="C688" s="207"/>
      <c r="D688" s="44"/>
      <c r="E688" s="44"/>
      <c r="F688" s="44"/>
      <c r="G688" s="44"/>
    </row>
    <row r="689" spans="1:7" ht="12.75">
      <c r="C689" s="190"/>
      <c r="D689" s="1005" t="s">
        <v>783</v>
      </c>
      <c r="E689" s="1005"/>
      <c r="F689" s="1005"/>
      <c r="G689" s="44"/>
    </row>
    <row r="690" spans="1:7" ht="12.75">
      <c r="A690" s="190"/>
      <c r="B690" s="190"/>
      <c r="C690" s="190"/>
      <c r="D690" s="1005" t="s">
        <v>871</v>
      </c>
      <c r="E690" s="1005"/>
      <c r="F690" s="1005"/>
      <c r="G690" s="44"/>
    </row>
    <row r="691" spans="1:7" ht="12.75">
      <c r="A691" s="191"/>
      <c r="B691" s="191"/>
      <c r="C691" s="191"/>
      <c r="D691" s="999" t="s">
        <v>1524</v>
      </c>
      <c r="E691" s="999"/>
      <c r="F691" s="999"/>
    </row>
    <row r="692" spans="1:7" ht="14.25" customHeight="1">
      <c r="A692" s="191"/>
      <c r="B692" s="191"/>
      <c r="C692" s="191"/>
    </row>
    <row r="693" spans="1:7" ht="14.25">
      <c r="A693" s="271"/>
      <c r="B693" s="609" t="s">
        <v>1376</v>
      </c>
      <c r="C693" s="191"/>
      <c r="D693" s="999" t="s">
        <v>1116</v>
      </c>
      <c r="E693" s="999"/>
      <c r="F693" s="999"/>
    </row>
    <row r="694" spans="1:7" ht="12.75">
      <c r="A694" s="191"/>
      <c r="B694" s="191"/>
      <c r="C694" s="191"/>
      <c r="D694" s="999" t="s">
        <v>1133</v>
      </c>
      <c r="E694" s="999"/>
      <c r="F694" s="999"/>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124</v>
      </c>
      <c r="C698" s="191"/>
      <c r="D698" s="979" t="s">
        <v>2152</v>
      </c>
      <c r="E698" s="979"/>
      <c r="F698" s="979"/>
    </row>
    <row r="699" spans="1:7" ht="12.75">
      <c r="A699" s="18"/>
      <c r="B699" s="18"/>
      <c r="C699" s="191"/>
      <c r="D699" s="979"/>
      <c r="E699" s="979"/>
      <c r="F699" s="979"/>
    </row>
    <row r="700" spans="1:7" ht="12.75">
      <c r="A700" s="191"/>
      <c r="B700" s="191"/>
      <c r="C700" s="191"/>
      <c r="D700" s="979"/>
      <c r="E700" s="979"/>
      <c r="F700" s="979"/>
    </row>
    <row r="701" spans="1:7" ht="12.75">
      <c r="A701" s="191"/>
      <c r="B701" s="191"/>
      <c r="C701" s="191"/>
    </row>
    <row r="702" spans="1:7" ht="14.25">
      <c r="A702" s="271"/>
      <c r="B702" s="609" t="s">
        <v>1376</v>
      </c>
      <c r="C702" s="191"/>
      <c r="D702" s="999" t="s">
        <v>1174</v>
      </c>
      <c r="E702" s="999"/>
      <c r="F702" s="999"/>
    </row>
    <row r="703" spans="1:7" ht="14.25">
      <c r="A703" s="271"/>
      <c r="B703" s="271"/>
      <c r="C703" s="191"/>
      <c r="D703" s="999" t="s">
        <v>1133</v>
      </c>
      <c r="E703" s="999"/>
      <c r="F703" s="999"/>
    </row>
    <row r="704" spans="1:7" ht="12.75">
      <c r="A704" s="191"/>
      <c r="B704" s="191"/>
      <c r="C704" s="191"/>
      <c r="E704" s="1016" t="s">
        <v>2092</v>
      </c>
      <c r="F704" s="1016"/>
    </row>
    <row r="705" spans="1:6" ht="12.75">
      <c r="A705" s="191"/>
      <c r="B705" s="191"/>
      <c r="C705" s="191"/>
      <c r="D705" s="3"/>
    </row>
    <row r="706" spans="1:6" ht="14.25">
      <c r="A706" s="271"/>
      <c r="B706" s="609" t="s">
        <v>124</v>
      </c>
      <c r="C706" s="191"/>
      <c r="D706" s="979" t="s">
        <v>1526</v>
      </c>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191"/>
      <c r="C711" s="191"/>
      <c r="D711" s="979"/>
      <c r="E711" s="979"/>
      <c r="F711" s="979"/>
    </row>
    <row r="712" spans="1:6" ht="12.75">
      <c r="A712" s="191"/>
      <c r="B712" s="191"/>
      <c r="C712" s="191"/>
      <c r="D712" s="979"/>
      <c r="E712" s="979"/>
      <c r="F712" s="979"/>
    </row>
    <row r="713" spans="1:6" ht="12.75">
      <c r="A713" s="191"/>
      <c r="B713" s="609" t="s">
        <v>124</v>
      </c>
      <c r="C713" s="191"/>
      <c r="D713" s="973" t="s">
        <v>1733</v>
      </c>
      <c r="E713" s="979"/>
      <c r="F713" s="979"/>
    </row>
    <row r="714" spans="1:6" ht="12.75">
      <c r="A714" s="191"/>
      <c r="B714" s="191"/>
      <c r="C714" s="191"/>
      <c r="D714" s="979"/>
      <c r="E714" s="979"/>
      <c r="F714" s="979"/>
    </row>
    <row r="715" spans="1:6" ht="12.75">
      <c r="A715" s="191"/>
      <c r="B715" s="191"/>
      <c r="C715" s="191"/>
    </row>
    <row r="716" spans="1:6" ht="14.45" customHeight="1">
      <c r="A716" s="271"/>
      <c r="B716" s="609" t="s">
        <v>124</v>
      </c>
      <c r="C716" s="191"/>
      <c r="D716" s="979" t="s">
        <v>1527</v>
      </c>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191"/>
      <c r="C727" s="191"/>
      <c r="D727" s="979"/>
      <c r="E727" s="979"/>
      <c r="F727" s="979"/>
    </row>
    <row r="728" spans="1:9" ht="12.75">
      <c r="A728" s="191"/>
      <c r="B728" s="191"/>
      <c r="C728" s="191"/>
      <c r="D728" s="979"/>
      <c r="E728" s="979"/>
      <c r="F728" s="979"/>
    </row>
    <row r="729" spans="1:9" ht="12.75">
      <c r="A729" s="191"/>
      <c r="B729" s="609" t="s">
        <v>124</v>
      </c>
      <c r="C729" s="191"/>
      <c r="D729" s="979" t="s">
        <v>1531</v>
      </c>
      <c r="E729" s="979"/>
      <c r="F729" s="979"/>
      <c r="H729" s="267"/>
      <c r="I729" s="267"/>
    </row>
    <row r="730" spans="1:9" ht="12.75">
      <c r="A730" s="191"/>
      <c r="B730" s="191"/>
      <c r="C730" s="191"/>
      <c r="D730" s="979"/>
      <c r="E730" s="979"/>
      <c r="F730" s="979"/>
      <c r="H730" s="267"/>
      <c r="I730" s="267"/>
    </row>
    <row r="731" spans="1:9" ht="12.75">
      <c r="A731" s="191"/>
      <c r="B731" s="191"/>
      <c r="C731" s="191"/>
      <c r="D731" s="24"/>
      <c r="E731" s="24"/>
      <c r="F731" s="24"/>
      <c r="H731" s="267"/>
      <c r="I731" s="267"/>
    </row>
    <row r="732" spans="1:9" ht="12.75">
      <c r="A732" s="191"/>
      <c r="B732" s="609" t="s">
        <v>1376</v>
      </c>
      <c r="C732" s="191"/>
      <c r="D732" s="979" t="s">
        <v>1532</v>
      </c>
      <c r="E732" s="979"/>
      <c r="F732" s="979"/>
      <c r="H732" s="267"/>
      <c r="I732" s="267"/>
    </row>
    <row r="733" spans="1:9" ht="12.75">
      <c r="A733" s="191"/>
      <c r="B733" s="191"/>
      <c r="C733" s="191"/>
      <c r="D733" s="979"/>
      <c r="E733" s="979"/>
      <c r="F733" s="979"/>
      <c r="H733" s="267"/>
      <c r="I733" s="267"/>
    </row>
    <row r="734" spans="1:9" ht="12.75">
      <c r="A734" s="191"/>
      <c r="B734" s="191"/>
      <c r="C734" s="191"/>
      <c r="D734" s="979"/>
      <c r="E734" s="979"/>
      <c r="F734" s="979"/>
      <c r="H734" s="267"/>
      <c r="I734" s="267"/>
    </row>
    <row r="735" spans="1:9" ht="12.75">
      <c r="A735" s="191"/>
      <c r="B735" s="191"/>
      <c r="C735" s="191"/>
      <c r="D735" s="24"/>
      <c r="E735" s="24"/>
      <c r="F735" s="24"/>
      <c r="H735" s="267"/>
      <c r="I735" s="267"/>
    </row>
    <row r="736" spans="1:9" ht="14.45" customHeight="1">
      <c r="A736" s="271"/>
      <c r="B736" s="609" t="s">
        <v>124</v>
      </c>
      <c r="C736" s="191"/>
      <c r="D736" s="973" t="s">
        <v>1924</v>
      </c>
      <c r="E736" s="979"/>
      <c r="F736" s="979"/>
    </row>
    <row r="737" spans="1:9" ht="12.75">
      <c r="A737" s="191"/>
      <c r="B737" s="191"/>
      <c r="C737" s="191"/>
      <c r="D737" s="979"/>
      <c r="E737" s="979"/>
      <c r="F737" s="979"/>
    </row>
    <row r="738" spans="1:9" ht="12.75">
      <c r="A738" s="191"/>
      <c r="B738" s="191"/>
      <c r="C738" s="191"/>
      <c r="D738" s="979"/>
      <c r="E738" s="979"/>
      <c r="F738" s="979"/>
    </row>
    <row r="739" spans="1:9" ht="12.75">
      <c r="A739" s="191"/>
      <c r="B739" s="191"/>
      <c r="C739" s="191"/>
    </row>
    <row r="740" spans="1:9" ht="14.45" customHeight="1">
      <c r="A740" s="271"/>
      <c r="B740" s="609" t="s">
        <v>124</v>
      </c>
      <c r="C740" s="191"/>
      <c r="D740" s="979" t="s">
        <v>1528</v>
      </c>
      <c r="E740" s="979"/>
      <c r="F740" s="979"/>
    </row>
    <row r="741" spans="1:9" ht="12.75">
      <c r="A741" s="191"/>
      <c r="B741" s="191"/>
      <c r="C741" s="191"/>
      <c r="D741" s="979"/>
      <c r="E741" s="979"/>
      <c r="F741" s="979"/>
    </row>
    <row r="742" spans="1:9" ht="12.75">
      <c r="A742" s="191"/>
      <c r="B742" s="191"/>
      <c r="C742" s="191"/>
      <c r="D742" s="979"/>
      <c r="E742" s="979"/>
      <c r="F742" s="979"/>
    </row>
    <row r="743" spans="1:9" ht="12.75">
      <c r="A743" s="191"/>
      <c r="B743" s="191"/>
      <c r="C743" s="191"/>
      <c r="D743" s="212"/>
      <c r="H743" s="267"/>
      <c r="I743" s="267"/>
    </row>
    <row r="744" spans="1:9" ht="14.25">
      <c r="A744" s="271"/>
      <c r="B744" s="609" t="s">
        <v>1376</v>
      </c>
      <c r="C744" s="191"/>
      <c r="D744" s="979" t="s">
        <v>1530</v>
      </c>
      <c r="E744" s="979"/>
      <c r="F744" s="979"/>
    </row>
    <row r="745" spans="1:9" ht="12.75">
      <c r="A745" s="191"/>
      <c r="B745" s="191"/>
      <c r="C745" s="191"/>
      <c r="D745" s="979"/>
      <c r="E745" s="979"/>
      <c r="F745" s="979"/>
    </row>
    <row r="746" spans="1:9" ht="12.75">
      <c r="A746" s="191"/>
      <c r="B746" s="191"/>
      <c r="C746" s="191"/>
      <c r="D746" s="979"/>
      <c r="E746" s="979"/>
      <c r="F746" s="979"/>
    </row>
    <row r="747" spans="1:9" ht="12.75">
      <c r="A747" s="191"/>
      <c r="B747" s="191"/>
      <c r="C747" s="191"/>
      <c r="D747" s="979"/>
      <c r="E747" s="979"/>
      <c r="F747" s="979"/>
    </row>
    <row r="748" spans="1:9" ht="12.75">
      <c r="A748" s="191"/>
      <c r="B748" s="191"/>
      <c r="C748" s="191"/>
      <c r="D748" s="24"/>
      <c r="E748" s="24"/>
      <c r="F748" s="24"/>
    </row>
    <row r="749" spans="1:9" ht="14.25">
      <c r="A749" s="271"/>
      <c r="B749" s="609" t="s">
        <v>124</v>
      </c>
      <c r="C749" s="191"/>
      <c r="D749" s="973" t="s">
        <v>2218</v>
      </c>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979"/>
      <c r="E754" s="979"/>
      <c r="F754" s="979"/>
      <c r="H754" s="267"/>
      <c r="I754" s="267"/>
    </row>
    <row r="755" spans="1:9" ht="12.75">
      <c r="A755" s="191"/>
      <c r="B755" s="191"/>
      <c r="C755" s="191"/>
      <c r="D755" s="979"/>
      <c r="E755" s="979"/>
      <c r="F755" s="979"/>
      <c r="H755" s="267"/>
      <c r="I755" s="267"/>
    </row>
    <row r="756" spans="1:9" ht="12.75">
      <c r="A756" s="191"/>
      <c r="B756" s="191"/>
      <c r="C756" s="191"/>
      <c r="D756" s="1041" t="s">
        <v>1529</v>
      </c>
      <c r="E756" s="1041"/>
      <c r="F756" s="1041"/>
      <c r="H756" s="267"/>
      <c r="I756" s="267"/>
    </row>
    <row r="757" spans="1:9" ht="12.75">
      <c r="A757" s="191"/>
      <c r="B757" s="191"/>
      <c r="C757" s="191"/>
      <c r="D757" s="560"/>
      <c r="H757" s="267"/>
      <c r="I757" s="267"/>
    </row>
    <row r="758" spans="1:9" ht="12.75">
      <c r="A758" s="1024" t="s">
        <v>1428</v>
      </c>
      <c r="B758" s="1024"/>
      <c r="C758" s="1024"/>
      <c r="D758" s="1024"/>
      <c r="E758" s="1024"/>
      <c r="F758" s="1024"/>
      <c r="G758" s="1024"/>
      <c r="H758" s="267"/>
      <c r="I758" s="267"/>
    </row>
    <row r="759" spans="1:9" ht="12.75">
      <c r="A759" s="191"/>
      <c r="B759" s="191"/>
      <c r="C759" s="191"/>
      <c r="D759" s="212"/>
      <c r="H759" s="267"/>
      <c r="I759" s="267"/>
    </row>
    <row r="760" spans="1:9" ht="12.75">
      <c r="C760" s="191"/>
      <c r="D760" s="1006" t="s">
        <v>1448</v>
      </c>
      <c r="E760" s="1006"/>
      <c r="F760" s="1006"/>
      <c r="H760" s="267"/>
      <c r="I760" s="267"/>
    </row>
    <row r="761" spans="1:9" ht="12.75">
      <c r="A761" s="190"/>
      <c r="B761" s="190"/>
      <c r="C761" s="190"/>
      <c r="D761" s="1003" t="s">
        <v>1451</v>
      </c>
      <c r="E761" s="1003"/>
      <c r="F761" s="1003"/>
      <c r="H761" s="267"/>
      <c r="I761" s="267"/>
    </row>
    <row r="762" spans="1:9" ht="12.75">
      <c r="A762" s="191"/>
      <c r="B762" s="191"/>
      <c r="C762" s="191"/>
      <c r="H762" s="267"/>
      <c r="I762" s="267"/>
    </row>
    <row r="763" spans="1:9" ht="14.25" customHeight="1">
      <c r="A763" s="271"/>
      <c r="B763" s="609" t="s">
        <v>1376</v>
      </c>
      <c r="D763" s="979" t="s">
        <v>1449</v>
      </c>
      <c r="E763" s="979"/>
      <c r="F763" s="979"/>
      <c r="H763" s="267"/>
      <c r="I763" s="267"/>
    </row>
    <row r="764" spans="1:9" ht="11.25" customHeight="1">
      <c r="D764" s="979"/>
      <c r="E764" s="979"/>
      <c r="F764" s="979"/>
      <c r="H764" s="267"/>
      <c r="I764" s="267"/>
    </row>
    <row r="765" spans="1:9" ht="12.75">
      <c r="D765" s="979"/>
      <c r="E765" s="979"/>
      <c r="F765" s="979"/>
      <c r="H765" s="267"/>
      <c r="I765" s="267"/>
    </row>
    <row r="766" spans="1:9" ht="12.75">
      <c r="D766" s="979"/>
      <c r="E766" s="979"/>
      <c r="F766" s="979"/>
      <c r="H766" s="267"/>
      <c r="I766" s="267"/>
    </row>
    <row r="767" spans="1:9" ht="12.75">
      <c r="D767" s="979"/>
      <c r="E767" s="979"/>
      <c r="F767" s="979"/>
      <c r="H767" s="267"/>
      <c r="I767" s="267"/>
    </row>
    <row r="768" spans="1:9" ht="17.25" customHeight="1">
      <c r="D768" s="979"/>
      <c r="E768" s="979"/>
      <c r="F768" s="979"/>
      <c r="H768" s="267"/>
      <c r="I768" s="267"/>
    </row>
    <row r="769" spans="1:9" ht="12.75">
      <c r="D769" s="44"/>
      <c r="E769" s="44"/>
      <c r="F769" s="44"/>
      <c r="H769" s="267"/>
      <c r="I769" s="267"/>
    </row>
    <row r="770" spans="1:9" ht="12.75" customHeight="1">
      <c r="B770" s="609" t="s">
        <v>124</v>
      </c>
      <c r="D770" s="1014" t="s">
        <v>1865</v>
      </c>
      <c r="E770" s="1014"/>
      <c r="F770" s="1014"/>
      <c r="H770" s="267"/>
      <c r="I770" s="267"/>
    </row>
    <row r="771" spans="1:9" ht="12.75">
      <c r="D771" s="1014"/>
      <c r="E771" s="1014"/>
      <c r="F771" s="1014"/>
      <c r="H771" s="267"/>
      <c r="I771" s="267"/>
    </row>
    <row r="772" spans="1:9" ht="12.75">
      <c r="D772" s="1014"/>
      <c r="E772" s="1014"/>
      <c r="F772" s="1014"/>
      <c r="H772" s="267"/>
      <c r="I772" s="267"/>
    </row>
    <row r="773" spans="1:9" ht="12.75">
      <c r="D773" s="1014"/>
      <c r="E773" s="1014"/>
      <c r="F773" s="1014"/>
      <c r="H773" s="267"/>
      <c r="I773" s="267"/>
    </row>
    <row r="774" spans="1:9" ht="12.75">
      <c r="D774" s="44"/>
      <c r="H774" s="267"/>
      <c r="I774" s="267"/>
    </row>
    <row r="775" spans="1:9" ht="12.75">
      <c r="B775" s="609" t="s">
        <v>124</v>
      </c>
      <c r="C775" s="433"/>
      <c r="D775" s="1012" t="s">
        <v>1866</v>
      </c>
      <c r="E775" s="1025"/>
      <c r="F775" s="1025"/>
      <c r="G775" s="372"/>
      <c r="H775" s="267"/>
      <c r="I775" s="267"/>
    </row>
    <row r="776" spans="1:9" ht="12.75">
      <c r="A776" s="433"/>
      <c r="B776" s="433"/>
      <c r="C776" s="433"/>
      <c r="D776" s="1025"/>
      <c r="E776" s="1025"/>
      <c r="F776" s="1025"/>
      <c r="G776" s="372"/>
      <c r="H776" s="267"/>
      <c r="I776" s="267"/>
    </row>
    <row r="777" spans="1:9" ht="12.75">
      <c r="A777" s="433"/>
      <c r="B777" s="433"/>
      <c r="C777" s="433"/>
      <c r="D777" s="1025"/>
      <c r="E777" s="1025"/>
      <c r="F777" s="1025"/>
      <c r="G777" s="372"/>
      <c r="H777" s="267"/>
      <c r="I777" s="267"/>
    </row>
    <row r="778" spans="1:9" ht="12.75">
      <c r="D778" s="44"/>
      <c r="E778" s="44"/>
      <c r="F778" s="44"/>
      <c r="H778" s="267"/>
      <c r="I778" s="267"/>
    </row>
    <row r="779" spans="1:9" ht="12.75">
      <c r="B779" s="609" t="s">
        <v>124</v>
      </c>
      <c r="D779" s="979" t="s">
        <v>1450</v>
      </c>
      <c r="E779" s="979"/>
      <c r="F779" s="979"/>
      <c r="H779" s="267"/>
      <c r="I779" s="267"/>
    </row>
    <row r="780" spans="1:9" ht="12.75">
      <c r="D780" s="979"/>
      <c r="E780" s="979"/>
      <c r="F780" s="979"/>
      <c r="H780" s="267"/>
      <c r="I780" s="267"/>
    </row>
    <row r="781" spans="1:9" ht="12.75">
      <c r="D781" s="24"/>
      <c r="E781" s="24"/>
      <c r="F781" s="24"/>
      <c r="H781" s="267"/>
      <c r="I781" s="267"/>
    </row>
    <row r="782" spans="1:9" ht="13.7" customHeight="1">
      <c r="B782" s="609" t="s">
        <v>124</v>
      </c>
      <c r="D782" s="973" t="s">
        <v>1756</v>
      </c>
      <c r="E782" s="979"/>
      <c r="F782" s="979"/>
      <c r="H782" s="267"/>
      <c r="I782" s="267"/>
    </row>
    <row r="783" spans="1:9" ht="12.75">
      <c r="D783" s="979"/>
      <c r="E783" s="979"/>
      <c r="F783" s="979"/>
      <c r="H783" s="267"/>
      <c r="I783" s="267"/>
    </row>
    <row r="784" spans="1:9" ht="12.75">
      <c r="D784" s="979"/>
      <c r="E784" s="979"/>
      <c r="F784" s="979"/>
      <c r="H784" s="267"/>
      <c r="I784" s="267"/>
    </row>
    <row r="785" spans="1:9" ht="12.75">
      <c r="D785" s="24"/>
      <c r="E785" s="24"/>
      <c r="F785" s="24"/>
      <c r="H785" s="267"/>
      <c r="I785" s="267"/>
    </row>
    <row r="786" spans="1:9" ht="12" customHeight="1">
      <c r="A786" s="1024" t="s">
        <v>1592</v>
      </c>
      <c r="B786" s="1024"/>
      <c r="C786" s="1024"/>
      <c r="D786" s="1024"/>
      <c r="E786" s="1024"/>
      <c r="F786" s="1024"/>
      <c r="G786" s="1024"/>
      <c r="H786" s="267"/>
      <c r="I786" s="267"/>
    </row>
    <row r="787" spans="1:9" ht="12.75">
      <c r="A787" s="63"/>
      <c r="B787" s="63"/>
      <c r="H787" s="267"/>
      <c r="I787" s="267"/>
    </row>
    <row r="788" spans="1:9" ht="13.7" customHeight="1">
      <c r="A788" s="63"/>
      <c r="B788" s="63"/>
      <c r="D788" s="1052" t="s">
        <v>1593</v>
      </c>
      <c r="E788" s="1052"/>
      <c r="F788" s="1052"/>
      <c r="H788" s="267"/>
      <c r="I788" s="267"/>
    </row>
    <row r="789" spans="1:9" ht="12.75">
      <c r="A789" s="63"/>
      <c r="B789" s="63"/>
      <c r="D789" s="1009" t="s">
        <v>1594</v>
      </c>
      <c r="E789" s="1009"/>
      <c r="F789" s="1009"/>
      <c r="H789" s="267"/>
      <c r="I789" s="267"/>
    </row>
    <row r="790" spans="1:9" ht="12.75">
      <c r="A790" s="63"/>
      <c r="B790" s="63"/>
      <c r="D790" s="420"/>
      <c r="E790" s="420"/>
      <c r="F790" s="420"/>
      <c r="H790" s="267"/>
      <c r="I790" s="267"/>
    </row>
    <row r="791" spans="1:9" ht="12.75">
      <c r="A791" s="63"/>
      <c r="B791" s="609" t="s">
        <v>1376</v>
      </c>
      <c r="D791" s="1025" t="s">
        <v>1595</v>
      </c>
      <c r="E791" s="1025"/>
      <c r="F791" s="1025"/>
      <c r="H791" s="267"/>
      <c r="I791" s="267"/>
    </row>
    <row r="792" spans="1:9" ht="12.75">
      <c r="A792" s="63"/>
      <c r="B792" s="63"/>
      <c r="D792" s="1025"/>
      <c r="E792" s="1025"/>
      <c r="F792" s="1025"/>
      <c r="H792" s="267"/>
      <c r="I792" s="267"/>
    </row>
    <row r="793" spans="1:9" ht="12.75">
      <c r="A793" s="191"/>
      <c r="B793" s="191"/>
      <c r="C793" s="191"/>
      <c r="D793" s="1025"/>
      <c r="E793" s="1025"/>
      <c r="F793" s="1025"/>
      <c r="G793" s="44"/>
      <c r="H793" s="267"/>
      <c r="I793" s="267"/>
    </row>
    <row r="794" spans="1:9" ht="12.75">
      <c r="D794" s="192"/>
      <c r="H794" s="267"/>
      <c r="I794" s="267"/>
    </row>
    <row r="795" spans="1:9" ht="12.75">
      <c r="A795" s="190"/>
      <c r="B795" s="609" t="s">
        <v>1376</v>
      </c>
      <c r="C795" s="190"/>
      <c r="D795" s="1012" t="s">
        <v>2213</v>
      </c>
      <c r="E795" s="1025"/>
      <c r="F795" s="1025"/>
      <c r="H795" s="267"/>
      <c r="I795" s="267"/>
    </row>
    <row r="796" spans="1:9" ht="12.75">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2.75">
      <c r="A798" s="191"/>
      <c r="B798" s="191"/>
      <c r="C798" s="191"/>
      <c r="E798" s="188"/>
      <c r="F798" s="188"/>
      <c r="G798" s="188"/>
      <c r="H798" s="267"/>
      <c r="I798" s="267"/>
    </row>
    <row r="799" spans="1:9" ht="14.45" customHeight="1">
      <c r="A799" s="271"/>
      <c r="B799" s="609" t="s">
        <v>124</v>
      </c>
      <c r="C799" s="207"/>
      <c r="D799" s="1012" t="s">
        <v>1697</v>
      </c>
      <c r="E799" s="1012"/>
      <c r="F799" s="1012"/>
      <c r="G799" s="188"/>
      <c r="H799" s="267"/>
      <c r="I799" s="267"/>
    </row>
    <row r="800" spans="1:9" ht="14.25">
      <c r="A800" s="271"/>
      <c r="B800" s="271"/>
      <c r="C800" s="207"/>
      <c r="D800" s="1012"/>
      <c r="E800" s="1012"/>
      <c r="F800" s="1012"/>
      <c r="G800" s="188"/>
      <c r="H800" s="267"/>
      <c r="I800" s="267"/>
    </row>
    <row r="801" spans="1:9" ht="14.25">
      <c r="A801" s="271"/>
      <c r="B801" s="271"/>
      <c r="C801" s="207"/>
      <c r="D801" s="1012"/>
      <c r="E801" s="1012"/>
      <c r="F801" s="1012"/>
      <c r="G801" s="188"/>
      <c r="H801" s="267"/>
      <c r="I801" s="267"/>
    </row>
    <row r="802" spans="1:9" ht="14.25">
      <c r="A802" s="271"/>
      <c r="B802" s="271"/>
      <c r="C802" s="207"/>
      <c r="D802" s="44"/>
      <c r="G802" s="188"/>
      <c r="H802" s="267"/>
      <c r="I802" s="267"/>
    </row>
    <row r="803" spans="1:9" ht="14.25" customHeight="1">
      <c r="A803" s="271"/>
      <c r="B803" s="609" t="s">
        <v>124</v>
      </c>
      <c r="C803" s="207"/>
      <c r="D803" s="1025" t="s">
        <v>1596</v>
      </c>
      <c r="E803" s="1025"/>
      <c r="F803" s="1025"/>
      <c r="G803" s="188"/>
      <c r="H803" s="267"/>
      <c r="I803" s="267"/>
    </row>
    <row r="804" spans="1:9" ht="14.25">
      <c r="A804" s="271"/>
      <c r="B804" s="271"/>
      <c r="C804" s="207"/>
      <c r="D804" s="1025"/>
      <c r="E804" s="1025"/>
      <c r="F804" s="1025"/>
      <c r="G804" s="188"/>
      <c r="H804" s="267"/>
      <c r="I804" s="267"/>
    </row>
    <row r="805" spans="1:9" ht="14.25">
      <c r="A805" s="271"/>
      <c r="B805" s="271"/>
      <c r="C805" s="207"/>
      <c r="D805" s="1025"/>
      <c r="E805" s="1025"/>
      <c r="F805" s="1025"/>
      <c r="G805" s="188"/>
      <c r="H805" s="267"/>
      <c r="I805" s="267"/>
    </row>
    <row r="806" spans="1:9" ht="14.25">
      <c r="A806" s="271"/>
      <c r="B806" s="271"/>
      <c r="C806" s="207"/>
      <c r="D806" s="1025"/>
      <c r="E806" s="1025"/>
      <c r="F806" s="1025"/>
      <c r="G806" s="188"/>
      <c r="H806" s="267"/>
      <c r="I806" s="267"/>
    </row>
    <row r="807" spans="1:9" ht="14.25">
      <c r="A807" s="271"/>
      <c r="B807" s="271"/>
      <c r="C807" s="207"/>
      <c r="D807" s="1025"/>
      <c r="E807" s="1025"/>
      <c r="F807" s="1025"/>
      <c r="G807" s="188"/>
      <c r="H807" s="267"/>
      <c r="I807" s="267"/>
    </row>
    <row r="808" spans="1:9" ht="14.25">
      <c r="A808" s="271"/>
      <c r="B808" s="271"/>
      <c r="C808" s="207"/>
      <c r="D808" s="1012" t="s">
        <v>2012</v>
      </c>
      <c r="E808" s="1012"/>
      <c r="F808" s="1012"/>
      <c r="G808" s="188"/>
      <c r="H808" s="267"/>
      <c r="I808" s="267"/>
    </row>
    <row r="809" spans="1:9" ht="14.25">
      <c r="A809" s="271"/>
      <c r="B809" s="271"/>
      <c r="C809" s="207"/>
      <c r="D809" s="1012"/>
      <c r="E809" s="1012"/>
      <c r="F809" s="1012"/>
      <c r="G809" s="188"/>
      <c r="H809" s="267"/>
      <c r="I809" s="267"/>
    </row>
    <row r="810" spans="1:9" ht="14.25">
      <c r="A810" s="271"/>
      <c r="B810" s="271"/>
      <c r="C810" s="207"/>
      <c r="D810" s="1012"/>
      <c r="E810" s="1012"/>
      <c r="F810" s="1012"/>
      <c r="G810" s="188"/>
      <c r="H810" s="267"/>
      <c r="I810" s="267"/>
    </row>
    <row r="811" spans="1:9" ht="14.25">
      <c r="A811" s="271"/>
      <c r="C811" s="207"/>
      <c r="D811" s="793"/>
      <c r="E811" s="793"/>
      <c r="F811" s="793"/>
      <c r="G811" s="188"/>
      <c r="H811" s="267"/>
      <c r="I811" s="267"/>
    </row>
    <row r="812" spans="1:9" ht="14.25">
      <c r="A812" s="271"/>
      <c r="B812" s="609" t="s">
        <v>124</v>
      </c>
      <c r="C812" s="207"/>
      <c r="D812" s="1025" t="s">
        <v>1598</v>
      </c>
      <c r="E812" s="1025"/>
      <c r="F812" s="1025"/>
      <c r="G812" s="188"/>
      <c r="H812" s="267"/>
      <c r="I812" s="267"/>
    </row>
    <row r="813" spans="1:9" ht="14.25">
      <c r="A813" s="271"/>
      <c r="B813" s="271"/>
      <c r="C813" s="207"/>
      <c r="D813" s="1025"/>
      <c r="E813" s="1025"/>
      <c r="F813" s="1025"/>
      <c r="G813" s="188"/>
      <c r="H813" s="267"/>
      <c r="I813" s="267"/>
    </row>
    <row r="814" spans="1:9" ht="14.25">
      <c r="A814" s="271"/>
      <c r="B814" s="271"/>
      <c r="C814" s="207"/>
      <c r="D814" s="1025"/>
      <c r="E814" s="1025"/>
      <c r="F814" s="1025"/>
      <c r="G814" s="188"/>
      <c r="H814" s="267"/>
      <c r="I814" s="267"/>
    </row>
    <row r="815" spans="1:9" ht="14.25">
      <c r="A815" s="271"/>
      <c r="B815" s="271"/>
      <c r="C815" s="207"/>
      <c r="D815" s="1025"/>
      <c r="E815" s="1025"/>
      <c r="F815" s="1025"/>
      <c r="G815" s="188"/>
      <c r="H815" s="267"/>
      <c r="I815" s="267"/>
    </row>
    <row r="816" spans="1:9" ht="14.25">
      <c r="A816" s="271"/>
      <c r="B816" s="271"/>
      <c r="C816" s="207"/>
      <c r="D816" s="1025"/>
      <c r="E816" s="1025"/>
      <c r="F816" s="1025"/>
      <c r="G816" s="188"/>
      <c r="H816" s="267"/>
      <c r="I816" s="267"/>
    </row>
    <row r="817" spans="1:9" ht="14.25">
      <c r="A817" s="271"/>
      <c r="B817" s="271"/>
      <c r="C817" s="207"/>
      <c r="D817" s="1025"/>
      <c r="E817" s="1025"/>
      <c r="F817" s="1025"/>
      <c r="G817" s="188"/>
      <c r="H817" s="267"/>
      <c r="I817" s="267"/>
    </row>
    <row r="818" spans="1:9" ht="14.25">
      <c r="A818" s="271"/>
      <c r="B818" s="271"/>
      <c r="C818" s="207"/>
      <c r="D818" s="654"/>
      <c r="E818" s="654"/>
      <c r="F818" s="654"/>
      <c r="G818" s="188"/>
      <c r="H818" s="267"/>
      <c r="I818" s="267"/>
    </row>
    <row r="819" spans="1:9" ht="14.25">
      <c r="A819" s="271"/>
      <c r="B819" s="609" t="s">
        <v>1376</v>
      </c>
      <c r="C819" s="207"/>
      <c r="D819" s="1012" t="s">
        <v>1867</v>
      </c>
      <c r="E819" s="1025"/>
      <c r="F819" s="1025"/>
      <c r="G819" s="188"/>
      <c r="H819" s="267"/>
      <c r="I819" s="267"/>
    </row>
    <row r="820" spans="1:9" ht="14.25">
      <c r="A820" s="271"/>
      <c r="B820" s="271"/>
      <c r="C820" s="207"/>
      <c r="D820" s="1025"/>
      <c r="E820" s="1025"/>
      <c r="F820" s="1025"/>
      <c r="G820" s="188"/>
      <c r="H820" s="267"/>
      <c r="I820" s="267"/>
    </row>
    <row r="821" spans="1:9" ht="14.25">
      <c r="A821" s="271"/>
      <c r="B821" s="271"/>
      <c r="C821" s="207"/>
      <c r="D821" s="1025"/>
      <c r="E821" s="1025"/>
      <c r="F821" s="1025"/>
      <c r="G821" s="188"/>
      <c r="H821" s="267"/>
      <c r="I821" s="267"/>
    </row>
    <row r="822" spans="1:9" ht="14.25">
      <c r="A822" s="271"/>
      <c r="B822" s="271"/>
      <c r="C822" s="207"/>
      <c r="D822" s="1025"/>
      <c r="E822" s="1025"/>
      <c r="F822" s="1025"/>
      <c r="G822" s="188"/>
      <c r="H822" s="267"/>
      <c r="I822" s="267"/>
    </row>
    <row r="823" spans="1:9" ht="14.25">
      <c r="A823" s="271"/>
      <c r="B823" s="271"/>
      <c r="C823" s="207"/>
      <c r="D823" s="1025"/>
      <c r="E823" s="1025"/>
      <c r="F823" s="1025"/>
      <c r="G823" s="188"/>
      <c r="H823" s="267"/>
      <c r="I823" s="267"/>
    </row>
    <row r="824" spans="1:9" ht="14.25">
      <c r="A824" s="271"/>
      <c r="B824" s="271"/>
      <c r="C824" s="207"/>
      <c r="D824" s="654"/>
      <c r="E824" s="654"/>
      <c r="F824" s="654"/>
      <c r="G824" s="188"/>
      <c r="H824" s="267"/>
      <c r="I824" s="267"/>
    </row>
    <row r="825" spans="1:9" ht="14.25">
      <c r="A825" s="271"/>
      <c r="B825" s="609" t="s">
        <v>124</v>
      </c>
      <c r="C825" s="207"/>
      <c r="D825" s="1025" t="s">
        <v>1597</v>
      </c>
      <c r="E825" s="1025"/>
      <c r="F825" s="1025"/>
      <c r="G825" s="188"/>
      <c r="H825" s="267"/>
      <c r="I825" s="267"/>
    </row>
    <row r="826" spans="1:9" ht="14.25">
      <c r="A826" s="271"/>
      <c r="B826" s="271"/>
      <c r="C826" s="207"/>
      <c r="D826" s="1025"/>
      <c r="E826" s="1025"/>
      <c r="F826" s="1025"/>
      <c r="G826" s="188"/>
      <c r="H826" s="267"/>
      <c r="I826" s="267"/>
    </row>
    <row r="827" spans="1:9" ht="14.25">
      <c r="A827" s="271"/>
      <c r="B827" s="271"/>
      <c r="C827" s="207"/>
      <c r="D827" s="1025"/>
      <c r="E827" s="1025"/>
      <c r="F827" s="1025"/>
      <c r="G827" s="188"/>
      <c r="H827" s="267"/>
      <c r="I827" s="267"/>
    </row>
    <row r="828" spans="1:9" ht="14.25">
      <c r="A828" s="271"/>
      <c r="B828" s="271"/>
      <c r="C828" s="207"/>
      <c r="D828" s="1025"/>
      <c r="E828" s="1025"/>
      <c r="F828" s="1025"/>
      <c r="G828" s="188"/>
      <c r="H828" s="267"/>
      <c r="I828" s="267"/>
    </row>
    <row r="829" spans="1:9" ht="14.25">
      <c r="A829" s="271"/>
      <c r="B829" s="271"/>
      <c r="C829" s="207"/>
      <c r="D829" s="188"/>
      <c r="G829" s="188"/>
      <c r="H829" s="267"/>
      <c r="I829" s="267"/>
    </row>
    <row r="830" spans="1:9" ht="14.25">
      <c r="A830" s="271"/>
      <c r="B830" s="609" t="s">
        <v>124</v>
      </c>
      <c r="C830" s="207"/>
      <c r="D830" s="1033" t="s">
        <v>1600</v>
      </c>
      <c r="E830" s="1033"/>
      <c r="F830" s="1033"/>
      <c r="G830" s="188"/>
      <c r="H830" s="267"/>
      <c r="I830" s="267"/>
    </row>
    <row r="831" spans="1:9" ht="14.25">
      <c r="A831" s="271"/>
      <c r="B831" s="271"/>
      <c r="C831" s="207"/>
      <c r="D831" s="1033"/>
      <c r="E831" s="1033"/>
      <c r="F831" s="1033"/>
      <c r="G831" s="188"/>
      <c r="H831" s="267"/>
      <c r="I831" s="267"/>
    </row>
    <row r="832" spans="1:9" ht="12.75">
      <c r="A832" s="18"/>
      <c r="B832" s="18"/>
      <c r="C832" s="207"/>
      <c r="D832" s="1033"/>
      <c r="E832" s="1033"/>
      <c r="F832" s="1033"/>
      <c r="G832" s="188"/>
      <c r="H832" s="267"/>
      <c r="I832" s="267"/>
    </row>
    <row r="833" spans="1:9" ht="14.25">
      <c r="A833" s="271"/>
      <c r="B833" s="18"/>
      <c r="C833" s="207"/>
      <c r="D833" s="1033"/>
      <c r="E833" s="1033"/>
      <c r="F833" s="1033"/>
      <c r="G833" s="188"/>
      <c r="H833" s="267"/>
      <c r="I833" s="267"/>
    </row>
    <row r="834" spans="1:9" ht="14.25">
      <c r="A834" s="271"/>
      <c r="B834" s="18"/>
      <c r="C834" s="207"/>
      <c r="D834" s="1033"/>
      <c r="E834" s="1033"/>
      <c r="F834" s="1033"/>
      <c r="G834" s="188"/>
      <c r="H834" s="267"/>
      <c r="I834" s="267"/>
    </row>
    <row r="835" spans="1:9" ht="14.25">
      <c r="A835" s="271"/>
      <c r="B835" s="18"/>
      <c r="C835" s="207"/>
      <c r="D835" s="1033"/>
      <c r="E835" s="1033"/>
      <c r="F835" s="1033"/>
      <c r="G835" s="188"/>
      <c r="H835" s="267"/>
      <c r="I835" s="267"/>
    </row>
    <row r="836" spans="1:9" ht="14.25">
      <c r="A836" s="271"/>
      <c r="B836" s="18"/>
      <c r="C836" s="207"/>
      <c r="D836" s="653"/>
      <c r="E836" s="653"/>
      <c r="F836" s="653"/>
      <c r="G836" s="188"/>
      <c r="H836" s="267"/>
      <c r="I836" s="267"/>
    </row>
    <row r="837" spans="1:9" ht="14.25">
      <c r="A837" s="271"/>
      <c r="B837" s="609" t="s">
        <v>124</v>
      </c>
      <c r="C837" s="207"/>
      <c r="D837" s="1025" t="s">
        <v>1599</v>
      </c>
      <c r="E837" s="1025"/>
      <c r="F837" s="1025"/>
      <c r="G837" s="188"/>
      <c r="H837" s="267"/>
      <c r="I837" s="267"/>
    </row>
    <row r="838" spans="1:9" ht="14.25">
      <c r="A838" s="271"/>
      <c r="B838" s="271"/>
      <c r="C838" s="207"/>
      <c r="D838" s="1025"/>
      <c r="E838" s="1025"/>
      <c r="F838" s="1025"/>
      <c r="G838" s="188"/>
      <c r="H838" s="267"/>
      <c r="I838" s="267"/>
    </row>
    <row r="839" spans="1:9" ht="14.25">
      <c r="A839" s="271"/>
      <c r="B839" s="271"/>
      <c r="C839" s="207"/>
      <c r="D839" s="188"/>
      <c r="G839" s="188"/>
      <c r="H839" s="267"/>
      <c r="I839" s="267"/>
    </row>
    <row r="840" spans="1:9" ht="14.25">
      <c r="A840" s="271"/>
      <c r="B840" s="609" t="s">
        <v>124</v>
      </c>
      <c r="C840" s="207"/>
      <c r="D840" s="1033" t="s">
        <v>1601</v>
      </c>
      <c r="E840" s="1033"/>
      <c r="F840" s="1033"/>
      <c r="G840" s="188"/>
      <c r="H840" s="267"/>
      <c r="I840" s="267"/>
    </row>
    <row r="841" spans="1:9" ht="14.25">
      <c r="A841" s="271"/>
      <c r="B841" s="271"/>
      <c r="C841" s="207"/>
      <c r="D841" s="1033"/>
      <c r="E841" s="1033"/>
      <c r="F841" s="1033"/>
      <c r="G841" s="188"/>
      <c r="H841" s="267"/>
      <c r="I841" s="267"/>
    </row>
    <row r="842" spans="1:9" ht="12.75">
      <c r="A842" s="18"/>
      <c r="B842" s="18"/>
      <c r="C842" s="207"/>
      <c r="D842" s="188"/>
      <c r="G842" s="188"/>
      <c r="H842" s="267"/>
      <c r="I842" s="267"/>
    </row>
    <row r="843" spans="1:9" ht="12.75">
      <c r="A843" s="1004" t="s">
        <v>1884</v>
      </c>
      <c r="B843" s="1004"/>
      <c r="C843" s="1004"/>
      <c r="D843" s="1004"/>
      <c r="E843" s="1004"/>
      <c r="F843" s="1004"/>
      <c r="G843" s="1004"/>
      <c r="H843" s="267"/>
      <c r="I843" s="267"/>
    </row>
    <row r="844" spans="1:9" ht="12.75">
      <c r="A844" s="190"/>
      <c r="B844" s="190"/>
      <c r="C844" s="207"/>
      <c r="D844" s="188"/>
      <c r="E844" s="188"/>
      <c r="F844" s="188"/>
      <c r="G844" s="188"/>
      <c r="H844" s="267"/>
      <c r="I844" s="267"/>
    </row>
    <row r="845" spans="1:9" ht="14.25">
      <c r="A845" s="271"/>
      <c r="B845" s="271"/>
      <c r="D845" s="1006" t="s">
        <v>1517</v>
      </c>
      <c r="E845" s="1006"/>
      <c r="F845" s="1006"/>
      <c r="H845" s="267"/>
      <c r="I845" s="267"/>
    </row>
    <row r="846" spans="1:9" ht="14.25">
      <c r="A846" s="271"/>
      <c r="B846" s="271"/>
      <c r="D846" s="973" t="s">
        <v>1881</v>
      </c>
      <c r="E846" s="973"/>
      <c r="F846" s="973"/>
      <c r="H846" s="267"/>
      <c r="I846" s="267"/>
    </row>
    <row r="847" spans="1:9" ht="14.25">
      <c r="A847" s="271"/>
      <c r="B847" s="271"/>
      <c r="D847" s="24"/>
      <c r="E847" s="210"/>
      <c r="F847" s="210"/>
      <c r="H847" s="267"/>
      <c r="I847" s="267"/>
    </row>
    <row r="848" spans="1:9" ht="12.75">
      <c r="B848" s="609" t="s">
        <v>1376</v>
      </c>
      <c r="C848" s="207"/>
      <c r="D848" s="979" t="s">
        <v>1454</v>
      </c>
      <c r="E848" s="979"/>
      <c r="F848" s="979"/>
      <c r="H848" s="267"/>
      <c r="I848" s="267"/>
    </row>
    <row r="849" spans="1:9" ht="12.75">
      <c r="A849" s="18"/>
      <c r="B849" s="18"/>
      <c r="C849" s="207"/>
      <c r="D849" s="3" t="s">
        <v>1431</v>
      </c>
      <c r="E849" s="980" t="s">
        <v>2075</v>
      </c>
      <c r="F849" s="980"/>
      <c r="H849" s="267"/>
      <c r="I849" s="267"/>
    </row>
    <row r="850" spans="1:9" ht="12.75">
      <c r="A850" s="18"/>
      <c r="B850" s="18"/>
      <c r="C850" s="207"/>
      <c r="D850" s="213"/>
      <c r="H850" s="267"/>
      <c r="I850" s="267"/>
    </row>
    <row r="851" spans="1:9" ht="12.75">
      <c r="A851" s="18"/>
      <c r="B851" s="609" t="s">
        <v>124</v>
      </c>
      <c r="C851" s="207"/>
      <c r="D851" s="1042" t="s">
        <v>1678</v>
      </c>
      <c r="E851" s="1042"/>
      <c r="F851" s="1042"/>
      <c r="H851" s="267"/>
      <c r="I851" s="267"/>
    </row>
    <row r="852" spans="1:9" ht="12.75">
      <c r="A852" s="18"/>
      <c r="B852" s="18"/>
      <c r="C852" s="207"/>
      <c r="D852" s="1042"/>
      <c r="E852" s="1042"/>
      <c r="F852" s="1042"/>
      <c r="H852" s="267"/>
      <c r="I852" s="267"/>
    </row>
    <row r="853" spans="1:9" ht="12.75">
      <c r="A853" s="18"/>
      <c r="B853" s="18"/>
      <c r="C853" s="207"/>
      <c r="D853" s="1042"/>
      <c r="E853" s="1042"/>
      <c r="F853" s="1042"/>
      <c r="H853" s="267"/>
      <c r="I853" s="267"/>
    </row>
    <row r="854" spans="1:9" ht="12.75">
      <c r="A854" s="18"/>
      <c r="B854" s="18"/>
      <c r="C854" s="207"/>
      <c r="D854" s="1042"/>
      <c r="E854" s="1042"/>
      <c r="F854" s="1042"/>
      <c r="H854" s="267"/>
      <c r="I854" s="267"/>
    </row>
    <row r="855" spans="1:9" ht="12.75">
      <c r="A855" s="18"/>
      <c r="B855" s="18"/>
      <c r="C855" s="207"/>
      <c r="D855" s="1042"/>
      <c r="E855" s="1042"/>
      <c r="F855" s="1042"/>
      <c r="H855" s="267"/>
      <c r="I855" s="267"/>
    </row>
    <row r="856" spans="1:9" ht="12.75">
      <c r="A856" s="18"/>
      <c r="B856" s="18"/>
      <c r="C856" s="207"/>
      <c r="D856" s="1042"/>
      <c r="E856" s="1042"/>
      <c r="F856" s="1042"/>
      <c r="H856" s="267"/>
      <c r="I856" s="267"/>
    </row>
    <row r="857" spans="1:9" ht="12.75">
      <c r="A857" s="18"/>
      <c r="B857" s="18"/>
      <c r="C857" s="207"/>
      <c r="D857" s="1042"/>
      <c r="E857" s="1042"/>
      <c r="F857" s="1042"/>
      <c r="H857" s="267"/>
      <c r="I857" s="267"/>
    </row>
    <row r="858" spans="1:9" ht="12.75">
      <c r="A858" s="18"/>
      <c r="B858" s="18"/>
      <c r="C858" s="207"/>
      <c r="D858" s="1042"/>
      <c r="E858" s="1042"/>
      <c r="F858" s="1042"/>
      <c r="H858" s="267"/>
      <c r="I858" s="267"/>
    </row>
    <row r="859" spans="1:9" ht="12.75">
      <c r="A859" s="18"/>
      <c r="B859" s="18"/>
      <c r="C859" s="207"/>
      <c r="D859" s="1042"/>
      <c r="E859" s="1042"/>
      <c r="F859" s="1042"/>
      <c r="H859" s="267"/>
      <c r="I859" s="267"/>
    </row>
    <row r="860" spans="1:9" ht="12.75">
      <c r="A860" s="18"/>
      <c r="B860" s="18"/>
      <c r="C860" s="207"/>
      <c r="D860" s="213"/>
      <c r="H860" s="267"/>
      <c r="I860" s="267"/>
    </row>
    <row r="861" spans="1:9" ht="14.25">
      <c r="A861" s="271"/>
      <c r="B861" s="609" t="s">
        <v>1376</v>
      </c>
      <c r="C861" s="207"/>
      <c r="D861" s="979" t="s">
        <v>1455</v>
      </c>
      <c r="E861" s="979"/>
      <c r="F861" s="979"/>
      <c r="H861" s="267"/>
      <c r="I861" s="267"/>
    </row>
    <row r="862" spans="1:9" ht="14.25">
      <c r="A862" s="271"/>
      <c r="B862" s="271"/>
      <c r="C862" s="207"/>
      <c r="D862" s="979"/>
      <c r="E862" s="979"/>
      <c r="F862" s="979"/>
      <c r="H862" s="267"/>
      <c r="I862" s="267"/>
    </row>
    <row r="863" spans="1:9" ht="14.25">
      <c r="A863" s="271"/>
      <c r="B863" s="271"/>
      <c r="C863" s="207"/>
      <c r="D863" s="979"/>
      <c r="E863" s="979"/>
      <c r="F863" s="979"/>
      <c r="H863" s="267"/>
      <c r="I863" s="267"/>
    </row>
    <row r="864" spans="1:9" ht="14.25">
      <c r="A864" s="271"/>
      <c r="B864" s="271"/>
      <c r="C864" s="207"/>
      <c r="D864" s="44"/>
      <c r="H864" s="267"/>
      <c r="I864" s="267"/>
    </row>
    <row r="865" spans="1:9" ht="12.75">
      <c r="A865" s="419"/>
      <c r="B865" s="609" t="s">
        <v>124</v>
      </c>
      <c r="C865" s="207"/>
      <c r="D865" s="1006" t="s">
        <v>1456</v>
      </c>
      <c r="E865" s="1006"/>
      <c r="F865" s="1006"/>
      <c r="H865" s="267"/>
      <c r="I865" s="267"/>
    </row>
    <row r="866" spans="1:9" ht="12.75">
      <c r="B866" s="419"/>
      <c r="C866" s="207"/>
      <c r="D866" s="1006"/>
      <c r="E866" s="1006"/>
      <c r="F866" s="1006"/>
      <c r="H866" s="267"/>
      <c r="I866" s="267"/>
    </row>
    <row r="867" spans="1:9" ht="14.25" customHeight="1">
      <c r="A867" s="271"/>
      <c r="C867" s="207"/>
      <c r="D867" s="979" t="s">
        <v>2153</v>
      </c>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 r="A870" s="271"/>
      <c r="B870" s="271"/>
      <c r="C870" s="207"/>
      <c r="D870" s="979"/>
      <c r="E870" s="979"/>
      <c r="F870" s="979"/>
      <c r="H870" s="267"/>
      <c r="I870" s="267"/>
    </row>
    <row r="871" spans="1:9" ht="14.25">
      <c r="A871" s="271"/>
      <c r="B871" s="271"/>
      <c r="C871" s="207"/>
      <c r="D871" s="979"/>
      <c r="E871" s="979"/>
      <c r="F871" s="979"/>
      <c r="H871" s="267"/>
      <c r="I871" s="267"/>
    </row>
    <row r="872" spans="1:9" ht="14.25" customHeight="1">
      <c r="A872" s="271"/>
      <c r="B872" s="271"/>
      <c r="C872" s="207"/>
      <c r="D872" s="979"/>
      <c r="E872" s="979"/>
      <c r="F872" s="979"/>
      <c r="H872" s="267"/>
      <c r="I872" s="267"/>
    </row>
    <row r="873" spans="1:9" ht="14.25">
      <c r="A873" s="271"/>
      <c r="B873" s="271"/>
      <c r="C873" s="207"/>
      <c r="D873" s="44"/>
      <c r="H873" s="267"/>
      <c r="I873" s="267"/>
    </row>
    <row r="874" spans="1:9" ht="14.25">
      <c r="A874" s="271"/>
      <c r="B874" s="609" t="s">
        <v>124</v>
      </c>
      <c r="C874" s="207"/>
      <c r="D874" s="979" t="s">
        <v>1175</v>
      </c>
      <c r="E874" s="979"/>
      <c r="F874" s="979"/>
      <c r="H874" s="267"/>
      <c r="I874" s="267"/>
    </row>
    <row r="875" spans="1:9" ht="14.25">
      <c r="A875" s="271"/>
      <c r="B875" s="271"/>
      <c r="C875" s="207"/>
      <c r="D875" s="979" t="s">
        <v>1176</v>
      </c>
      <c r="E875" s="979"/>
      <c r="F875" s="979"/>
      <c r="H875" s="267"/>
      <c r="I875" s="267"/>
    </row>
    <row r="876" spans="1:9" ht="14.25">
      <c r="A876" s="271"/>
      <c r="B876" s="271"/>
      <c r="C876" s="207"/>
      <c r="D876" s="3" t="s">
        <v>1430</v>
      </c>
      <c r="E876" s="980" t="s">
        <v>2077</v>
      </c>
      <c r="F876" s="980"/>
      <c r="H876" s="267"/>
      <c r="I876" s="267"/>
    </row>
    <row r="877" spans="1:9" ht="14.25">
      <c r="A877" s="271"/>
      <c r="B877" s="271"/>
      <c r="C877" s="207"/>
      <c r="D877" s="44"/>
      <c r="H877" s="267"/>
      <c r="I877" s="267"/>
    </row>
    <row r="878" spans="1:9" ht="14.25">
      <c r="A878" s="271"/>
      <c r="B878" s="609" t="s">
        <v>124</v>
      </c>
      <c r="C878" s="207"/>
      <c r="D878" s="979" t="s">
        <v>1457</v>
      </c>
      <c r="E878" s="979"/>
      <c r="F878" s="979"/>
      <c r="H878" s="267"/>
      <c r="I878" s="267"/>
    </row>
    <row r="879" spans="1:9" ht="14.25">
      <c r="A879" s="271"/>
      <c r="B879" s="271"/>
      <c r="C879" s="207"/>
      <c r="D879" s="979"/>
      <c r="E879" s="979"/>
      <c r="F879" s="979"/>
      <c r="H879" s="267"/>
      <c r="I879" s="267"/>
    </row>
    <row r="880" spans="1:9" ht="14.25">
      <c r="A880" s="271"/>
      <c r="B880" s="271"/>
      <c r="C880" s="207"/>
      <c r="D880" s="979"/>
      <c r="E880" s="979"/>
      <c r="F880" s="979"/>
      <c r="H880" s="267"/>
      <c r="I880" s="267"/>
    </row>
    <row r="881" spans="1:9" ht="14.25">
      <c r="A881" s="271"/>
      <c r="B881" s="271"/>
      <c r="C881" s="207"/>
      <c r="D881" s="979"/>
      <c r="E881" s="979"/>
      <c r="F881" s="979"/>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5" t="s">
        <v>1516</v>
      </c>
      <c r="E885" s="1005"/>
      <c r="F885" s="1005"/>
      <c r="G885" s="188"/>
      <c r="H885" s="267"/>
      <c r="I885" s="267"/>
    </row>
    <row r="886" spans="1:9" ht="12.75">
      <c r="C886" s="191"/>
      <c r="D886" s="1050" t="s">
        <v>1882</v>
      </c>
      <c r="E886" s="1051"/>
      <c r="F886" s="1051"/>
      <c r="G886" s="188"/>
      <c r="H886" s="267"/>
      <c r="I886" s="267"/>
    </row>
    <row r="887" spans="1:9" ht="12.75">
      <c r="C887" s="191"/>
      <c r="D887" s="640"/>
      <c r="E887" s="640"/>
      <c r="F887" s="640"/>
      <c r="G887" s="188"/>
      <c r="H887" s="267"/>
      <c r="I887" s="267"/>
    </row>
    <row r="888" spans="1:9" ht="14.25">
      <c r="A888" s="271"/>
      <c r="B888" s="609" t="s">
        <v>1376</v>
      </c>
      <c r="D888" s="999" t="s">
        <v>1476</v>
      </c>
      <c r="E888" s="999"/>
      <c r="F888" s="999"/>
      <c r="G888" s="188"/>
      <c r="H888" s="267"/>
      <c r="I888" s="267"/>
    </row>
    <row r="889" spans="1:9" ht="12.75">
      <c r="D889" s="3" t="s">
        <v>1430</v>
      </c>
      <c r="E889" s="1049" t="s">
        <v>2077</v>
      </c>
      <c r="F889" s="1049"/>
      <c r="G889" s="188"/>
    </row>
    <row r="890" spans="1:9" ht="12.75">
      <c r="D890" s="44"/>
      <c r="E890" s="188"/>
      <c r="F890" s="188"/>
      <c r="G890" s="188"/>
      <c r="H890" s="267"/>
      <c r="I890" s="267"/>
    </row>
    <row r="891" spans="1:9" ht="14.25">
      <c r="A891" s="271"/>
      <c r="B891" s="609" t="s">
        <v>1376</v>
      </c>
      <c r="D891" s="973" t="s">
        <v>1885</v>
      </c>
      <c r="E891" s="1026"/>
      <c r="F891" s="1026"/>
    </row>
    <row r="892" spans="1:9" ht="12.6" customHeight="1">
      <c r="D892" s="1026"/>
      <c r="E892" s="1026"/>
      <c r="F892" s="1026"/>
    </row>
    <row r="893" spans="1:9" ht="14.25">
      <c r="A893" s="271"/>
      <c r="B893" s="271"/>
      <c r="D893" s="44"/>
      <c r="E893" s="188"/>
      <c r="F893" s="188"/>
      <c r="G893" s="188"/>
      <c r="H893" s="267"/>
      <c r="I893" s="267"/>
    </row>
    <row r="894" spans="1:9" ht="12.75">
      <c r="B894" s="609" t="s">
        <v>124</v>
      </c>
      <c r="D894" s="1047" t="s">
        <v>1680</v>
      </c>
      <c r="E894" s="1047"/>
      <c r="F894" s="1047"/>
      <c r="G894" s="188"/>
      <c r="H894" s="267"/>
      <c r="I894" s="267"/>
    </row>
    <row r="895" spans="1:9" ht="29.45" customHeight="1">
      <c r="B895" s="565"/>
      <c r="D895" s="1047"/>
      <c r="E895" s="1047"/>
      <c r="F895" s="1047"/>
      <c r="G895" s="188"/>
      <c r="H895" s="267"/>
      <c r="I895" s="267"/>
    </row>
    <row r="896" spans="1:9" ht="14.25">
      <c r="A896" s="271"/>
      <c r="B896"/>
      <c r="D896" s="979" t="s">
        <v>2153</v>
      </c>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979"/>
      <c r="E900" s="979"/>
      <c r="F900" s="979"/>
      <c r="G900" s="188"/>
      <c r="H900" s="267"/>
      <c r="I900" s="267"/>
    </row>
    <row r="901" spans="1:9" ht="14.25">
      <c r="A901" s="271"/>
      <c r="B901" s="271"/>
      <c r="D901" s="979"/>
      <c r="E901" s="979"/>
      <c r="F901" s="979"/>
      <c r="G901" s="188"/>
      <c r="H901" s="267"/>
      <c r="I901" s="267"/>
    </row>
    <row r="902" spans="1:9" ht="14.25">
      <c r="A902" s="271"/>
      <c r="B902" s="271"/>
      <c r="D902" s="44"/>
      <c r="E902" s="188"/>
      <c r="F902" s="188"/>
      <c r="G902" s="188"/>
      <c r="H902" s="267"/>
      <c r="I902" s="267"/>
    </row>
    <row r="903" spans="1:9" ht="14.25">
      <c r="A903" s="271"/>
      <c r="B903" s="609" t="s">
        <v>124</v>
      </c>
      <c r="D903" s="1003" t="s">
        <v>1175</v>
      </c>
      <c r="E903" s="1003"/>
      <c r="F903" s="1003"/>
      <c r="G903" s="188"/>
      <c r="H903" s="267"/>
      <c r="I903" s="267"/>
    </row>
    <row r="904" spans="1:9" ht="14.25">
      <c r="A904" s="271"/>
      <c r="B904" s="271"/>
      <c r="D904" s="1003" t="s">
        <v>1176</v>
      </c>
      <c r="E904" s="1003"/>
      <c r="F904" s="1003"/>
      <c r="G904" s="188"/>
      <c r="H904" s="267"/>
      <c r="I904" s="267"/>
    </row>
    <row r="905" spans="1:9" ht="14.25">
      <c r="A905" s="271"/>
      <c r="B905" s="271"/>
      <c r="D905" s="3" t="s">
        <v>1477</v>
      </c>
      <c r="E905" s="1048" t="s">
        <v>2077</v>
      </c>
      <c r="F905" s="1048"/>
      <c r="G905" s="188"/>
      <c r="H905" s="267"/>
      <c r="I905" s="267"/>
    </row>
    <row r="906" spans="1:9" ht="14.25">
      <c r="A906" s="271"/>
      <c r="B906" s="271"/>
      <c r="D906" s="44"/>
      <c r="E906" s="188"/>
      <c r="F906" s="188"/>
      <c r="G906" s="188"/>
      <c r="H906" s="267"/>
      <c r="I906" s="267"/>
    </row>
    <row r="907" spans="1:9" ht="14.25">
      <c r="A907" s="271"/>
      <c r="B907" s="609" t="s">
        <v>124</v>
      </c>
      <c r="D907" s="979" t="s">
        <v>1457</v>
      </c>
      <c r="E907" s="979"/>
      <c r="F907" s="979"/>
      <c r="G907" s="188"/>
      <c r="H907" s="267"/>
      <c r="I907" s="267"/>
    </row>
    <row r="908" spans="1:9" ht="14.25">
      <c r="A908" s="271"/>
      <c r="B908" s="271"/>
      <c r="D908" s="979"/>
      <c r="E908" s="979"/>
      <c r="F908" s="979"/>
      <c r="G908" s="188"/>
      <c r="H908" s="267"/>
      <c r="I908" s="267"/>
    </row>
    <row r="909" spans="1:9" ht="14.25">
      <c r="A909" s="271"/>
      <c r="B909" s="271"/>
      <c r="D909" s="979"/>
      <c r="E909" s="979"/>
      <c r="F909" s="979"/>
      <c r="G909" s="188"/>
      <c r="H909" s="267"/>
      <c r="I909" s="267"/>
    </row>
    <row r="910" spans="1:9" ht="14.25">
      <c r="A910" s="271"/>
      <c r="B910" s="271"/>
      <c r="D910" s="979"/>
      <c r="E910" s="979"/>
      <c r="F910" s="979"/>
      <c r="G910" s="188"/>
      <c r="H910" s="267"/>
      <c r="I910" s="267"/>
    </row>
    <row r="911" spans="1:9" ht="12.75">
      <c r="A911" s="44"/>
      <c r="B911" s="44"/>
      <c r="C911" s="207"/>
      <c r="D911" s="188"/>
      <c r="E911" s="188"/>
      <c r="F911" s="188"/>
      <c r="G911" s="188"/>
      <c r="H911" s="267"/>
      <c r="I911" s="267"/>
    </row>
    <row r="912" spans="1:9" ht="12.75">
      <c r="A912" s="1004" t="s">
        <v>1403</v>
      </c>
      <c r="B912" s="1004"/>
      <c r="C912" s="1004"/>
      <c r="D912" s="1004"/>
      <c r="E912" s="1004"/>
      <c r="F912" s="1004"/>
      <c r="G912" s="1004"/>
      <c r="H912" s="267"/>
      <c r="I912" s="267"/>
    </row>
    <row r="913" spans="1:9" ht="12.75">
      <c r="A913" s="44"/>
      <c r="B913" s="44"/>
      <c r="C913" s="207"/>
      <c r="D913" s="188"/>
      <c r="E913" s="188"/>
      <c r="F913" s="188"/>
      <c r="G913" s="188"/>
      <c r="H913" s="267"/>
      <c r="I913" s="267"/>
    </row>
    <row r="914" spans="1:9" ht="12.75">
      <c r="C914" s="207"/>
      <c r="D914" s="1030" t="s">
        <v>1634</v>
      </c>
      <c r="E914" s="1030"/>
      <c r="F914" s="1030"/>
      <c r="G914" s="188"/>
      <c r="H914" s="267"/>
      <c r="I914" s="267"/>
    </row>
    <row r="915" spans="1:9" ht="12.75">
      <c r="A915" s="190"/>
      <c r="B915" s="190"/>
      <c r="C915" s="190"/>
      <c r="D915" s="999" t="s">
        <v>1475</v>
      </c>
      <c r="E915" s="999"/>
      <c r="F915" s="999"/>
      <c r="G915" s="188"/>
      <c r="H915" s="267"/>
      <c r="I915" s="267"/>
    </row>
    <row r="916" spans="1:9" ht="12.75">
      <c r="A916" s="190"/>
      <c r="B916" s="190"/>
      <c r="C916" s="190"/>
      <c r="F916" s="188"/>
      <c r="G916" s="188"/>
      <c r="H916" s="267"/>
      <c r="I916" s="267"/>
    </row>
    <row r="917" spans="1:9" ht="13.7" customHeight="1">
      <c r="A917" s="190"/>
      <c r="B917" s="609" t="s">
        <v>124</v>
      </c>
      <c r="C917" s="190"/>
      <c r="D917" s="1006" t="s">
        <v>1644</v>
      </c>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0"/>
      <c r="B920" s="190"/>
      <c r="C920" s="190"/>
      <c r="D920" s="1006"/>
      <c r="E920" s="1006"/>
      <c r="F920" s="1006"/>
      <c r="G920" s="188"/>
      <c r="H920" s="267"/>
      <c r="I920" s="267"/>
    </row>
    <row r="921" spans="1:9" ht="12.75">
      <c r="A921" s="190"/>
      <c r="B921" s="190"/>
      <c r="C921" s="190"/>
      <c r="D921" s="1006"/>
      <c r="E921" s="1006"/>
      <c r="F921" s="1006"/>
      <c r="G921" s="188"/>
      <c r="H921" s="267"/>
      <c r="I921" s="267"/>
    </row>
    <row r="922" spans="1:9" ht="12.75">
      <c r="A922" s="191"/>
      <c r="B922" s="191"/>
      <c r="C922" s="191"/>
      <c r="F922" s="188"/>
      <c r="G922" s="188"/>
      <c r="H922" s="267"/>
      <c r="I922" s="267"/>
    </row>
    <row r="923" spans="1:9" ht="14.25" customHeight="1">
      <c r="A923" s="271"/>
      <c r="B923" s="609" t="s">
        <v>1376</v>
      </c>
      <c r="C923" s="191"/>
      <c r="D923" s="980" t="s">
        <v>1729</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80" t="s">
        <v>1730</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25">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8" t="s">
        <v>1645</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0" t="s">
        <v>1646</v>
      </c>
      <c r="E949" s="980"/>
      <c r="F949" s="980"/>
      <c r="G949" s="188"/>
    </row>
    <row r="950" spans="1:9" s="448" customFormat="1" ht="14.25">
      <c r="A950" s="271"/>
      <c r="B950" s="271"/>
      <c r="C950" s="191"/>
      <c r="D950" s="980"/>
      <c r="E950" s="980"/>
      <c r="F950" s="980"/>
      <c r="G950" s="188"/>
    </row>
    <row r="951" spans="1:9" s="448" customFormat="1" ht="14.25">
      <c r="A951" s="271"/>
      <c r="B951" s="271"/>
      <c r="C951" s="191"/>
      <c r="D951" s="980"/>
      <c r="E951" s="980"/>
      <c r="F951" s="980"/>
      <c r="G951" s="188"/>
    </row>
    <row r="952" spans="1:9" s="448" customFormat="1" ht="14.25">
      <c r="A952" s="271"/>
      <c r="B952" s="271"/>
      <c r="C952" s="191"/>
      <c r="D952" s="980"/>
      <c r="E952" s="980"/>
      <c r="F952" s="980"/>
      <c r="G952" s="188"/>
    </row>
    <row r="953" spans="1:9" s="448" customFormat="1" ht="14.25">
      <c r="A953" s="271"/>
      <c r="B953" s="271"/>
      <c r="C953" s="191"/>
      <c r="D953" s="3"/>
      <c r="E953" s="5"/>
      <c r="F953" s="188"/>
      <c r="G953" s="188"/>
    </row>
    <row r="954" spans="1:9" ht="14.25" customHeight="1">
      <c r="A954" s="18"/>
      <c r="B954" s="18"/>
      <c r="C954" s="207"/>
      <c r="D954" s="979" t="s">
        <v>1647</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25">
      <c r="A957" s="271"/>
      <c r="B957" s="609" t="s">
        <v>1376</v>
      </c>
      <c r="D957" s="979" t="s">
        <v>1648</v>
      </c>
      <c r="E957" s="979"/>
      <c r="F957" s="979"/>
    </row>
    <row r="958" spans="1:9" ht="12.75">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1637</v>
      </c>
      <c r="E960" s="1030"/>
      <c r="F960" s="1030"/>
      <c r="G960" s="188"/>
      <c r="H960" s="267"/>
      <c r="I960" s="267"/>
    </row>
    <row r="961" spans="1:9" ht="14.25" customHeight="1">
      <c r="A961" s="191"/>
      <c r="B961" s="191"/>
      <c r="C961" s="191"/>
      <c r="D961" s="192"/>
      <c r="F961" s="188"/>
      <c r="G961" s="188"/>
      <c r="H961" s="267"/>
      <c r="I961" s="267"/>
    </row>
    <row r="962" spans="1:9" ht="14.45" customHeight="1">
      <c r="A962" s="271"/>
      <c r="B962" s="609" t="s">
        <v>1376</v>
      </c>
      <c r="C962" s="207"/>
      <c r="D962" s="1007" t="s">
        <v>1636</v>
      </c>
      <c r="E962" s="1007"/>
      <c r="F962" s="1007"/>
      <c r="G962" s="188"/>
      <c r="H962" s="267"/>
      <c r="I962" s="267"/>
    </row>
    <row r="963" spans="1:9" ht="12.75">
      <c r="A963" s="207"/>
      <c r="B963" s="207"/>
      <c r="C963" s="207"/>
      <c r="D963" s="1007"/>
      <c r="E963" s="1007"/>
      <c r="F963" s="1007"/>
      <c r="G963" s="188"/>
      <c r="H963" s="267"/>
      <c r="I963" s="267"/>
    </row>
    <row r="964" spans="1:9" ht="12.75">
      <c r="A964" s="207"/>
      <c r="B964" s="207"/>
      <c r="C964" s="207"/>
      <c r="D964" s="1007"/>
      <c r="E964" s="1007"/>
      <c r="F964" s="1007"/>
      <c r="G964" s="188"/>
      <c r="H964" s="267"/>
      <c r="I964" s="267"/>
    </row>
    <row r="965" spans="1:9" ht="12.75">
      <c r="A965" s="207"/>
      <c r="B965" s="207"/>
      <c r="C965" s="207"/>
      <c r="D965" s="1007"/>
      <c r="E965" s="1007"/>
      <c r="F965" s="1007"/>
      <c r="G965" s="188"/>
      <c r="H965" s="267"/>
      <c r="I965" s="267"/>
    </row>
    <row r="966" spans="1:9" ht="12.75">
      <c r="A966" s="207"/>
      <c r="B966" s="207"/>
      <c r="C966" s="207"/>
      <c r="D966" s="1007"/>
      <c r="E966" s="1007"/>
      <c r="F966" s="1007"/>
      <c r="G966" s="188"/>
      <c r="H966" s="267"/>
      <c r="I966" s="267"/>
    </row>
    <row r="967" spans="1:9" ht="12.75">
      <c r="A967" s="207"/>
      <c r="B967" s="207"/>
      <c r="C967" s="207"/>
      <c r="D967" s="1007"/>
      <c r="E967" s="1007"/>
      <c r="F967" s="1007"/>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7" t="s">
        <v>1635</v>
      </c>
      <c r="E969" s="1007"/>
      <c r="F969" s="1007"/>
      <c r="G969" s="188"/>
      <c r="H969" s="267"/>
      <c r="I969" s="267"/>
    </row>
    <row r="970" spans="1:9" ht="12.75">
      <c r="A970" s="207"/>
      <c r="B970" s="207"/>
      <c r="C970" s="207"/>
      <c r="D970" s="1007"/>
      <c r="E970" s="1007"/>
      <c r="F970" s="1007"/>
      <c r="G970" s="188"/>
      <c r="H970" s="267"/>
      <c r="I970" s="267"/>
    </row>
    <row r="971" spans="1:9" ht="12.75">
      <c r="A971" s="207"/>
      <c r="B971" s="207"/>
      <c r="C971" s="207"/>
      <c r="D971" s="1007"/>
      <c r="E971" s="1007"/>
      <c r="F971" s="1007"/>
      <c r="G971" s="188"/>
      <c r="H971" s="267"/>
      <c r="I971" s="267"/>
    </row>
    <row r="972" spans="1:9" ht="12.75">
      <c r="A972" s="207"/>
      <c r="B972" s="207"/>
      <c r="C972" s="207"/>
      <c r="D972" s="1007"/>
      <c r="E972" s="1007"/>
      <c r="F972" s="1007"/>
      <c r="G972" s="188"/>
      <c r="H972" s="267"/>
      <c r="I972" s="267"/>
    </row>
    <row r="973" spans="1:9" ht="12.75">
      <c r="A973" s="207"/>
      <c r="B973" s="207"/>
      <c r="C973" s="207"/>
      <c r="D973" s="1007"/>
      <c r="E973" s="1007"/>
      <c r="F973" s="1007"/>
      <c r="G973" s="188"/>
      <c r="H973" s="267"/>
      <c r="I973" s="267"/>
    </row>
    <row r="974" spans="1:9" ht="12.75">
      <c r="A974" s="207"/>
      <c r="B974" s="207"/>
      <c r="C974" s="207"/>
      <c r="D974" s="371"/>
      <c r="E974" s="188"/>
      <c r="F974" s="188"/>
      <c r="G974" s="188"/>
      <c r="H974" s="267"/>
      <c r="I974" s="267"/>
    </row>
    <row r="975" spans="1:9" ht="14.25">
      <c r="A975" s="271"/>
      <c r="B975" s="609" t="s">
        <v>124</v>
      </c>
      <c r="C975" s="207"/>
      <c r="D975" s="1007" t="s">
        <v>1638</v>
      </c>
      <c r="E975" s="1007"/>
      <c r="F975" s="1007"/>
      <c r="G975" s="188"/>
      <c r="H975" s="267"/>
      <c r="I975" s="267"/>
    </row>
    <row r="976" spans="1:9" ht="12.75">
      <c r="A976" s="207"/>
      <c r="B976" s="207"/>
      <c r="C976" s="207"/>
      <c r="D976" s="1007"/>
      <c r="E976" s="1007"/>
      <c r="F976" s="1007"/>
      <c r="G976" s="188"/>
      <c r="H976" s="267"/>
      <c r="I976" s="267"/>
    </row>
    <row r="977" spans="1:9" ht="12.75">
      <c r="A977" s="207"/>
      <c r="B977" s="207"/>
      <c r="C977" s="207"/>
      <c r="D977" s="1007"/>
      <c r="E977" s="1007"/>
      <c r="F977" s="1007"/>
      <c r="G977" s="188"/>
      <c r="H977" s="267"/>
      <c r="I977" s="267"/>
    </row>
    <row r="978" spans="1:9" ht="12.75">
      <c r="A978" s="207"/>
      <c r="B978" s="207"/>
      <c r="C978" s="207"/>
      <c r="D978" s="1007"/>
      <c r="E978" s="1007"/>
      <c r="F978" s="1007"/>
      <c r="G978" s="188"/>
      <c r="H978" s="267"/>
      <c r="I978" s="267"/>
    </row>
    <row r="979" spans="1:9" ht="12.75">
      <c r="A979" s="207"/>
      <c r="B979" s="207"/>
      <c r="C979" s="207"/>
      <c r="D979" s="1007"/>
      <c r="E979" s="1007"/>
      <c r="F979" s="1007"/>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7" t="s">
        <v>1639</v>
      </c>
      <c r="E981" s="1007"/>
      <c r="F981" s="1007"/>
      <c r="G981" s="188"/>
      <c r="H981" s="267"/>
      <c r="I981" s="267"/>
    </row>
    <row r="982" spans="1:9" ht="12.75">
      <c r="A982" s="207"/>
      <c r="B982" s="207"/>
      <c r="C982" s="207"/>
      <c r="D982" s="1007"/>
      <c r="E982" s="1007"/>
      <c r="F982" s="1007"/>
      <c r="G982" s="188"/>
      <c r="H982" s="267"/>
      <c r="I982" s="267"/>
    </row>
    <row r="983" spans="1:9" ht="12.75">
      <c r="A983" s="207"/>
      <c r="B983" s="207"/>
      <c r="C983" s="207"/>
      <c r="D983" s="1007"/>
      <c r="E983" s="1007"/>
      <c r="F983" s="1007"/>
      <c r="G983" s="188"/>
      <c r="H983" s="267"/>
      <c r="I983" s="267"/>
    </row>
    <row r="984" spans="1:9" ht="12.75">
      <c r="A984" s="207"/>
      <c r="B984" s="207"/>
      <c r="C984" s="207"/>
      <c r="D984" s="613"/>
      <c r="E984" s="613"/>
      <c r="F984" s="613"/>
      <c r="G984" s="188"/>
      <c r="H984" s="267"/>
      <c r="I984" s="267"/>
    </row>
    <row r="985" spans="1:9" ht="14.25">
      <c r="A985" s="271"/>
      <c r="B985" s="609" t="s">
        <v>124</v>
      </c>
      <c r="C985" s="207"/>
      <c r="D985" s="1007" t="s">
        <v>1640</v>
      </c>
      <c r="E985" s="1007"/>
      <c r="F985" s="1007"/>
      <c r="G985" s="188"/>
      <c r="H985" s="267"/>
      <c r="I985" s="267"/>
    </row>
    <row r="986" spans="1:9" ht="12.75">
      <c r="A986" s="207"/>
      <c r="B986" s="207"/>
      <c r="C986" s="207"/>
      <c r="D986" s="1007"/>
      <c r="E986" s="1007"/>
      <c r="F986" s="1007"/>
      <c r="G986" s="188"/>
      <c r="H986" s="267"/>
      <c r="I986" s="267"/>
    </row>
    <row r="987" spans="1:9" ht="12.75">
      <c r="A987" s="207"/>
      <c r="B987" s="207"/>
      <c r="C987" s="207"/>
      <c r="D987" s="371"/>
      <c r="E987" s="188"/>
      <c r="F987" s="188"/>
      <c r="G987" s="188"/>
      <c r="H987" s="267"/>
      <c r="I987" s="267"/>
    </row>
    <row r="988" spans="1:9" ht="12.75">
      <c r="A988" s="207"/>
      <c r="B988" s="609" t="s">
        <v>124</v>
      </c>
      <c r="C988" s="207"/>
      <c r="D988" s="979" t="s">
        <v>1641</v>
      </c>
      <c r="E988" s="979"/>
      <c r="F988" s="979"/>
      <c r="G988" s="188"/>
      <c r="H988" s="267"/>
      <c r="I988" s="267"/>
    </row>
    <row r="989" spans="1:9" ht="12.75">
      <c r="A989" s="207"/>
      <c r="B989" s="207"/>
      <c r="C989" s="207"/>
      <c r="D989" s="979"/>
      <c r="E989" s="979"/>
      <c r="F989" s="979"/>
      <c r="G989" s="188"/>
      <c r="H989" s="267"/>
      <c r="I989" s="267"/>
    </row>
    <row r="990" spans="1:9" ht="12.75">
      <c r="A990" s="207"/>
      <c r="B990" s="207"/>
      <c r="C990" s="207"/>
      <c r="D990" s="188"/>
      <c r="E990" s="188"/>
      <c r="F990" s="188"/>
      <c r="G990" s="188"/>
      <c r="H990" s="267"/>
      <c r="I990" s="267"/>
    </row>
    <row r="991" spans="1:9" ht="12.75">
      <c r="A991" s="207"/>
      <c r="B991" s="609" t="s">
        <v>124</v>
      </c>
      <c r="C991" s="207"/>
      <c r="D991" s="1035" t="s">
        <v>1771</v>
      </c>
      <c r="E991" s="1033"/>
      <c r="F991" s="1033"/>
      <c r="G991" s="188"/>
      <c r="H991" s="267"/>
      <c r="I991" s="267"/>
    </row>
    <row r="992" spans="1:9" ht="12.75">
      <c r="A992" s="207"/>
      <c r="B992" s="207"/>
      <c r="C992" s="207"/>
      <c r="D992" s="1035"/>
      <c r="E992" s="1033"/>
      <c r="F992" s="1033"/>
      <c r="G992" s="188"/>
      <c r="H992" s="267"/>
      <c r="I992" s="267"/>
    </row>
    <row r="993" spans="1:9" ht="12.75">
      <c r="A993" s="207"/>
      <c r="B993" s="207"/>
      <c r="C993" s="207"/>
      <c r="D993" s="1035"/>
      <c r="E993" s="1033"/>
      <c r="F993" s="1033"/>
      <c r="G993" s="188"/>
      <c r="H993" s="267"/>
      <c r="I993" s="267"/>
    </row>
    <row r="994" spans="1:9" ht="12.75">
      <c r="A994" s="207"/>
      <c r="B994" s="207"/>
      <c r="C994" s="207"/>
      <c r="D994" s="1033"/>
      <c r="E994" s="1033"/>
      <c r="F994" s="1033"/>
      <c r="G994" s="188"/>
      <c r="H994" s="267"/>
      <c r="I994" s="267"/>
    </row>
    <row r="995" spans="1:9" ht="12.75">
      <c r="A995" s="207"/>
      <c r="B995" s="207"/>
      <c r="C995" s="207"/>
      <c r="D995" s="44"/>
      <c r="E995" s="188"/>
      <c r="F995" s="188"/>
      <c r="G995" s="188"/>
      <c r="H995" s="267"/>
      <c r="I995" s="267"/>
    </row>
    <row r="996" spans="1:9" ht="12.75">
      <c r="A996" s="207"/>
      <c r="B996" s="609" t="s">
        <v>124</v>
      </c>
      <c r="C996" s="207"/>
      <c r="D996" s="999" t="s">
        <v>2154</v>
      </c>
      <c r="E996" s="999"/>
      <c r="F996" s="999"/>
      <c r="G996" s="188"/>
      <c r="H996" s="267"/>
      <c r="I996" s="267"/>
    </row>
    <row r="997" spans="1:9" ht="12.75">
      <c r="A997" s="207"/>
      <c r="B997" s="207"/>
      <c r="C997" s="207"/>
      <c r="D997" s="44"/>
      <c r="E997" s="188"/>
      <c r="F997" s="188"/>
      <c r="G997" s="188"/>
      <c r="H997" s="267"/>
      <c r="I997" s="267"/>
    </row>
    <row r="998" spans="1:9" ht="12.75">
      <c r="A998" s="207"/>
      <c r="B998" s="609" t="s">
        <v>124</v>
      </c>
      <c r="C998" s="207"/>
      <c r="D998" s="999" t="s">
        <v>2155</v>
      </c>
      <c r="E998" s="999"/>
      <c r="F998" s="999"/>
      <c r="G998" s="188"/>
      <c r="H998" s="267"/>
      <c r="I998" s="267"/>
    </row>
    <row r="999" spans="1:9" ht="12.75" customHeight="1">
      <c r="A999" s="207"/>
      <c r="B999" s="207"/>
      <c r="C999" s="207"/>
      <c r="D999" s="188"/>
      <c r="E999" s="188"/>
      <c r="F999" s="188"/>
      <c r="G999" s="188"/>
      <c r="H999" s="267"/>
      <c r="I999" s="267"/>
    </row>
    <row r="1000" spans="1:9" ht="12.75">
      <c r="A1000" s="207"/>
      <c r="C1000" s="207"/>
      <c r="D1000" s="1005" t="s">
        <v>1478</v>
      </c>
      <c r="E1000" s="1005"/>
      <c r="F1000" s="1005"/>
      <c r="G1000" s="188"/>
      <c r="H1000" s="267"/>
      <c r="I1000" s="267"/>
    </row>
    <row r="1001" spans="1:9" ht="12.75">
      <c r="A1001" s="207"/>
      <c r="C1001" s="207"/>
      <c r="D1001" s="192"/>
      <c r="E1001" s="188"/>
      <c r="F1001" s="188"/>
      <c r="G1001" s="188"/>
      <c r="H1001" s="267"/>
      <c r="I1001" s="267"/>
    </row>
    <row r="1002" spans="1:9" ht="14.25">
      <c r="A1002" s="271"/>
      <c r="B1002" s="609" t="s">
        <v>124</v>
      </c>
      <c r="C1002" s="207"/>
      <c r="D1002" s="979" t="s">
        <v>1642</v>
      </c>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D1005" s="979"/>
      <c r="E1005" s="979"/>
      <c r="F1005" s="979"/>
      <c r="G1005" s="188"/>
      <c r="H1005" s="267"/>
      <c r="I1005" s="267"/>
    </row>
    <row r="1006" spans="1:9" ht="12.75">
      <c r="A1006" s="207"/>
      <c r="B1006" s="207"/>
      <c r="C1006" s="207"/>
      <c r="D1006" s="979"/>
      <c r="E1006" s="979"/>
      <c r="F1006" s="979"/>
      <c r="G1006" s="188"/>
      <c r="H1006" s="267"/>
      <c r="I1006" s="267"/>
    </row>
    <row r="1007" spans="1:9" ht="12.75">
      <c r="A1007" s="207"/>
      <c r="B1007" s="207"/>
      <c r="C1007" s="207"/>
      <c r="G1007" s="188"/>
      <c r="H1007" s="267"/>
      <c r="I1007" s="267"/>
    </row>
    <row r="1008" spans="1:9" ht="14.25">
      <c r="A1008" s="271"/>
      <c r="B1008" s="609" t="s">
        <v>1376</v>
      </c>
      <c r="C1008" s="207"/>
      <c r="D1008" s="979" t="s">
        <v>1643</v>
      </c>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979"/>
      <c r="E1011" s="979"/>
      <c r="F1011" s="979"/>
      <c r="G1011" s="188"/>
      <c r="H1011" s="267"/>
      <c r="I1011" s="267"/>
    </row>
    <row r="1012" spans="1:9" ht="12.75">
      <c r="A1012" s="207"/>
      <c r="B1012" s="207"/>
      <c r="C1012" s="207"/>
      <c r="D1012" s="979"/>
      <c r="E1012" s="979"/>
      <c r="F1012" s="979"/>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5" t="s">
        <v>1479</v>
      </c>
      <c r="E1014" s="1005"/>
      <c r="F1014" s="1005"/>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9" t="s">
        <v>1649</v>
      </c>
      <c r="E1016" s="979"/>
      <c r="F1016" s="979"/>
      <c r="G1016" s="188"/>
      <c r="H1016" s="267"/>
      <c r="I1016" s="267"/>
    </row>
    <row r="1017" spans="1:9" ht="12.75">
      <c r="A1017" s="207"/>
      <c r="B1017" s="207"/>
      <c r="C1017" s="207"/>
      <c r="D1017" s="979"/>
      <c r="E1017" s="979"/>
      <c r="F1017" s="979"/>
      <c r="G1017" s="188"/>
      <c r="H1017" s="267"/>
      <c r="I1017" s="267"/>
    </row>
    <row r="1018" spans="1:9" ht="12.75">
      <c r="A1018" s="207"/>
      <c r="B1018" s="207"/>
      <c r="C1018" s="207"/>
      <c r="D1018" s="979"/>
      <c r="E1018" s="979"/>
      <c r="F1018" s="979"/>
      <c r="G1018" s="188"/>
      <c r="H1018" s="267"/>
      <c r="I1018" s="267"/>
    </row>
    <row r="1019" spans="1:9" ht="12.75">
      <c r="A1019" s="207"/>
      <c r="B1019" s="207"/>
      <c r="C1019" s="207"/>
      <c r="G1019" s="188"/>
      <c r="H1019" s="267"/>
      <c r="I1019" s="267"/>
    </row>
    <row r="1020" spans="1:9" ht="14.25">
      <c r="A1020" s="271"/>
      <c r="B1020" s="609" t="s">
        <v>124</v>
      </c>
      <c r="C1020" s="207"/>
      <c r="D1020" s="979" t="s">
        <v>1650</v>
      </c>
      <c r="E1020" s="979"/>
      <c r="F1020" s="979"/>
      <c r="G1020" s="188"/>
      <c r="H1020" s="267"/>
      <c r="I1020" s="267"/>
    </row>
    <row r="1021" spans="1:9" ht="12.75">
      <c r="A1021" s="207"/>
      <c r="B1021" s="207"/>
      <c r="C1021" s="207"/>
      <c r="D1021" s="979"/>
      <c r="E1021" s="979"/>
      <c r="F1021" s="979"/>
      <c r="G1021" s="188"/>
      <c r="H1021" s="267"/>
      <c r="I1021" s="267"/>
    </row>
    <row r="1022" spans="1:9" ht="12.75">
      <c r="A1022" s="207"/>
      <c r="B1022" s="207"/>
      <c r="C1022" s="207"/>
      <c r="D1022" s="979"/>
      <c r="E1022" s="979"/>
      <c r="F1022" s="979"/>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5" t="s">
        <v>1480</v>
      </c>
      <c r="E1024" s="1005"/>
      <c r="F1024" s="1005"/>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79" t="s">
        <v>1652</v>
      </c>
      <c r="E1026" s="979"/>
      <c r="F1026" s="979"/>
      <c r="G1026" s="24"/>
      <c r="H1026" s="209"/>
      <c r="I1026" s="209"/>
    </row>
    <row r="1027" spans="1:9" ht="12.75">
      <c r="A1027" s="207"/>
      <c r="B1027" s="207"/>
      <c r="C1027" s="207"/>
      <c r="D1027" s="979"/>
      <c r="E1027" s="979"/>
      <c r="F1027" s="979"/>
      <c r="G1027" s="24"/>
      <c r="H1027" s="209"/>
      <c r="I1027" s="209"/>
    </row>
    <row r="1028" spans="1:9" ht="12.75">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9" t="s">
        <v>1651</v>
      </c>
      <c r="E1030" s="979"/>
      <c r="F1030" s="979"/>
      <c r="G1030" s="209"/>
      <c r="H1030" s="267"/>
      <c r="I1030" s="267"/>
    </row>
    <row r="1031" spans="1:9" ht="12.75">
      <c r="A1031" s="207"/>
      <c r="B1031" s="207"/>
      <c r="C1031" s="207"/>
      <c r="D1031" s="979"/>
      <c r="E1031" s="979"/>
      <c r="F1031" s="979"/>
      <c r="G1031" s="209"/>
      <c r="H1031" s="267"/>
      <c r="I1031" s="267"/>
    </row>
    <row r="1032" spans="1:9" ht="12.75">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1653</v>
      </c>
      <c r="E1034" s="977"/>
      <c r="F1034" s="977"/>
      <c r="G1034" s="208"/>
      <c r="H1034" s="267"/>
      <c r="I1034" s="267"/>
    </row>
    <row r="1035" spans="1:9" ht="12.75">
      <c r="A1035" s="207"/>
      <c r="B1035" s="207"/>
      <c r="C1035" s="207"/>
      <c r="D1035" s="977"/>
      <c r="E1035" s="977"/>
      <c r="F1035" s="977"/>
      <c r="G1035" s="208"/>
      <c r="H1035" s="267"/>
      <c r="I1035" s="267"/>
    </row>
    <row r="1036" spans="1:9" ht="12.75">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1654</v>
      </c>
      <c r="E1038" s="979"/>
      <c r="F1038" s="979"/>
      <c r="G1038" s="208"/>
      <c r="H1038" s="208"/>
      <c r="I1038" s="208"/>
    </row>
    <row r="1039" spans="1:9" ht="12.75">
      <c r="A1039" s="207"/>
      <c r="B1039" s="207"/>
      <c r="C1039" s="207"/>
      <c r="D1039" s="979"/>
      <c r="E1039" s="979"/>
      <c r="F1039" s="979"/>
      <c r="G1039" s="208"/>
      <c r="H1039" s="208"/>
      <c r="I1039" s="208"/>
    </row>
    <row r="1040" spans="1:9" ht="12.75">
      <c r="A1040" s="207"/>
      <c r="B1040" s="207"/>
      <c r="C1040" s="207"/>
      <c r="D1040" s="979"/>
      <c r="E1040" s="979"/>
      <c r="F1040" s="979"/>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9" t="s">
        <v>1655</v>
      </c>
      <c r="E1042" s="979"/>
      <c r="F1042" s="979"/>
      <c r="G1042" s="208"/>
      <c r="H1042" s="208"/>
      <c r="I1042" s="208"/>
    </row>
    <row r="1043" spans="1:9" ht="12.75">
      <c r="A1043" s="207"/>
      <c r="B1043" s="207"/>
      <c r="C1043" s="207"/>
      <c r="D1043" s="979"/>
      <c r="E1043" s="979"/>
      <c r="F1043" s="979"/>
      <c r="G1043" s="208"/>
      <c r="H1043" s="208"/>
      <c r="I1043" s="208"/>
    </row>
    <row r="1044" spans="1:9" ht="12.75">
      <c r="A1044" s="207"/>
      <c r="B1044" s="207"/>
      <c r="C1044" s="207"/>
      <c r="D1044" s="979"/>
      <c r="E1044" s="979"/>
      <c r="F1044" s="979"/>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9" t="s">
        <v>1481</v>
      </c>
      <c r="E1046" s="979"/>
      <c r="F1046" s="979"/>
      <c r="G1046" s="24"/>
      <c r="H1046" s="267"/>
      <c r="I1046" s="267"/>
    </row>
    <row r="1047" spans="1:9" ht="12.75">
      <c r="A1047" s="207"/>
      <c r="B1047" s="207"/>
      <c r="C1047" s="207"/>
      <c r="D1047" s="979"/>
      <c r="E1047" s="979"/>
      <c r="F1047" s="979"/>
      <c r="G1047" s="24"/>
      <c r="H1047" s="267"/>
      <c r="I1047" s="267"/>
    </row>
    <row r="1048" spans="1:9" ht="12.75">
      <c r="A1048" s="207"/>
      <c r="B1048" s="207"/>
      <c r="C1048" s="207"/>
      <c r="D1048" s="979"/>
      <c r="E1048" s="979"/>
      <c r="F1048" s="979"/>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9" t="s">
        <v>1482</v>
      </c>
      <c r="E1050" s="979"/>
      <c r="F1050" s="979"/>
      <c r="G1050" s="24"/>
      <c r="H1050" s="267"/>
      <c r="I1050" s="267"/>
    </row>
    <row r="1051" spans="1:9" ht="12.75">
      <c r="A1051" s="207"/>
      <c r="B1051" s="207"/>
      <c r="C1051" s="207"/>
      <c r="D1051" s="979"/>
      <c r="E1051" s="979"/>
      <c r="F1051" s="979"/>
      <c r="G1051" s="24"/>
      <c r="H1051" s="267"/>
      <c r="I1051" s="267"/>
    </row>
    <row r="1052" spans="1:9" ht="12.75">
      <c r="A1052" s="207"/>
      <c r="B1052" s="207"/>
      <c r="C1052" s="207"/>
      <c r="D1052" s="979"/>
      <c r="E1052" s="979"/>
      <c r="F1052" s="979"/>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3" t="s">
        <v>1125</v>
      </c>
      <c r="E1054" s="1023"/>
      <c r="F1054" s="1023"/>
      <c r="G1054" s="608"/>
      <c r="H1054" s="267"/>
      <c r="I1054" s="267"/>
    </row>
    <row r="1055" spans="1:9" ht="12.75">
      <c r="A1055" s="207"/>
      <c r="B1055" s="207"/>
      <c r="C1055" s="207"/>
      <c r="D1055" s="1023"/>
      <c r="E1055" s="1023"/>
      <c r="F1055" s="1023"/>
      <c r="G1055" s="608"/>
      <c r="H1055" s="267"/>
      <c r="I1055" s="267"/>
    </row>
    <row r="1056" spans="1:9" ht="12.75">
      <c r="A1056" s="207"/>
      <c r="B1056" s="207"/>
      <c r="C1056" s="207"/>
      <c r="D1056" s="1023"/>
      <c r="E1056" s="1023"/>
      <c r="F1056" s="1023"/>
      <c r="G1056" s="608"/>
      <c r="H1056" s="267"/>
      <c r="I1056" s="267"/>
    </row>
    <row r="1057" spans="1:9" ht="12.75">
      <c r="A1057" s="207"/>
      <c r="B1057" s="207"/>
      <c r="C1057" s="207"/>
      <c r="D1057" s="1023"/>
      <c r="E1057" s="1023"/>
      <c r="F1057" s="1023"/>
      <c r="G1057" s="608"/>
      <c r="H1057" s="267"/>
      <c r="I1057" s="267"/>
    </row>
    <row r="1058" spans="1:9" ht="12.75">
      <c r="A1058" s="207"/>
      <c r="B1058" s="207"/>
      <c r="C1058" s="207"/>
      <c r="D1058" s="1023"/>
      <c r="E1058" s="1023"/>
      <c r="F1058" s="1023"/>
      <c r="G1058" s="608"/>
      <c r="H1058" s="267"/>
      <c r="I1058" s="267"/>
    </row>
    <row r="1059" spans="1:9" ht="12.75">
      <c r="A1059" s="207"/>
      <c r="B1059" s="207"/>
      <c r="C1059" s="207"/>
      <c r="D1059" s="1023"/>
      <c r="E1059" s="1023"/>
      <c r="F1059" s="1023"/>
      <c r="G1059" s="608"/>
      <c r="H1059" s="267"/>
      <c r="I1059" s="267"/>
    </row>
    <row r="1060" spans="1:9" ht="12.75">
      <c r="A1060" s="207"/>
      <c r="B1060" s="207"/>
      <c r="C1060" s="207"/>
      <c r="D1060" s="1023"/>
      <c r="E1060" s="1023"/>
      <c r="F1060" s="1023"/>
      <c r="G1060" s="608"/>
      <c r="H1060" s="267"/>
      <c r="I1060" s="267"/>
    </row>
    <row r="1061" spans="1:9" ht="12.75">
      <c r="A1061" s="207"/>
      <c r="B1061" s="207"/>
      <c r="C1061" s="207"/>
      <c r="D1061" s="1023"/>
      <c r="E1061" s="1023"/>
      <c r="F1061" s="1023"/>
      <c r="G1061" s="608"/>
      <c r="H1061" s="267"/>
      <c r="I1061" s="267"/>
    </row>
    <row r="1062" spans="1:9" ht="12.75">
      <c r="A1062" s="207"/>
      <c r="B1062" s="207"/>
      <c r="C1062" s="207"/>
      <c r="D1062" s="1023"/>
      <c r="E1062" s="1023"/>
      <c r="F1062" s="1023"/>
      <c r="G1062" s="608"/>
      <c r="H1062" s="267"/>
      <c r="I1062" s="267"/>
    </row>
    <row r="1063" spans="1:9" ht="12.75">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5" t="s">
        <v>1483</v>
      </c>
      <c r="E1066" s="1005"/>
      <c r="F1066" s="1005"/>
      <c r="G1066" s="418"/>
      <c r="H1066" s="267"/>
      <c r="I1066" s="267"/>
    </row>
    <row r="1067" spans="1:9" ht="12.75" customHeight="1">
      <c r="A1067" s="207"/>
      <c r="B1067" s="207"/>
      <c r="C1067" s="207"/>
      <c r="D1067" s="192"/>
      <c r="E1067" s="418"/>
      <c r="F1067" s="418"/>
      <c r="G1067" s="418"/>
      <c r="H1067" s="267"/>
      <c r="I1067" s="267"/>
    </row>
    <row r="1068" spans="1:9" ht="14.25">
      <c r="A1068" s="271"/>
      <c r="B1068" s="609" t="s">
        <v>1376</v>
      </c>
      <c r="C1068" s="207"/>
      <c r="D1068" s="973" t="s">
        <v>2205</v>
      </c>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979"/>
      <c r="E1070" s="979"/>
      <c r="F1070" s="979"/>
      <c r="G1070" s="188"/>
      <c r="H1070" s="267"/>
      <c r="I1070" s="267"/>
    </row>
    <row r="1071" spans="1:9" ht="12.75">
      <c r="A1071" s="207"/>
      <c r="B1071" s="207"/>
      <c r="C1071" s="207"/>
      <c r="D1071" s="979"/>
      <c r="E1071" s="979"/>
      <c r="F1071" s="979"/>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3" t="s">
        <v>2206</v>
      </c>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979"/>
      <c r="E1075" s="979"/>
      <c r="F1075" s="979"/>
      <c r="G1075" s="188"/>
      <c r="H1075" s="267"/>
      <c r="I1075" s="267"/>
    </row>
    <row r="1076" spans="1:9" ht="12.75">
      <c r="A1076" s="207"/>
      <c r="B1076" s="207"/>
      <c r="C1076" s="207"/>
      <c r="D1076" s="979"/>
      <c r="E1076" s="979"/>
      <c r="F1076" s="979"/>
      <c r="G1076" s="188"/>
      <c r="H1076" s="267"/>
      <c r="I1076" s="267"/>
    </row>
    <row r="1077" spans="1:9" ht="12.75">
      <c r="A1077" s="207"/>
      <c r="B1077" s="207"/>
      <c r="C1077" s="207"/>
      <c r="D1077" s="188"/>
      <c r="E1077" s="188"/>
      <c r="F1077" s="188"/>
      <c r="G1077" s="188"/>
    </row>
    <row r="1078" spans="1:9" ht="12.75">
      <c r="A1078" s="207"/>
      <c r="B1078" s="609" t="s">
        <v>124</v>
      </c>
      <c r="C1078" s="207"/>
      <c r="D1078" s="1033" t="s">
        <v>1656</v>
      </c>
      <c r="E1078" s="1033"/>
      <c r="F1078" s="1033"/>
      <c r="G1078" s="188"/>
    </row>
    <row r="1079" spans="1:9" ht="12.75">
      <c r="A1079" s="207"/>
      <c r="B1079" s="207"/>
      <c r="C1079" s="207"/>
      <c r="D1079" s="1033"/>
      <c r="E1079" s="1033"/>
      <c r="F1079" s="1033"/>
      <c r="G1079" s="188"/>
    </row>
    <row r="1080" spans="1:9" ht="12.75">
      <c r="A1080" s="207"/>
      <c r="B1080" s="207"/>
      <c r="C1080" s="207"/>
      <c r="D1080" s="1033"/>
      <c r="E1080" s="1033"/>
      <c r="F1080" s="1033"/>
      <c r="G1080" s="188"/>
    </row>
    <row r="1081" spans="1:9" ht="12.75">
      <c r="A1081" s="207"/>
      <c r="B1081" s="207"/>
      <c r="C1081" s="207"/>
      <c r="D1081" s="188"/>
      <c r="E1081" s="188"/>
      <c r="F1081" s="188"/>
      <c r="G1081" s="188"/>
    </row>
    <row r="1082" spans="1:9" ht="14.25">
      <c r="A1082" s="271"/>
      <c r="B1082" s="609" t="s">
        <v>124</v>
      </c>
      <c r="C1082" s="429"/>
      <c r="D1082" s="1034" t="s">
        <v>2156</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1005" t="s">
        <v>1484</v>
      </c>
      <c r="E1086" s="1005"/>
      <c r="F1086" s="1005"/>
      <c r="G1086" s="188"/>
    </row>
    <row r="1087" spans="1:9" ht="12.75">
      <c r="C1087" s="207"/>
      <c r="D1087" s="192"/>
      <c r="E1087" s="188"/>
      <c r="F1087" s="188"/>
      <c r="G1087" s="188"/>
    </row>
    <row r="1088" spans="1:9" ht="12.75">
      <c r="A1088" s="207"/>
      <c r="B1088" s="609" t="s">
        <v>124</v>
      </c>
      <c r="C1088" s="207"/>
      <c r="D1088" s="979" t="s">
        <v>1657</v>
      </c>
      <c r="E1088" s="979"/>
      <c r="F1088" s="979"/>
      <c r="G1088" s="188"/>
    </row>
    <row r="1089" spans="1:7" ht="12.75">
      <c r="A1089" s="207"/>
      <c r="B1089" s="207"/>
      <c r="C1089" s="207"/>
      <c r="D1089" s="979"/>
      <c r="E1089" s="979"/>
      <c r="F1089" s="979"/>
      <c r="G1089" s="188"/>
    </row>
    <row r="1090" spans="1:7" ht="12.75">
      <c r="A1090" s="207"/>
      <c r="B1090" s="207"/>
      <c r="C1090" s="207"/>
      <c r="D1090" s="979"/>
      <c r="E1090" s="979"/>
      <c r="F1090" s="979"/>
      <c r="G1090" s="188"/>
    </row>
    <row r="1091" spans="1:7" ht="12.75">
      <c r="A1091" s="207"/>
      <c r="B1091" s="207"/>
      <c r="C1091" s="207"/>
      <c r="D1091" s="188"/>
      <c r="E1091" s="188"/>
      <c r="F1091" s="188"/>
      <c r="G1091" s="188"/>
    </row>
    <row r="1092" spans="1:7" ht="14.25">
      <c r="A1092" s="271"/>
      <c r="B1092" s="609" t="s">
        <v>124</v>
      </c>
      <c r="C1092" s="207"/>
      <c r="D1092" s="979" t="s">
        <v>1658</v>
      </c>
      <c r="E1092" s="979"/>
      <c r="F1092" s="979"/>
      <c r="G1092" s="188"/>
    </row>
    <row r="1093" spans="1:7" ht="12.75">
      <c r="A1093" s="207"/>
      <c r="B1093" s="207"/>
      <c r="C1093" s="207"/>
      <c r="D1093" s="979"/>
      <c r="E1093" s="979"/>
      <c r="F1093" s="979"/>
      <c r="G1093" s="188"/>
    </row>
    <row r="1094" spans="1:7" ht="12.75">
      <c r="A1094" s="207"/>
      <c r="B1094" s="207"/>
      <c r="C1094" s="207"/>
      <c r="D1094" s="979"/>
      <c r="E1094" s="979"/>
      <c r="F1094" s="979"/>
      <c r="G1094" s="188"/>
    </row>
    <row r="1095" spans="1:7" ht="12.75">
      <c r="A1095" s="207"/>
      <c r="B1095" s="207"/>
      <c r="C1095" s="207"/>
      <c r="D1095" s="188"/>
      <c r="E1095" s="188"/>
      <c r="F1095" s="188"/>
      <c r="G1095" s="188"/>
    </row>
    <row r="1096" spans="1:7" ht="12.75">
      <c r="A1096" s="207"/>
      <c r="B1096" s="207"/>
      <c r="C1096" s="207"/>
      <c r="D1096" s="1005" t="s">
        <v>1117</v>
      </c>
      <c r="E1096" s="1005"/>
      <c r="F1096" s="1005"/>
      <c r="G1096" s="188"/>
    </row>
    <row r="1097" spans="1:7" ht="12.75">
      <c r="A1097" s="207"/>
      <c r="B1097" s="207"/>
      <c r="C1097" s="207"/>
      <c r="D1097" s="999" t="s">
        <v>1485</v>
      </c>
      <c r="E1097" s="999"/>
      <c r="F1097" s="999"/>
      <c r="G1097" s="188"/>
    </row>
    <row r="1098" spans="1:7" ht="12.75">
      <c r="A1098" s="207"/>
      <c r="B1098" s="207"/>
      <c r="C1098" s="207"/>
      <c r="D1098" s="419"/>
      <c r="E1098" s="188"/>
      <c r="F1098" s="188"/>
      <c r="G1098" s="188"/>
    </row>
    <row r="1099" spans="1:7" ht="14.25">
      <c r="A1099" s="271"/>
      <c r="B1099" s="609" t="s">
        <v>124</v>
      </c>
      <c r="C1099" s="207"/>
      <c r="D1099" s="979" t="s">
        <v>1659</v>
      </c>
      <c r="E1099" s="979"/>
      <c r="F1099" s="979"/>
      <c r="G1099" s="188"/>
    </row>
    <row r="1100" spans="1:7" ht="12.75">
      <c r="A1100" s="207"/>
      <c r="B1100" s="207"/>
      <c r="C1100" s="207"/>
      <c r="D1100" s="979"/>
      <c r="E1100" s="979"/>
      <c r="F1100" s="979"/>
      <c r="G1100" s="188"/>
    </row>
    <row r="1101" spans="1:7" ht="12.75">
      <c r="A1101" s="207"/>
      <c r="B1101" s="207"/>
      <c r="C1101" s="207"/>
      <c r="D1101" s="188"/>
      <c r="E1101" s="188"/>
      <c r="F1101" s="188"/>
      <c r="G1101" s="188"/>
    </row>
    <row r="1102" spans="1:7" ht="14.25">
      <c r="A1102" s="271"/>
      <c r="B1102" s="609" t="s">
        <v>124</v>
      </c>
      <c r="C1102" s="207"/>
      <c r="D1102" s="979" t="s">
        <v>1660</v>
      </c>
      <c r="E1102" s="979"/>
      <c r="F1102" s="979"/>
      <c r="G1102" s="188"/>
    </row>
    <row r="1103" spans="1:7" ht="12.75">
      <c r="A1103" s="207"/>
      <c r="B1103" s="207"/>
      <c r="C1103" s="207"/>
      <c r="D1103" s="979"/>
      <c r="E1103" s="979"/>
      <c r="F1103" s="979"/>
      <c r="G1103" s="188"/>
    </row>
    <row r="1104" spans="1:7" ht="12.75">
      <c r="A1104" s="207"/>
      <c r="B1104" s="207"/>
      <c r="C1104" s="207"/>
      <c r="E1104" s="188"/>
      <c r="F1104" s="188"/>
      <c r="G1104" s="188"/>
    </row>
    <row r="1105" spans="1:7" ht="12.75">
      <c r="A1105" s="207"/>
      <c r="B1105" s="207"/>
      <c r="C1105" s="207"/>
      <c r="D1105" s="1005" t="s">
        <v>1486</v>
      </c>
      <c r="E1105" s="1005"/>
      <c r="F1105" s="1005"/>
      <c r="G1105" s="188"/>
    </row>
    <row r="1106" spans="1:7" ht="12.75">
      <c r="A1106" s="207"/>
      <c r="B1106" s="207"/>
      <c r="C1106" s="207"/>
      <c r="D1106" s="192"/>
      <c r="E1106" s="188"/>
      <c r="F1106" s="188"/>
      <c r="G1106" s="188"/>
    </row>
    <row r="1107" spans="1:7" ht="14.25">
      <c r="A1107" s="271"/>
      <c r="B1107" s="609" t="s">
        <v>124</v>
      </c>
      <c r="C1107" s="207"/>
      <c r="D1107" s="979" t="s">
        <v>1661</v>
      </c>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979"/>
      <c r="E1112" s="979"/>
      <c r="F1112" s="979"/>
      <c r="G1112" s="188"/>
    </row>
    <row r="1113" spans="1:7" ht="12.75">
      <c r="A1113" s="207"/>
      <c r="B1113" s="207"/>
      <c r="C1113" s="207"/>
      <c r="D1113" s="979"/>
      <c r="E1113" s="979"/>
      <c r="F1113" s="979"/>
      <c r="G1113" s="188"/>
    </row>
    <row r="1114" spans="1:7" ht="12.75">
      <c r="A1114" s="207"/>
      <c r="B1114" s="207"/>
      <c r="C1114" s="207"/>
      <c r="D1114" s="188"/>
      <c r="E1114" s="188"/>
      <c r="F1114" s="188"/>
      <c r="G1114" s="188"/>
    </row>
    <row r="1115" spans="1:7" ht="14.25">
      <c r="A1115" s="271"/>
      <c r="B1115" s="609" t="s">
        <v>124</v>
      </c>
      <c r="C1115" s="207"/>
      <c r="D1115" s="979" t="s">
        <v>1662</v>
      </c>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979"/>
      <c r="E1120" s="979"/>
      <c r="F1120" s="979"/>
      <c r="G1120" s="188"/>
    </row>
    <row r="1121" spans="1:7" ht="12.75">
      <c r="A1121" s="207"/>
      <c r="B1121" s="207"/>
      <c r="C1121" s="207"/>
      <c r="D1121" s="979"/>
      <c r="E1121" s="979"/>
      <c r="F1121" s="979"/>
      <c r="G1121" s="188"/>
    </row>
    <row r="1122" spans="1:7" ht="12.75">
      <c r="A1122" s="207"/>
      <c r="B1122" s="207"/>
      <c r="C1122" s="207"/>
      <c r="D1122" s="24"/>
      <c r="E1122" s="24"/>
      <c r="F1122" s="24"/>
      <c r="G1122" s="188"/>
    </row>
    <row r="1123" spans="1:7" ht="12.4" customHeight="1">
      <c r="A1123" s="207"/>
      <c r="B1123" s="609" t="s">
        <v>124</v>
      </c>
      <c r="C1123" s="207"/>
      <c r="D1123" s="1035" t="s">
        <v>1772</v>
      </c>
      <c r="E1123" s="1033"/>
      <c r="F1123" s="1033"/>
      <c r="G1123" s="188"/>
    </row>
    <row r="1124" spans="1:7" ht="12.4" customHeight="1">
      <c r="A1124" s="207"/>
      <c r="B1124" s="207"/>
      <c r="C1124" s="207"/>
      <c r="D1124" s="1033"/>
      <c r="E1124" s="1033"/>
      <c r="F1124" s="1033"/>
      <c r="G1124" s="188"/>
    </row>
    <row r="1125" spans="1:7" ht="12.75">
      <c r="A1125" s="207"/>
      <c r="B1125" s="207"/>
      <c r="C1125" s="207"/>
      <c r="D1125" s="1033"/>
      <c r="E1125" s="1033"/>
      <c r="F1125" s="1033"/>
      <c r="G1125" s="188"/>
    </row>
    <row r="1126" spans="1:7" ht="12.75">
      <c r="A1126" s="207"/>
      <c r="B1126" s="207"/>
      <c r="C1126" s="207"/>
      <c r="D1126" s="653"/>
      <c r="E1126" s="653"/>
      <c r="F1126" s="653"/>
      <c r="G1126" s="188"/>
    </row>
    <row r="1127" spans="1:7" ht="12.75">
      <c r="D1127" s="1005" t="s">
        <v>1487</v>
      </c>
      <c r="E1127" s="1005"/>
      <c r="F1127" s="1005"/>
    </row>
    <row r="1128" spans="1:7" ht="12.75">
      <c r="D1128" s="192"/>
    </row>
    <row r="1129" spans="1:7" ht="14.25">
      <c r="A1129" s="271"/>
      <c r="B1129" s="609" t="s">
        <v>1376</v>
      </c>
      <c r="D1129" s="979" t="s">
        <v>1663</v>
      </c>
      <c r="E1129" s="979"/>
      <c r="F1129" s="979"/>
    </row>
    <row r="1130" spans="1:7" ht="12.75">
      <c r="D1130" s="979"/>
      <c r="E1130" s="979"/>
      <c r="F1130" s="979"/>
    </row>
    <row r="1131" spans="1:7" ht="12.75"/>
    <row r="1132" spans="1:7" ht="14.25">
      <c r="A1132" s="271"/>
      <c r="B1132" s="609" t="s">
        <v>124</v>
      </c>
      <c r="D1132" s="979" t="s">
        <v>1664</v>
      </c>
      <c r="E1132" s="979"/>
      <c r="F1132" s="979"/>
    </row>
    <row r="1133" spans="1:7" ht="12.75">
      <c r="D1133" s="979"/>
      <c r="E1133" s="979"/>
      <c r="F1133" s="979"/>
    </row>
    <row r="1134" spans="1:7" ht="12.75"/>
    <row r="1135" spans="1:7" ht="12.75">
      <c r="D1135" s="1005" t="s">
        <v>1488</v>
      </c>
      <c r="E1135" s="1005"/>
      <c r="F1135" s="1005"/>
    </row>
    <row r="1136" spans="1:7" ht="12.75">
      <c r="D1136" s="192"/>
    </row>
    <row r="1137" spans="1:7" ht="14.25">
      <c r="A1137" s="271"/>
      <c r="B1137" s="609" t="s">
        <v>1376</v>
      </c>
      <c r="D1137" s="999" t="s">
        <v>1665</v>
      </c>
      <c r="E1137" s="999"/>
      <c r="F1137" s="999"/>
    </row>
    <row r="1138" spans="1:7" ht="12.75"/>
    <row r="1139" spans="1:7" ht="14.25">
      <c r="A1139" s="271"/>
      <c r="B1139" s="609" t="s">
        <v>124</v>
      </c>
      <c r="D1139" s="979" t="s">
        <v>1666</v>
      </c>
      <c r="E1139" s="979"/>
      <c r="F1139" s="979"/>
    </row>
    <row r="1140" spans="1:7" ht="14.25">
      <c r="A1140" s="271"/>
      <c r="B1140" s="271"/>
      <c r="D1140" s="979"/>
      <c r="E1140" s="979"/>
      <c r="F1140" s="979"/>
    </row>
    <row r="1141" spans="1:7" ht="14.25">
      <c r="A1141" s="271"/>
      <c r="B1141" s="271"/>
      <c r="D1141" s="24"/>
      <c r="E1141" s="24"/>
      <c r="F1141" s="24"/>
      <c r="G1141"/>
    </row>
    <row r="1142" spans="1:7" ht="12.75">
      <c r="D1142" s="1005" t="s">
        <v>1676</v>
      </c>
      <c r="E1142" s="1005"/>
      <c r="F1142" s="1005"/>
      <c r="G1142"/>
    </row>
    <row r="1143" spans="1:7" ht="12.75">
      <c r="D1143" s="192"/>
      <c r="G1143"/>
    </row>
    <row r="1144" spans="1:7" ht="14.45" customHeight="1">
      <c r="A1144" s="271"/>
      <c r="B1144" s="609" t="s">
        <v>124</v>
      </c>
      <c r="D1144" s="973" t="s">
        <v>2207</v>
      </c>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14.25">
      <c r="A1155" s="271"/>
      <c r="B1155" s="271"/>
      <c r="D1155" s="979"/>
      <c r="E1155" s="979"/>
      <c r="F1155" s="979"/>
      <c r="G1155"/>
    </row>
    <row r="1156" spans="1:7" ht="14.25">
      <c r="A1156" s="271"/>
      <c r="B1156" s="271"/>
      <c r="D1156" s="979"/>
      <c r="E1156" s="979"/>
      <c r="F1156" s="979"/>
      <c r="G1156"/>
    </row>
    <row r="1157" spans="1:7" ht="38.25" customHeight="1">
      <c r="A1157" s="271"/>
      <c r="B1157" s="271"/>
      <c r="D1157" s="979"/>
      <c r="E1157" s="979"/>
      <c r="F1157" s="979"/>
    </row>
    <row r="1158" spans="1:7" ht="12.75"/>
    <row r="1159" spans="1:7" ht="12.75">
      <c r="A1159" s="1004" t="s">
        <v>1404</v>
      </c>
      <c r="B1159" s="1004"/>
      <c r="C1159" s="1004"/>
      <c r="D1159" s="1004"/>
      <c r="E1159" s="1004"/>
      <c r="F1159" s="1004"/>
      <c r="G1159" s="1004"/>
    </row>
    <row r="1160" spans="1:7" ht="12.75">
      <c r="A1160" s="44"/>
      <c r="B1160" s="44"/>
    </row>
    <row r="1161" spans="1:7" ht="12.75">
      <c r="C1161" s="207"/>
      <c r="D1161" s="1005" t="s">
        <v>1667</v>
      </c>
      <c r="E1161" s="1005"/>
      <c r="F1161" s="1005"/>
    </row>
    <row r="1162" spans="1:7" ht="12.75">
      <c r="A1162" s="190"/>
      <c r="B1162" s="190"/>
      <c r="C1162" s="190"/>
      <c r="D1162" s="998" t="s">
        <v>1492</v>
      </c>
      <c r="E1162" s="999"/>
      <c r="F1162" s="999"/>
    </row>
    <row r="1163" spans="1:7" ht="12.75">
      <c r="A1163" s="190"/>
      <c r="B1163" s="190"/>
      <c r="C1163" s="190"/>
      <c r="F1163" s="188"/>
      <c r="G1163"/>
    </row>
    <row r="1164" spans="1:7" ht="13.7" customHeight="1">
      <c r="B1164" s="609" t="s">
        <v>1376</v>
      </c>
      <c r="D1164" s="996" t="s">
        <v>2094</v>
      </c>
      <c r="E1164" s="996"/>
      <c r="F1164" s="996"/>
      <c r="G1164"/>
    </row>
    <row r="1165" spans="1:7" ht="12.75">
      <c r="D1165" s="996"/>
      <c r="E1165" s="996"/>
      <c r="F1165" s="996"/>
      <c r="G1165"/>
    </row>
    <row r="1166" spans="1:7" ht="12.75">
      <c r="D1166" s="15"/>
      <c r="E1166" s="927" t="s">
        <v>2095</v>
      </c>
      <c r="F1166" s="15"/>
      <c r="G1166"/>
    </row>
    <row r="1167" spans="1:7" ht="12.75">
      <c r="D1167" s="15"/>
      <c r="E1167" s="15"/>
      <c r="F1167" s="15"/>
      <c r="G1167"/>
    </row>
    <row r="1168" spans="1:7" ht="12.75">
      <c r="D1168" s="993" t="s">
        <v>2093</v>
      </c>
      <c r="E1168" s="993"/>
      <c r="F1168" s="993"/>
      <c r="G1168"/>
    </row>
    <row r="1169" spans="1:7" ht="12.75">
      <c r="A1169" s="191"/>
      <c r="B1169" s="191"/>
      <c r="C1169" s="191"/>
      <c r="D1169" s="993"/>
      <c r="E1169" s="993"/>
      <c r="F1169" s="993"/>
      <c r="G1169"/>
    </row>
    <row r="1170" spans="1:7" ht="14.45" customHeight="1">
      <c r="A1170" s="191"/>
      <c r="B1170" s="191"/>
      <c r="C1170" s="191"/>
      <c r="D1170" s="993"/>
      <c r="E1170" s="993"/>
      <c r="F1170" s="993"/>
      <c r="G1170"/>
    </row>
    <row r="1171" spans="1:7" ht="12.75">
      <c r="A1171" s="191"/>
      <c r="B1171" s="191"/>
      <c r="C1171" s="191"/>
      <c r="D1171" s="106"/>
      <c r="E1171" s="106"/>
      <c r="F1171" s="106"/>
      <c r="G1171"/>
    </row>
    <row r="1172" spans="1:7" ht="12.75">
      <c r="A1172" s="191"/>
      <c r="B1172" s="609" t="s">
        <v>124</v>
      </c>
      <c r="C1172" s="191"/>
      <c r="D1172" s="979" t="s">
        <v>1677</v>
      </c>
      <c r="E1172" s="979"/>
      <c r="F1172" s="979"/>
      <c r="G1172"/>
    </row>
    <row r="1173" spans="1:7" ht="12.75">
      <c r="A1173" s="191"/>
      <c r="B1173" s="191"/>
      <c r="C1173" s="191"/>
      <c r="D1173" s="979"/>
      <c r="E1173" s="979"/>
      <c r="F1173" s="979"/>
      <c r="G1173"/>
    </row>
    <row r="1174" spans="1:7" ht="12.75">
      <c r="A1174" s="191"/>
      <c r="B1174" s="191"/>
      <c r="C1174" s="191"/>
      <c r="D1174" s="979"/>
      <c r="E1174" s="979"/>
      <c r="F1174" s="979"/>
      <c r="G1174"/>
    </row>
    <row r="1175" spans="1:7" ht="12.75">
      <c r="A1175" s="191"/>
      <c r="B1175" s="191"/>
      <c r="C1175" s="191"/>
      <c r="D1175" s="979"/>
      <c r="E1175" s="979"/>
      <c r="F1175" s="979"/>
      <c r="G1175"/>
    </row>
    <row r="1176" spans="1:7" ht="12.75">
      <c r="A1176" s="191"/>
      <c r="B1176" s="191"/>
      <c r="C1176" s="191"/>
      <c r="D1176" s="24"/>
      <c r="E1176" s="24"/>
      <c r="F1176" s="24"/>
      <c r="G1176"/>
    </row>
    <row r="1177" spans="1:7" ht="12.75">
      <c r="A1177" s="191"/>
      <c r="B1177" s="609" t="s">
        <v>124</v>
      </c>
      <c r="C1177" s="191"/>
      <c r="D1177" s="973" t="s">
        <v>1757</v>
      </c>
      <c r="E1177" s="979"/>
      <c r="F1177" s="979"/>
      <c r="G1177"/>
    </row>
    <row r="1178" spans="1:7" ht="12.75">
      <c r="A1178" s="191"/>
      <c r="B1178" s="191"/>
      <c r="C1178" s="191"/>
      <c r="D1178" s="979"/>
      <c r="E1178" s="979"/>
      <c r="F1178" s="979"/>
      <c r="G1178"/>
    </row>
    <row r="1179" spans="1:7" ht="12.75">
      <c r="A1179" s="191"/>
      <c r="B1179" s="191"/>
      <c r="C1179" s="191"/>
      <c r="D1179" s="24"/>
      <c r="E1179" s="24"/>
      <c r="F1179" s="24"/>
      <c r="G1179"/>
    </row>
    <row r="1180" spans="1:7" ht="14.25">
      <c r="A1180" s="271"/>
      <c r="B1180" s="609" t="s">
        <v>124</v>
      </c>
      <c r="D1180" s="999" t="s">
        <v>1668</v>
      </c>
      <c r="E1180" s="999"/>
      <c r="F1180" s="999"/>
      <c r="G1180"/>
    </row>
    <row r="1181" spans="1:7" ht="12.75">
      <c r="G1181"/>
    </row>
    <row r="1182" spans="1:7" ht="14.25">
      <c r="A1182" s="271"/>
      <c r="B1182" s="609" t="s">
        <v>124</v>
      </c>
      <c r="D1182" s="999" t="s">
        <v>1669</v>
      </c>
      <c r="E1182" s="999"/>
      <c r="F1182" s="999"/>
      <c r="G1182"/>
    </row>
    <row r="1183" spans="1:7" ht="12.75">
      <c r="D1183" s="44"/>
      <c r="G1183"/>
    </row>
    <row r="1184" spans="1:7" ht="14.25">
      <c r="A1184" s="271"/>
      <c r="B1184" s="609" t="s">
        <v>1376</v>
      </c>
      <c r="D1184" s="999" t="s">
        <v>1670</v>
      </c>
      <c r="E1184" s="999"/>
      <c r="F1184" s="999"/>
      <c r="G1184"/>
    </row>
    <row r="1185" spans="1:7" ht="12.75">
      <c r="D1185" s="44"/>
      <c r="G1185"/>
    </row>
    <row r="1186" spans="1:7" ht="14.25">
      <c r="A1186" s="271"/>
      <c r="B1186" s="609" t="s">
        <v>1376</v>
      </c>
      <c r="D1186" s="979" t="s">
        <v>1671</v>
      </c>
      <c r="E1186" s="979"/>
      <c r="F1186" s="979"/>
      <c r="G1186"/>
    </row>
    <row r="1187" spans="1:7" ht="14.25">
      <c r="A1187" s="271"/>
      <c r="B1187" s="271"/>
      <c r="D1187" s="979"/>
      <c r="E1187" s="979"/>
      <c r="F1187" s="979"/>
      <c r="G1187"/>
    </row>
    <row r="1188" spans="1:7" ht="14.25">
      <c r="A1188" s="271"/>
      <c r="B1188" s="271"/>
      <c r="D1188" s="44"/>
    </row>
    <row r="1189" spans="1:7" s="448" customFormat="1" ht="14.25">
      <c r="A1189" s="289"/>
      <c r="B1189" s="609" t="s">
        <v>124</v>
      </c>
      <c r="C1189" s="290"/>
      <c r="D1189" s="1025" t="s">
        <v>1672</v>
      </c>
      <c r="E1189" s="1025"/>
      <c r="F1189" s="1025"/>
      <c r="G1189" s="292"/>
    </row>
    <row r="1190" spans="1:7" s="448" customFormat="1" ht="12.75">
      <c r="A1190" s="290"/>
      <c r="B1190" s="290"/>
      <c r="C1190" s="290"/>
      <c r="D1190" s="1025"/>
      <c r="E1190" s="1025"/>
      <c r="F1190" s="1025"/>
      <c r="G1190" s="292"/>
    </row>
    <row r="1191" spans="1:7" s="448" customFormat="1" ht="12.75">
      <c r="A1191" s="290"/>
      <c r="B1191" s="290"/>
      <c r="C1191" s="290"/>
      <c r="D1191" s="291"/>
      <c r="E1191" s="292"/>
      <c r="F1191" s="292"/>
      <c r="G1191" s="292"/>
    </row>
    <row r="1192" spans="1:7" s="448" customFormat="1" ht="14.25">
      <c r="A1192" s="289"/>
      <c r="B1192" s="609" t="s">
        <v>124</v>
      </c>
      <c r="C1192" s="290"/>
      <c r="D1192" s="1032" t="s">
        <v>1673</v>
      </c>
      <c r="E1192" s="1032"/>
      <c r="F1192" s="1032"/>
      <c r="G1192" s="292"/>
    </row>
    <row r="1193" spans="1:7" s="448" customFormat="1" ht="12.75">
      <c r="A1193" s="290"/>
      <c r="B1193" s="290"/>
      <c r="C1193" s="290"/>
      <c r="D1193" s="291"/>
      <c r="E1193" s="292"/>
      <c r="F1193" s="292"/>
      <c r="G1193" s="292"/>
    </row>
    <row r="1194" spans="1:7" ht="14.25">
      <c r="A1194" s="271"/>
      <c r="B1194" s="609" t="s">
        <v>124</v>
      </c>
      <c r="D1194" s="999" t="s">
        <v>1674</v>
      </c>
      <c r="E1194" s="999"/>
      <c r="F1194" s="999"/>
    </row>
    <row r="1195" spans="1:7" ht="14.25">
      <c r="A1195" s="271"/>
      <c r="B1195" s="271"/>
      <c r="D1195" s="44"/>
    </row>
    <row r="1196" spans="1:7" ht="14.25">
      <c r="A1196" s="271"/>
      <c r="B1196" s="609" t="s">
        <v>124</v>
      </c>
      <c r="D1196" s="979" t="s">
        <v>1675</v>
      </c>
      <c r="E1196" s="979"/>
      <c r="F1196" s="979"/>
    </row>
    <row r="1197" spans="1:7" ht="14.25">
      <c r="A1197" s="271"/>
      <c r="B1197" s="271"/>
      <c r="D1197" s="979"/>
      <c r="E1197" s="979"/>
      <c r="F1197" s="979"/>
    </row>
    <row r="1198" spans="1:7" ht="12.75"/>
    <row r="1199" spans="1:7" ht="12.75">
      <c r="A1199" s="1004" t="s">
        <v>2013</v>
      </c>
      <c r="B1199" s="1004"/>
      <c r="C1199" s="1004"/>
      <c r="D1199" s="1004"/>
      <c r="E1199" s="1004"/>
      <c r="F1199" s="1004"/>
      <c r="G1199" s="1004"/>
    </row>
    <row r="1200" spans="1:7" ht="12.75"/>
    <row r="1201" spans="1:7" ht="12.75">
      <c r="A1201" s="1004" t="s">
        <v>1405</v>
      </c>
      <c r="B1201" s="1004"/>
      <c r="C1201" s="1004"/>
      <c r="D1201" s="1004"/>
      <c r="E1201" s="1004"/>
      <c r="F1201" s="1004"/>
      <c r="G1201" s="1004"/>
    </row>
    <row r="1202" spans="1:7" ht="12.75"/>
    <row r="1203" spans="1:7" ht="12.75">
      <c r="D1203" s="1030" t="s">
        <v>1511</v>
      </c>
      <c r="E1203" s="1030"/>
      <c r="F1203" s="1030"/>
    </row>
    <row r="1204" spans="1:7" ht="12.75">
      <c r="D1204" s="1031" t="s">
        <v>1918</v>
      </c>
      <c r="E1204" s="1031"/>
      <c r="F1204" s="1031"/>
    </row>
    <row r="1205" spans="1:7" ht="12.75">
      <c r="A1205" s="190"/>
      <c r="B1205" s="190"/>
      <c r="C1205" s="190"/>
    </row>
    <row r="1206" spans="1:7" ht="14.25">
      <c r="A1206" s="271"/>
      <c r="B1206" s="271"/>
      <c r="C1206" s="191"/>
      <c r="D1206" s="1030" t="s">
        <v>1512</v>
      </c>
      <c r="E1206" s="1030"/>
      <c r="F1206" s="1030"/>
    </row>
    <row r="1207" spans="1:7" ht="12.75">
      <c r="B1207" s="609" t="s">
        <v>1376</v>
      </c>
      <c r="D1207" s="1032" t="s">
        <v>1513</v>
      </c>
      <c r="E1207" s="1032"/>
      <c r="F1207" s="1032"/>
    </row>
    <row r="1208" spans="1:7" ht="12.75">
      <c r="D1208" s="1031" t="s">
        <v>1919</v>
      </c>
      <c r="E1208" s="1031"/>
      <c r="F1208" s="1031"/>
    </row>
    <row r="1209" spans="1:7" ht="12.75">
      <c r="G1209"/>
    </row>
    <row r="1210" spans="1:7" ht="12.75" customHeight="1">
      <c r="B1210" s="609" t="s">
        <v>124</v>
      </c>
      <c r="D1210" s="1012" t="s">
        <v>1836</v>
      </c>
      <c r="E1210" s="1012"/>
      <c r="F1210" s="1012"/>
      <c r="G1210"/>
    </row>
    <row r="1211" spans="1:7" ht="12.75">
      <c r="D1211" s="1012"/>
      <c r="E1211" s="1012"/>
      <c r="F1211" s="1012"/>
      <c r="G1211"/>
    </row>
    <row r="1212" spans="1:7" ht="12.75">
      <c r="G1212"/>
    </row>
    <row r="1213" spans="1:7" ht="12.75" customHeight="1"/>
    <row r="1214" spans="1:7" ht="12.75">
      <c r="A1214" s="1004" t="s">
        <v>1407</v>
      </c>
      <c r="B1214" s="1004"/>
      <c r="C1214" s="1004"/>
      <c r="D1214" s="1004"/>
      <c r="E1214" s="1004"/>
      <c r="F1214" s="1004"/>
      <c r="G1214" s="1004"/>
    </row>
    <row r="1215" spans="1:7" ht="12.75">
      <c r="A1215" s="44"/>
      <c r="B1215" s="44"/>
    </row>
    <row r="1216" spans="1:7" ht="12.75" customHeight="1">
      <c r="A1216" s="44"/>
      <c r="B1216" s="44"/>
      <c r="D1216" s="1005" t="s">
        <v>1406</v>
      </c>
      <c r="E1216" s="1005"/>
      <c r="F1216" s="1005"/>
    </row>
    <row r="1217" spans="1:7" ht="12.75" customHeight="1">
      <c r="A1217" s="44"/>
      <c r="B1217" s="44"/>
      <c r="D1217" s="999" t="s">
        <v>1413</v>
      </c>
      <c r="E1217" s="999"/>
      <c r="F1217" s="999"/>
    </row>
    <row r="1218" spans="1:7" ht="12.75" customHeight="1">
      <c r="A1218" s="44"/>
      <c r="B1218" s="44"/>
    </row>
    <row r="1219" spans="1:7" ht="14.25">
      <c r="A1219" s="271"/>
      <c r="B1219" s="609" t="s">
        <v>124</v>
      </c>
      <c r="D1219" s="1003" t="s">
        <v>1013</v>
      </c>
      <c r="E1219" s="1003"/>
      <c r="F1219" s="1003"/>
    </row>
    <row r="1220" spans="1:7" ht="12.75">
      <c r="D1220" s="999" t="s">
        <v>1133</v>
      </c>
      <c r="E1220" s="999"/>
      <c r="F1220" s="999"/>
    </row>
    <row r="1221" spans="1:7" ht="12.75">
      <c r="E1221" s="1016" t="s">
        <v>2096</v>
      </c>
      <c r="F1221" s="1016"/>
    </row>
    <row r="1222" spans="1:7" ht="12.75">
      <c r="D1222" s="3"/>
    </row>
    <row r="1223" spans="1:7" ht="12.75">
      <c r="D1223" s="1029" t="s">
        <v>1273</v>
      </c>
      <c r="E1223" s="1029"/>
      <c r="F1223" s="1029"/>
    </row>
    <row r="1224" spans="1:7" ht="12.75">
      <c r="B1224" s="609" t="s">
        <v>124</v>
      </c>
      <c r="D1224" s="973" t="s">
        <v>2097</v>
      </c>
      <c r="E1224" s="979"/>
      <c r="F1224" s="979"/>
      <c r="G1224"/>
    </row>
    <row r="1225" spans="1:7" ht="12.75">
      <c r="D1225" s="979"/>
      <c r="E1225" s="979"/>
      <c r="F1225" s="979"/>
      <c r="G1225"/>
    </row>
    <row r="1226" spans="1:7" ht="12.75">
      <c r="D1226" s="501" t="s">
        <v>1276</v>
      </c>
      <c r="E1226"/>
      <c r="F1226"/>
      <c r="G1226"/>
    </row>
    <row r="1227" spans="1:7" ht="13.7" customHeight="1">
      <c r="D1227" s="973" t="s">
        <v>2098</v>
      </c>
      <c r="E1227" s="979"/>
      <c r="F1227" s="979"/>
      <c r="G1227"/>
    </row>
    <row r="1228" spans="1:7" ht="12.75">
      <c r="D1228" s="979"/>
      <c r="E1228" s="979"/>
      <c r="F1228" s="979"/>
      <c r="G1228"/>
    </row>
    <row r="1229" spans="1:7" ht="12.75">
      <c r="D1229" s="979"/>
      <c r="E1229" s="979"/>
      <c r="F1229" s="979"/>
      <c r="G1229"/>
    </row>
    <row r="1230" spans="1:7" ht="12.75">
      <c r="D1230" s="979"/>
      <c r="E1230" s="979"/>
      <c r="F1230" s="979"/>
      <c r="G1230"/>
    </row>
    <row r="1231" spans="1:7" ht="12.75">
      <c r="D1231" s="1016" t="s">
        <v>1016</v>
      </c>
      <c r="E1231" s="1016"/>
      <c r="F1231" s="1016"/>
      <c r="G1231"/>
    </row>
    <row r="1232" spans="1:7" ht="12.75">
      <c r="B1232" s="609" t="s">
        <v>124</v>
      </c>
      <c r="D1232" s="1003" t="s">
        <v>1274</v>
      </c>
      <c r="E1232" s="1003"/>
      <c r="F1232" s="1003"/>
      <c r="G1232"/>
    </row>
    <row r="1233" spans="1:7" ht="12.75">
      <c r="E1233"/>
      <c r="F1233"/>
      <c r="G1233"/>
    </row>
    <row r="1234" spans="1:7" ht="12.75">
      <c r="D1234" s="1011" t="s">
        <v>1275</v>
      </c>
      <c r="E1234" s="1011"/>
      <c r="F1234" s="1011"/>
      <c r="G1234"/>
    </row>
    <row r="1235" spans="1:7" ht="12.75">
      <c r="D1235" s="3" t="s">
        <v>1014</v>
      </c>
      <c r="E1235"/>
      <c r="F1235"/>
      <c r="G1235"/>
    </row>
    <row r="1236" spans="1:7" ht="14.45" customHeight="1">
      <c r="A1236" s="271"/>
      <c r="B1236" s="609" t="s">
        <v>124</v>
      </c>
      <c r="D1236" s="979" t="s">
        <v>1514</v>
      </c>
      <c r="E1236" s="979"/>
      <c r="F1236" s="979"/>
      <c r="G1236"/>
    </row>
    <row r="1237" spans="1:7" ht="14.25">
      <c r="A1237" s="271"/>
      <c r="B1237" s="271"/>
      <c r="D1237" s="979"/>
      <c r="E1237" s="979"/>
      <c r="F1237" s="979"/>
      <c r="G1237"/>
    </row>
    <row r="1238" spans="1:7" ht="14.25">
      <c r="A1238" s="271"/>
      <c r="B1238" s="271"/>
      <c r="D1238" s="979"/>
      <c r="E1238" s="979"/>
      <c r="F1238" s="979"/>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9" t="s">
        <v>1515</v>
      </c>
      <c r="E1241" s="979"/>
      <c r="F1241" s="979"/>
    </row>
    <row r="1242" spans="1:7" ht="14.25">
      <c r="A1242" s="271"/>
      <c r="B1242" s="271"/>
      <c r="D1242" s="979"/>
      <c r="E1242" s="979"/>
      <c r="F1242" s="979"/>
    </row>
    <row r="1243" spans="1:7" ht="14.25">
      <c r="A1243" s="271"/>
      <c r="B1243" s="271"/>
      <c r="D1243" s="979"/>
      <c r="E1243" s="979"/>
      <c r="F1243" s="979"/>
    </row>
    <row r="1244" spans="1:7" ht="14.25">
      <c r="A1244" s="271"/>
      <c r="B1244" s="271"/>
      <c r="D1244" s="979"/>
      <c r="E1244" s="979"/>
      <c r="F1244" s="979"/>
    </row>
    <row r="1245" spans="1:7" ht="14.25">
      <c r="A1245" s="271"/>
      <c r="B1245" s="271"/>
      <c r="D1245" s="979"/>
      <c r="E1245" s="979"/>
      <c r="F1245" s="979"/>
    </row>
    <row r="1246" spans="1:7" ht="12.75" customHeight="1">
      <c r="A1246" s="44"/>
      <c r="B1246" s="44"/>
    </row>
    <row r="1247" spans="1:7" ht="12.75">
      <c r="A1247" s="1004" t="s">
        <v>1438</v>
      </c>
      <c r="B1247" s="1004"/>
      <c r="C1247" s="1004"/>
      <c r="D1247" s="1004"/>
      <c r="E1247" s="1004"/>
      <c r="F1247" s="1004"/>
      <c r="G1247" s="1004"/>
    </row>
    <row r="1248" spans="1:7" ht="12.75">
      <c r="A1248" s="44"/>
      <c r="B1248" s="44"/>
    </row>
    <row r="1249" spans="1:7" ht="12.75">
      <c r="A1249" s="44"/>
      <c r="B1249" s="44"/>
      <c r="D1249" s="1013" t="s">
        <v>1439</v>
      </c>
      <c r="E1249" s="1013"/>
      <c r="F1249" s="1013"/>
    </row>
    <row r="1250" spans="1:7" ht="12.75">
      <c r="A1250" s="268"/>
      <c r="B1250" s="268"/>
      <c r="C1250" s="268"/>
      <c r="D1250" s="1003" t="s">
        <v>1452</v>
      </c>
      <c r="E1250" s="1003"/>
      <c r="F1250" s="1003"/>
      <c r="G1250" s="269"/>
    </row>
    <row r="1251" spans="1:7" ht="10.5" customHeight="1"/>
    <row r="1252" spans="1:7" ht="14.25">
      <c r="A1252" s="271"/>
      <c r="B1252" s="609" t="s">
        <v>124</v>
      </c>
      <c r="D1252" s="1003" t="s">
        <v>1134</v>
      </c>
      <c r="E1252" s="1003"/>
      <c r="F1252" s="1003"/>
    </row>
    <row r="1253" spans="1:7" ht="12.75">
      <c r="E1253" s="1016" t="s">
        <v>2099</v>
      </c>
      <c r="F1253" s="1016"/>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79" zoomScaleNormal="100" workbookViewId="0">
      <selection activeCell="G592" sqref="G592"/>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5" customHeight="1">
      <c r="A10" s="1063" t="s">
        <v>2306</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5" customHeight="1">
      <c r="A11" s="1064" t="s">
        <v>2320</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5" customHeight="1">
      <c r="A12" s="969" t="s">
        <v>1875</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5"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1" t="s">
        <v>2321</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row r="17" spans="1:46" ht="12.95" customHeight="1">
      <c r="A17" s="63" t="s">
        <v>793</v>
      </c>
      <c r="C17" s="5"/>
      <c r="D17" s="5"/>
      <c r="E17" s="5"/>
      <c r="F17" s="5"/>
      <c r="G17" s="5"/>
      <c r="H17" s="1322" t="s">
        <v>2322</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5" customHeight="1"/>
    <row r="19" spans="1:46" ht="12.95"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5" customHeight="1">
      <c r="A20" s="1415" t="s">
        <v>1352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3" t="s">
        <v>2255</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5"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1499416</v>
      </c>
      <c r="N25" s="1417"/>
      <c r="O25" s="1417"/>
      <c r="P25" s="1417"/>
      <c r="Q25" s="1417"/>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3902481</v>
      </c>
      <c r="N27" s="1417"/>
      <c r="O27" s="1417"/>
      <c r="P27" s="1417"/>
      <c r="Q27" s="1417"/>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3" t="s">
        <v>2256</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5"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5"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6" t="s">
        <v>108</v>
      </c>
      <c r="P33" s="1116"/>
      <c r="Q33" s="1065" t="s">
        <v>2257</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5" customHeight="1">
      <c r="A34" s="989" t="s">
        <v>2258</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5"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5"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5"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5" customHeight="1">
      <c r="AM38" s="19"/>
    </row>
    <row r="39" spans="1:46" s="776" customFormat="1" ht="12.95" customHeight="1">
      <c r="A39" s="993" t="s">
        <v>2259</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5"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5"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5"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5"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5"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5"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5"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3" t="s">
        <v>2260</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5"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3" t="s">
        <v>2261</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5"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5"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5"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3" t="s">
        <v>2263</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3" t="s">
        <v>2266</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3" t="s">
        <v>2268</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5"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3" t="s">
        <v>2269</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3" t="s">
        <v>2270</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3" t="s">
        <v>2271</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5"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5" customHeight="1">
      <c r="AM87" s="19"/>
    </row>
    <row r="88" spans="1:16384" s="210" customFormat="1" ht="12.95" customHeight="1">
      <c r="A88" s="993" t="s">
        <v>2272</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5"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1" t="s">
        <v>2273</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5"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5"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5"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5"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5"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5"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5"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5"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5"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3" t="s">
        <v>2274</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3" t="s">
        <v>2275</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5"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3" t="s">
        <v>2276</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5"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4"/>
      <c r="H115" s="1114"/>
      <c r="I115" s="41" t="s">
        <v>412</v>
      </c>
      <c r="J115" s="41"/>
      <c r="L115" s="1342"/>
      <c r="M115" s="1342"/>
      <c r="N115" s="1342"/>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2" t="s">
        <v>2323</v>
      </c>
      <c r="D117" s="1342"/>
      <c r="E117" s="1342"/>
      <c r="F117" s="1342"/>
      <c r="G117" s="1342"/>
      <c r="H117" s="1342"/>
      <c r="I117" s="1342"/>
      <c r="J117" s="1342"/>
      <c r="K117" s="1342"/>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4"/>
      <c r="Z118" s="1054"/>
      <c r="AA118" s="1054"/>
      <c r="AB118" s="1054"/>
      <c r="AC118" s="1054"/>
      <c r="AD118" s="1054"/>
      <c r="AE118" s="1054"/>
      <c r="AF118" s="1054"/>
      <c r="AG118" s="1054"/>
      <c r="AH118" s="1054"/>
      <c r="AI118" s="1054"/>
      <c r="AJ118" s="1054"/>
      <c r="AK118" s="1054"/>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4"/>
      <c r="Z121" s="1054"/>
      <c r="AA121" s="1054"/>
      <c r="AB121" s="1054"/>
      <c r="AC121" s="1054"/>
      <c r="AD121" s="1054"/>
      <c r="AE121" s="1054"/>
      <c r="AF121" s="1054"/>
      <c r="AG121" s="1054"/>
      <c r="AH121" s="1054"/>
      <c r="AI121" s="1054"/>
      <c r="AJ121" s="1054"/>
      <c r="AK121" s="1054"/>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4" t="s">
        <v>2324</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2.95" customHeight="1">
      <c r="D157" s="339" t="s">
        <v>543</v>
      </c>
      <c r="O157" s="1316" t="s">
        <v>2325</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5" customHeight="1">
      <c r="D159" t="s">
        <v>647</v>
      </c>
      <c r="O159" s="1057" t="s">
        <v>2326</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2.95" customHeight="1">
      <c r="D160" t="s">
        <v>648</v>
      </c>
      <c r="O160" s="1054" t="s">
        <v>2327</v>
      </c>
      <c r="P160" s="1054"/>
      <c r="Q160" s="1054"/>
      <c r="R160" s="1054"/>
      <c r="S160" s="1054"/>
      <c r="T160" s="1054"/>
      <c r="U160" s="1054"/>
      <c r="V160" s="1054"/>
      <c r="W160" s="1054"/>
      <c r="X160" s="1054"/>
      <c r="Y160" s="12"/>
      <c r="Z160" s="12"/>
      <c r="AA160" s="12"/>
      <c r="AB160" s="12"/>
      <c r="AC160" s="12"/>
      <c r="AD160" s="12"/>
      <c r="AE160" s="12"/>
      <c r="AF160" s="12"/>
      <c r="BN160" s="30" t="s">
        <v>75</v>
      </c>
      <c r="BT160" t="s">
        <v>385</v>
      </c>
    </row>
    <row r="161" spans="1:72" ht="12.95" customHeight="1">
      <c r="D161" t="s">
        <v>649</v>
      </c>
      <c r="O161" s="1329">
        <v>95670</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7" t="s">
        <v>2328</v>
      </c>
      <c r="P162" s="1317"/>
      <c r="Q162" s="1317"/>
      <c r="R162" s="1317"/>
      <c r="S162" s="1317"/>
      <c r="T162" s="1317"/>
      <c r="V162" s="179" t="s">
        <v>12</v>
      </c>
      <c r="W162" s="1330"/>
      <c r="X162" s="1330"/>
      <c r="Y162" s="14"/>
      <c r="Z162" s="14"/>
      <c r="AA162" s="14"/>
      <c r="AB162" s="14"/>
      <c r="AC162" s="14"/>
      <c r="AD162" s="14"/>
      <c r="AE162" s="14"/>
      <c r="AF162" s="14"/>
      <c r="BJ162" t="s">
        <v>108</v>
      </c>
      <c r="BN162" s="30" t="s">
        <v>77</v>
      </c>
      <c r="BT162" t="s">
        <v>387</v>
      </c>
    </row>
    <row r="163" spans="1:72" ht="12.95" customHeight="1">
      <c r="D163" t="s">
        <v>651</v>
      </c>
      <c r="O163" s="1317" t="s">
        <v>2329</v>
      </c>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5" customHeight="1">
      <c r="D164" t="s">
        <v>652</v>
      </c>
      <c r="O164" s="1061" t="s">
        <v>2330</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7" t="s">
        <v>2311</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60" customFormat="1" ht="12.95"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5" customHeight="1">
      <c r="C174" s="31"/>
      <c r="D174" t="s">
        <v>438</v>
      </c>
      <c r="U174" s="1116" t="s">
        <v>108</v>
      </c>
      <c r="V174" s="1116"/>
      <c r="BN174" s="30" t="s">
        <v>594</v>
      </c>
      <c r="BT174" t="s">
        <v>399</v>
      </c>
    </row>
    <row r="175" spans="1:72" ht="12.95" customHeight="1">
      <c r="C175" s="12"/>
      <c r="D175" s="33"/>
      <c r="E175" t="s">
        <v>230</v>
      </c>
      <c r="O175" s="34"/>
      <c r="P175" t="s">
        <v>2107</v>
      </c>
      <c r="T175" s="34" t="s">
        <v>231</v>
      </c>
      <c r="U175" s="1101">
        <v>23</v>
      </c>
      <c r="V175" s="1101"/>
      <c r="W175" s="1" t="s">
        <v>232</v>
      </c>
      <c r="X175" s="1343">
        <v>21</v>
      </c>
      <c r="Y175" s="1343"/>
      <c r="BN175" s="30" t="s">
        <v>595</v>
      </c>
      <c r="BT175" t="s">
        <v>400</v>
      </c>
    </row>
    <row r="176" spans="1:72" ht="12.95" customHeight="1">
      <c r="C176" s="31"/>
      <c r="D176" t="s">
        <v>279</v>
      </c>
      <c r="U176" s="1116" t="s">
        <v>482</v>
      </c>
      <c r="V176" s="1116"/>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3"/>
      <c r="K178" s="1333"/>
      <c r="L178" s="370" t="s">
        <v>232</v>
      </c>
      <c r="M178" s="1113"/>
      <c r="N178" s="1113"/>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6"/>
      <c r="Z180" s="1318"/>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5" t="str">
        <f>H17</f>
        <v xml:space="preserve">Crossings at Woodberry Way </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574</v>
      </c>
      <c r="BT184" t="s">
        <v>409</v>
      </c>
    </row>
    <row r="185" spans="1:72" ht="12.95" customHeight="1">
      <c r="C185" s="29"/>
      <c r="D185" t="s">
        <v>429</v>
      </c>
      <c r="I185" s="1055" t="s">
        <v>2331</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121</v>
      </c>
      <c r="BN185" s="30" t="s">
        <v>575</v>
      </c>
      <c r="BT185" t="s">
        <v>839</v>
      </c>
    </row>
    <row r="186" spans="1:72" ht="12.95" customHeight="1">
      <c r="C186" s="29"/>
      <c r="E186" t="s">
        <v>62</v>
      </c>
      <c r="BN186" s="30" t="s">
        <v>576</v>
      </c>
      <c r="BT186" t="s">
        <v>840</v>
      </c>
    </row>
    <row r="187" spans="1:72" ht="12.95"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5" customHeight="1">
      <c r="C189" s="29"/>
      <c r="D189" t="s">
        <v>430</v>
      </c>
      <c r="I189" s="1057" t="s">
        <v>2332</v>
      </c>
      <c r="J189" s="1057"/>
      <c r="K189" s="1057"/>
      <c r="L189" s="1057"/>
      <c r="M189" s="1057"/>
      <c r="N189" s="1057"/>
      <c r="O189" s="1057"/>
      <c r="P189" s="1057"/>
      <c r="Q189" t="s">
        <v>432</v>
      </c>
      <c r="T189" s="1057" t="s">
        <v>110</v>
      </c>
      <c r="U189" s="1057"/>
      <c r="V189" s="1057"/>
      <c r="W189" s="1057"/>
      <c r="X189" s="1057"/>
      <c r="Y189" s="1057"/>
      <c r="Z189" s="1057"/>
      <c r="AA189" s="1057"/>
      <c r="AB189" s="1057"/>
      <c r="AC189" s="1057"/>
      <c r="AD189" s="1057"/>
      <c r="AE189" s="1057"/>
      <c r="BC189" t="s">
        <v>79</v>
      </c>
      <c r="BH189" s="41" t="s">
        <v>124</v>
      </c>
      <c r="BN189" s="30" t="s">
        <v>580</v>
      </c>
      <c r="BT189" t="s">
        <v>109</v>
      </c>
    </row>
    <row r="190" spans="1:72" ht="12.95" customHeight="1">
      <c r="C190" s="29"/>
      <c r="D190" t="s">
        <v>433</v>
      </c>
      <c r="I190" s="1055">
        <v>95670</v>
      </c>
      <c r="J190" s="1055"/>
      <c r="K190" s="1055"/>
      <c r="L190" s="1055"/>
      <c r="M190" s="1055"/>
      <c r="N190" s="1055"/>
      <c r="O190" t="s">
        <v>435</v>
      </c>
      <c r="T190" s="1331">
        <v>89.05</v>
      </c>
      <c r="U190" s="1331"/>
      <c r="V190" s="1331"/>
      <c r="W190" s="1331"/>
      <c r="X190" s="1331"/>
      <c r="Y190" s="1331"/>
      <c r="Z190" s="1331"/>
      <c r="AA190" s="1331"/>
      <c r="AB190" s="1331"/>
      <c r="AC190" s="1331"/>
      <c r="AD190" s="1331"/>
      <c r="AE190" s="1331"/>
      <c r="BC190" t="s">
        <v>663</v>
      </c>
      <c r="BH190" t="s">
        <v>663</v>
      </c>
      <c r="BN190" s="30" t="s">
        <v>421</v>
      </c>
      <c r="BT190" t="s">
        <v>110</v>
      </c>
    </row>
    <row r="191" spans="1:72" ht="12.95" customHeight="1">
      <c r="C191" s="29"/>
      <c r="D191" t="s">
        <v>81</v>
      </c>
      <c r="N191" s="1335" t="s">
        <v>2333</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5" customHeight="1">
      <c r="C193" s="29"/>
      <c r="D193" t="s">
        <v>436</v>
      </c>
      <c r="T193" s="1116" t="s">
        <v>482</v>
      </c>
      <c r="U193" s="1116"/>
      <c r="W193" s="41" t="s">
        <v>1888</v>
      </c>
      <c r="AA193" s="1324"/>
      <c r="AB193" s="1324"/>
      <c r="AC193" s="1324"/>
      <c r="BC193" t="s">
        <v>564</v>
      </c>
      <c r="BH193" s="5" t="s">
        <v>1429</v>
      </c>
      <c r="BN193" s="30" t="s">
        <v>584</v>
      </c>
      <c r="BT193" t="s">
        <v>113</v>
      </c>
    </row>
    <row r="194" spans="1:73" ht="12.95" customHeight="1">
      <c r="C194" s="29"/>
      <c r="D194" t="s">
        <v>118</v>
      </c>
      <c r="T194" s="1143" t="s">
        <v>482</v>
      </c>
      <c r="U194" s="1143"/>
      <c r="W194" t="s">
        <v>63</v>
      </c>
      <c r="AI194" s="1116" t="s">
        <v>482</v>
      </c>
      <c r="AJ194" s="1116"/>
      <c r="AX194" s="5" t="s">
        <v>124</v>
      </c>
      <c r="BC194" t="s">
        <v>615</v>
      </c>
      <c r="BN194" s="30" t="s">
        <v>753</v>
      </c>
      <c r="BT194" t="s">
        <v>114</v>
      </c>
    </row>
    <row r="195" spans="1:73" ht="12.95" customHeight="1">
      <c r="C195" s="29"/>
      <c r="D195" s="41" t="s">
        <v>1735</v>
      </c>
      <c r="T195" s="1143" t="s">
        <v>482</v>
      </c>
      <c r="U195" s="1143"/>
      <c r="X195" s="797" t="s">
        <v>2109</v>
      </c>
      <c r="AX195" s="5" t="s">
        <v>1150</v>
      </c>
      <c r="BN195" s="30" t="s">
        <v>754</v>
      </c>
      <c r="BT195" t="s">
        <v>115</v>
      </c>
    </row>
    <row r="196" spans="1:73" ht="12.95" customHeight="1">
      <c r="C196" s="29"/>
      <c r="D196" s="5" t="s">
        <v>1155</v>
      </c>
      <c r="T196" s="1143" t="s">
        <v>482</v>
      </c>
      <c r="U196" s="1143"/>
      <c r="AK196" s="1323"/>
      <c r="AL196" s="1323"/>
      <c r="AX196" s="41" t="s">
        <v>2202</v>
      </c>
      <c r="BN196" s="30" t="s">
        <v>755</v>
      </c>
      <c r="BT196" t="s">
        <v>116</v>
      </c>
    </row>
    <row r="197" spans="1:73" ht="12.95" customHeight="1">
      <c r="C197" s="29"/>
      <c r="D197" s="41" t="s">
        <v>1889</v>
      </c>
      <c r="T197" s="1116" t="s">
        <v>482</v>
      </c>
      <c r="U197" s="1116"/>
      <c r="AX197" s="5" t="s">
        <v>1151</v>
      </c>
      <c r="BC197" t="s">
        <v>79</v>
      </c>
      <c r="BN197" s="30" t="s">
        <v>756</v>
      </c>
      <c r="BT197" t="s">
        <v>117</v>
      </c>
    </row>
    <row r="198" spans="1:73" ht="12.95" customHeight="1">
      <c r="C198" s="29"/>
      <c r="D198" s="41" t="s">
        <v>1917</v>
      </c>
      <c r="W198" s="1319" t="s">
        <v>482</v>
      </c>
      <c r="X198" s="1116"/>
      <c r="AX198" s="5" t="s">
        <v>1152</v>
      </c>
      <c r="BC198" t="s">
        <v>1103</v>
      </c>
      <c r="BN198" s="30" t="s">
        <v>757</v>
      </c>
      <c r="BT198" t="s">
        <v>803</v>
      </c>
    </row>
    <row r="199" spans="1:73" ht="12.95" customHeight="1">
      <c r="C199" s="29"/>
      <c r="L199" s="309"/>
      <c r="M199" s="309"/>
      <c r="N199" s="309"/>
      <c r="O199" s="309"/>
      <c r="P199" s="309"/>
      <c r="Q199" s="922" t="s">
        <v>2110</v>
      </c>
      <c r="R199" s="1322" t="s">
        <v>2024</v>
      </c>
      <c r="S199" s="1322"/>
      <c r="T199" s="1322"/>
      <c r="U199" s="1322"/>
      <c r="V199" s="1322"/>
      <c r="W199" s="1322"/>
      <c r="X199" s="1322"/>
      <c r="Y199" s="1322"/>
      <c r="Z199" s="1322"/>
      <c r="AA199" s="1322"/>
      <c r="AB199" s="1322"/>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5" t="str">
        <f>IF(AND(M25&gt;0,M27&gt;0),"Federal and State","Federal Only")</f>
        <v>Federal and State</v>
      </c>
      <c r="E203" s="1185"/>
      <c r="F203" s="1185"/>
      <c r="G203" s="1185"/>
      <c r="H203" s="1185"/>
      <c r="I203" s="1185"/>
      <c r="J203" s="1185"/>
      <c r="K203" s="1185"/>
      <c r="L203" s="1185"/>
      <c r="M203" s="1185"/>
      <c r="P203" s="1328">
        <f>M25</f>
        <v>1499416</v>
      </c>
      <c r="Q203" s="1328"/>
      <c r="R203" s="1328"/>
      <c r="S203" s="1328"/>
      <c r="T203" s="1328"/>
      <c r="U203" s="1328"/>
      <c r="W203" s="1328">
        <f>M27</f>
        <v>3902481</v>
      </c>
      <c r="X203" s="1328"/>
      <c r="Y203" s="1328"/>
      <c r="Z203" s="1328"/>
      <c r="AA203" s="1328"/>
      <c r="AB203" s="1328"/>
      <c r="AV203" t="s">
        <v>124</v>
      </c>
      <c r="AX203" s="5" t="s">
        <v>564</v>
      </c>
      <c r="BC203" t="s">
        <v>1434</v>
      </c>
      <c r="BN203" s="30" t="s">
        <v>661</v>
      </c>
      <c r="BT203" s="40" t="s">
        <v>808</v>
      </c>
      <c r="BU203" s="21"/>
    </row>
    <row r="204" spans="1:73" ht="12.95" customHeight="1">
      <c r="C204" s="29"/>
      <c r="P204" s="1419" t="s">
        <v>175</v>
      </c>
      <c r="Q204" s="1419"/>
      <c r="R204" s="1419"/>
      <c r="S204" s="1419"/>
      <c r="T204" s="1419"/>
      <c r="U204" s="1419"/>
      <c r="V204" s="36"/>
      <c r="W204" s="1419" t="s">
        <v>176</v>
      </c>
      <c r="X204" s="1419"/>
      <c r="Y204" s="1419"/>
      <c r="Z204" s="1419"/>
      <c r="AA204" s="1419"/>
      <c r="AB204" s="1419"/>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4" t="s">
        <v>2334</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2" t="s">
        <v>124</v>
      </c>
      <c r="E211" s="1054"/>
      <c r="F211" s="1054"/>
      <c r="G211" s="1054"/>
      <c r="H211" s="1054"/>
      <c r="I211" s="1054"/>
      <c r="J211" s="1054"/>
      <c r="K211" s="1054"/>
      <c r="L211" s="1054"/>
      <c r="M211" s="1054"/>
      <c r="N211" s="1054"/>
      <c r="O211" s="1054"/>
      <c r="P211" s="1054"/>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4" t="s">
        <v>663</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2022</v>
      </c>
      <c r="BC214" t="s">
        <v>630</v>
      </c>
      <c r="BN214" s="30" t="s">
        <v>443</v>
      </c>
      <c r="BT214" s="40" t="s">
        <v>817</v>
      </c>
    </row>
    <row r="215" spans="1:72" ht="12.95" customHeight="1">
      <c r="D215" s="35"/>
      <c r="E215" s="41" t="s">
        <v>2105</v>
      </c>
      <c r="AC215" s="1326"/>
      <c r="AD215" s="1326"/>
      <c r="AF215" s="1337">
        <f>IFERROR(AC215/AG433,"")</f>
        <v>0</v>
      </c>
      <c r="AG215" s="1337"/>
      <c r="AX215" t="s">
        <v>2023</v>
      </c>
      <c r="BC215" t="s">
        <v>627</v>
      </c>
    </row>
    <row r="216" spans="1:72" ht="12.95" customHeight="1">
      <c r="D216" s="35"/>
      <c r="E216" s="938" t="s">
        <v>1432</v>
      </c>
      <c r="AX216" t="s">
        <v>2024</v>
      </c>
      <c r="BC216" t="s">
        <v>744</v>
      </c>
    </row>
    <row r="217" spans="1:72" ht="12.95" customHeight="1">
      <c r="E217" s="1416" t="s">
        <v>124</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AX217" s="41" t="s">
        <v>2026</v>
      </c>
      <c r="BC217" t="s">
        <v>628</v>
      </c>
    </row>
    <row r="218" spans="1:72" ht="12.95" customHeight="1">
      <c r="E218" s="41" t="s">
        <v>1962</v>
      </c>
      <c r="AA218" s="49"/>
      <c r="AC218" s="1320"/>
      <c r="AD218" s="1320"/>
      <c r="AE218" s="1320"/>
      <c r="AF218" s="1320"/>
      <c r="AG218" s="1320"/>
      <c r="AH218" s="1320"/>
      <c r="AI218" s="1320"/>
      <c r="AJ218" s="1320"/>
      <c r="AK218" s="1320"/>
      <c r="AL218" s="1320"/>
      <c r="AM218" s="1320"/>
      <c r="BC218" t="s">
        <v>629</v>
      </c>
      <c r="BI218" s="39"/>
    </row>
    <row r="219" spans="1:72" ht="12.95" customHeight="1">
      <c r="E219" s="41" t="s">
        <v>1963</v>
      </c>
      <c r="AA219" s="49"/>
      <c r="AC219" s="1320"/>
      <c r="AD219" s="1320"/>
      <c r="AE219" s="1320"/>
      <c r="AF219" s="1320"/>
      <c r="AG219" s="1320"/>
      <c r="AH219" s="1320"/>
      <c r="AI219" s="1320"/>
      <c r="AJ219" s="1320"/>
      <c r="AK219" s="1320"/>
      <c r="AL219" s="1320"/>
      <c r="AM219" s="132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2" t="s">
        <v>1437</v>
      </c>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c r="AF223" s="1322"/>
      <c r="AG223" s="1322"/>
      <c r="AH223" s="1322"/>
      <c r="AI223" s="1322"/>
      <c r="AJ223" s="21"/>
      <c r="AK223" s="21"/>
      <c r="AL223" s="21"/>
    </row>
    <row r="224" spans="1:72" ht="12.95" customHeight="1">
      <c r="AJ224" s="5"/>
    </row>
    <row r="225" spans="1:59" ht="12.95" customHeight="1">
      <c r="D225" t="s">
        <v>557</v>
      </c>
      <c r="O225" s="1116">
        <v>6</v>
      </c>
      <c r="P225" s="1116"/>
    </row>
    <row r="226" spans="1:59" ht="12.95" customHeight="1">
      <c r="D226" t="s">
        <v>558</v>
      </c>
      <c r="O226" s="1116">
        <v>7</v>
      </c>
      <c r="P226" s="1116"/>
      <c r="BB226" s="5" t="s">
        <v>638</v>
      </c>
      <c r="BG226" s="410">
        <f>IF(AND(AND($M$251="for profit",$M$259="for profit",$M$267="nonprofit")),2,0)</f>
        <v>0</v>
      </c>
    </row>
    <row r="227" spans="1:59" ht="12.95" customHeight="1">
      <c r="D227" t="s">
        <v>559</v>
      </c>
      <c r="O227" s="1116">
        <v>6</v>
      </c>
      <c r="P227" s="1116"/>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2</v>
      </c>
    </row>
    <row r="231" spans="1:59" ht="12.95"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5"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8" t="str">
        <f>H15</f>
        <v xml:space="preserve">A0575 Rancho Cordova, L.P. </v>
      </c>
      <c r="N235" s="1418"/>
      <c r="O235" s="1418"/>
      <c r="P235" s="1418"/>
      <c r="Q235" s="1418"/>
      <c r="R235" s="1418"/>
      <c r="S235" s="1418"/>
      <c r="T235" s="1418"/>
      <c r="U235" s="1418"/>
      <c r="V235" s="1418"/>
      <c r="W235" s="1418"/>
      <c r="X235" s="1418"/>
      <c r="Y235" s="1418"/>
      <c r="Z235" s="1418"/>
      <c r="AA235" s="1418"/>
      <c r="AB235" s="1418"/>
      <c r="AC235" s="1418"/>
      <c r="AD235" s="1418"/>
      <c r="AE235" s="1418"/>
      <c r="AF235" s="1418"/>
      <c r="AG235" s="1418"/>
      <c r="AH235" s="1418"/>
      <c r="AI235" s="1418"/>
      <c r="AJ235" s="1418"/>
      <c r="AK235" s="1418"/>
      <c r="BB235" s="3"/>
      <c r="BG235" s="5"/>
    </row>
    <row r="236" spans="1:59" ht="12.95" customHeight="1">
      <c r="D236" s="5" t="s">
        <v>372</v>
      </c>
      <c r="E236" s="5"/>
      <c r="F236" s="5"/>
      <c r="G236" s="5"/>
      <c r="H236" s="5"/>
      <c r="I236" s="5"/>
      <c r="J236" s="5"/>
      <c r="K236" s="5"/>
      <c r="M236" s="1054" t="s">
        <v>2335</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2.95" customHeight="1">
      <c r="D237" s="5" t="s">
        <v>430</v>
      </c>
      <c r="E237" s="5"/>
      <c r="M237" s="1054" t="s">
        <v>2336</v>
      </c>
      <c r="N237" s="1054"/>
      <c r="O237" s="1054"/>
      <c r="P237" s="1054"/>
      <c r="Q237" s="1054"/>
      <c r="R237" s="1054"/>
      <c r="S237" s="1054"/>
      <c r="T237" s="1054"/>
      <c r="V237" s="42" t="s">
        <v>373</v>
      </c>
      <c r="W237" s="1315" t="s">
        <v>2341</v>
      </c>
      <c r="X237" s="1316"/>
      <c r="Y237" s="5" t="s">
        <v>433</v>
      </c>
      <c r="AC237" s="1054">
        <v>92705</v>
      </c>
      <c r="AD237" s="1054"/>
      <c r="AE237" s="1054"/>
      <c r="AN237" s="41"/>
      <c r="BB237" t="s">
        <v>637</v>
      </c>
      <c r="BG237" s="410">
        <f>IF(AND(AND($M$251="nonprofit",$M$259="nonprofit",$M$267="(select one)")),1,0)</f>
        <v>0</v>
      </c>
    </row>
    <row r="238" spans="1:59" ht="12.95" customHeight="1">
      <c r="D238" s="5" t="s">
        <v>374</v>
      </c>
      <c r="E238" s="5"/>
      <c r="F238" s="5"/>
      <c r="G238" s="5"/>
      <c r="H238" s="5"/>
      <c r="I238" s="5"/>
      <c r="J238" s="5"/>
      <c r="K238" s="28"/>
      <c r="M238" s="1054" t="s">
        <v>2337</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0</v>
      </c>
    </row>
    <row r="239" spans="1:59" ht="12.95" customHeight="1">
      <c r="D239" s="5" t="s">
        <v>375</v>
      </c>
      <c r="E239" s="5"/>
      <c r="F239" s="5"/>
      <c r="M239" s="1059" t="s">
        <v>2338</v>
      </c>
      <c r="N239" s="1059"/>
      <c r="O239" s="1059"/>
      <c r="P239" s="1059"/>
      <c r="Q239" s="1059"/>
      <c r="R239" s="1059"/>
      <c r="S239" s="5" t="s">
        <v>818</v>
      </c>
      <c r="T239" s="5"/>
      <c r="U239" s="1316">
        <v>106</v>
      </c>
      <c r="V239" s="1316"/>
      <c r="W239" s="1316"/>
      <c r="X239" s="5" t="s">
        <v>376</v>
      </c>
      <c r="Z239" s="1059" t="s">
        <v>2340</v>
      </c>
      <c r="AA239" s="1059"/>
      <c r="AB239" s="1059"/>
      <c r="AC239" s="1059"/>
      <c r="AD239" s="1059"/>
      <c r="AE239" s="1059"/>
      <c r="AM239" s="41"/>
      <c r="AN239" s="41"/>
      <c r="BB239" t="s">
        <v>1009</v>
      </c>
      <c r="BG239" s="410">
        <f>IF(AND(AND($M$251="for profit",$M$259="for profit",$M$267="for profit")),3,0)</f>
        <v>0</v>
      </c>
    </row>
    <row r="240" spans="1:59" ht="12.95" customHeight="1">
      <c r="D240" s="5" t="s">
        <v>377</v>
      </c>
      <c r="E240" s="5"/>
      <c r="F240" s="5"/>
      <c r="M240" s="1061" t="s">
        <v>2339</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5" t="s">
        <v>628</v>
      </c>
      <c r="N241" s="1055"/>
      <c r="O241" s="1055"/>
      <c r="P241" s="1055"/>
      <c r="Q241" s="1055"/>
      <c r="R241" s="1055"/>
      <c r="S241" s="1055"/>
      <c r="T241" s="1055"/>
      <c r="U241" s="5" t="s">
        <v>1144</v>
      </c>
      <c r="AA241" s="1147" t="s">
        <v>124</v>
      </c>
      <c r="AB241" s="1058"/>
      <c r="AC241" s="1058"/>
      <c r="AD241" s="1058"/>
      <c r="AE241" s="1058"/>
      <c r="AF241" s="1058"/>
      <c r="AG241" s="1058"/>
      <c r="AH241" s="1058"/>
      <c r="AI241" s="1058"/>
      <c r="AJ241" s="1058"/>
      <c r="AK241" s="1058"/>
      <c r="AL241" s="41"/>
      <c r="AM241" s="5"/>
      <c r="AN241" s="41"/>
      <c r="AO241" s="41"/>
      <c r="BB241" t="s">
        <v>1009</v>
      </c>
      <c r="BG241" s="411">
        <f>IF(AND(AND($M$251="for profit",$M$259="(select one)",$M$267="(select one)")),3,0)</f>
        <v>0</v>
      </c>
    </row>
    <row r="242" spans="1:67" ht="12.95" customHeight="1">
      <c r="D242" t="s">
        <v>631</v>
      </c>
      <c r="M242" s="1322"/>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1" t="s">
        <v>2342</v>
      </c>
      <c r="N245" s="1321"/>
      <c r="O245" s="1321"/>
      <c r="P245" s="1321"/>
      <c r="Q245" s="1321"/>
      <c r="R245" s="1321"/>
      <c r="S245" s="1321"/>
      <c r="T245" s="1321"/>
      <c r="U245" s="1321"/>
      <c r="V245" s="1321"/>
      <c r="W245" s="1321"/>
      <c r="X245" s="1321"/>
      <c r="Y245" s="1321"/>
      <c r="Z245" s="1321"/>
      <c r="AA245" s="1321"/>
      <c r="AB245" s="1321"/>
      <c r="AC245" s="1321"/>
      <c r="AD245" s="1321"/>
      <c r="AE245" s="1321"/>
      <c r="AF245" s="1325" t="s">
        <v>2344</v>
      </c>
      <c r="AG245" s="1325"/>
      <c r="AH245" s="1325"/>
      <c r="AI245" s="1325"/>
      <c r="AJ245" s="1325"/>
      <c r="AK245" s="1325"/>
      <c r="AM245" s="5"/>
      <c r="AN245" s="41"/>
      <c r="BB245" s="5" t="s">
        <v>892</v>
      </c>
      <c r="BH245">
        <v>2</v>
      </c>
      <c r="BI245" t="s">
        <v>744</v>
      </c>
      <c r="BO245" s="412" t="str">
        <f>IFERROR(VLOOKUP(AZ260,BH244:BI246,2,FALSE),"")</f>
        <v>Joint Venture</v>
      </c>
    </row>
    <row r="246" spans="1:67" ht="12.95" customHeight="1">
      <c r="A246" s="28"/>
      <c r="B246" s="5"/>
      <c r="C246" s="5"/>
      <c r="D246" s="5" t="s">
        <v>372</v>
      </c>
      <c r="E246" s="5"/>
      <c r="F246" s="5"/>
      <c r="G246" s="5"/>
      <c r="H246" s="5"/>
      <c r="I246" s="5"/>
      <c r="J246" s="5"/>
      <c r="K246" s="5"/>
      <c r="L246" s="5"/>
      <c r="M246" s="1054" t="s">
        <v>2343</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2.95" customHeight="1">
      <c r="A247" s="28"/>
      <c r="B247" s="5"/>
      <c r="C247" s="5"/>
      <c r="D247" s="5" t="s">
        <v>430</v>
      </c>
      <c r="E247" s="5"/>
      <c r="M247" s="1054" t="s">
        <v>2336</v>
      </c>
      <c r="N247" s="1054"/>
      <c r="O247" s="1054"/>
      <c r="P247" s="1054"/>
      <c r="Q247" s="1054"/>
      <c r="R247" s="1054"/>
      <c r="S247" s="1054"/>
      <c r="T247" s="1054"/>
      <c r="V247" s="42" t="s">
        <v>373</v>
      </c>
      <c r="W247" s="1315" t="s">
        <v>2341</v>
      </c>
      <c r="X247" s="1316"/>
      <c r="Y247" s="5" t="s">
        <v>433</v>
      </c>
      <c r="AC247" s="1054">
        <v>92705</v>
      </c>
      <c r="AD247" s="1054"/>
      <c r="AE247" s="1054"/>
      <c r="AN247" s="41"/>
    </row>
    <row r="248" spans="1:67" ht="12.95" customHeight="1">
      <c r="A248" s="28"/>
      <c r="B248" s="5"/>
      <c r="C248" s="5"/>
      <c r="D248" s="5" t="s">
        <v>374</v>
      </c>
      <c r="E248" s="5"/>
      <c r="F248" s="5"/>
      <c r="G248" s="5"/>
      <c r="H248" s="5"/>
      <c r="I248" s="5"/>
      <c r="J248" s="5"/>
      <c r="K248" s="5"/>
      <c r="L248" s="28"/>
      <c r="M248" s="1054" t="s">
        <v>2337</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5" customHeight="1">
      <c r="A249" s="28"/>
      <c r="B249" s="5"/>
      <c r="C249" s="5"/>
      <c r="D249" s="5" t="s">
        <v>375</v>
      </c>
      <c r="E249" s="5"/>
      <c r="F249" s="5"/>
      <c r="M249" s="1059" t="s">
        <v>2338</v>
      </c>
      <c r="N249" s="1059"/>
      <c r="O249" s="1059"/>
      <c r="P249" s="1059"/>
      <c r="Q249" s="1059"/>
      <c r="R249" s="1059"/>
      <c r="S249" s="5" t="s">
        <v>818</v>
      </c>
      <c r="T249" s="5"/>
      <c r="U249" s="1316">
        <v>106</v>
      </c>
      <c r="V249" s="1316"/>
      <c r="W249" s="1316"/>
      <c r="X249" s="5" t="s">
        <v>376</v>
      </c>
      <c r="Z249" s="1059" t="s">
        <v>2340</v>
      </c>
      <c r="AA249" s="1059"/>
      <c r="AB249" s="1059"/>
      <c r="AC249" s="1059"/>
      <c r="AD249" s="1059"/>
      <c r="AE249" s="1059"/>
      <c r="AM249" s="5"/>
      <c r="AN249" s="41"/>
    </row>
    <row r="250" spans="1:67" ht="12.95" customHeight="1">
      <c r="A250" s="28"/>
      <c r="B250" s="5"/>
      <c r="C250" s="5"/>
      <c r="D250" s="5" t="s">
        <v>377</v>
      </c>
      <c r="E250" s="5"/>
      <c r="F250" s="5"/>
      <c r="M250" s="1061" t="s">
        <v>2339</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5" customHeight="1">
      <c r="A251" s="18"/>
      <c r="B251" s="5"/>
      <c r="C251" s="62"/>
      <c r="D251" s="5" t="s">
        <v>635</v>
      </c>
      <c r="E251" s="5"/>
      <c r="F251" s="5"/>
      <c r="G251" s="5"/>
      <c r="H251" s="5"/>
      <c r="I251" s="5"/>
      <c r="J251" s="5"/>
      <c r="K251" s="5"/>
      <c r="L251" s="5"/>
      <c r="M251" s="1055" t="s">
        <v>634</v>
      </c>
      <c r="N251" s="1055"/>
      <c r="O251" s="1055"/>
      <c r="P251" s="1055"/>
      <c r="Q251" s="1055"/>
      <c r="R251" s="1055"/>
      <c r="S251" s="1055"/>
      <c r="T251" s="1055"/>
      <c r="U251" s="5" t="s">
        <v>1144</v>
      </c>
      <c r="AA251" s="1058" t="s">
        <v>2345</v>
      </c>
      <c r="AB251" s="1058"/>
      <c r="AC251" s="1058"/>
      <c r="AD251" s="1058"/>
      <c r="AE251" s="1058"/>
      <c r="AF251" s="1058"/>
      <c r="AG251" s="1058"/>
      <c r="AH251" s="1058"/>
      <c r="AI251" s="1058"/>
      <c r="AJ251" s="1058"/>
      <c r="AK251" s="105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1" t="s">
        <v>2346</v>
      </c>
      <c r="N253" s="1321"/>
      <c r="O253" s="1321"/>
      <c r="P253" s="1321"/>
      <c r="Q253" s="1321"/>
      <c r="R253" s="1321"/>
      <c r="S253" s="1321"/>
      <c r="T253" s="1321"/>
      <c r="U253" s="1321"/>
      <c r="V253" s="1321"/>
      <c r="W253" s="1321"/>
      <c r="X253" s="1321"/>
      <c r="Y253" s="1321"/>
      <c r="Z253" s="1321"/>
      <c r="AA253" s="1321"/>
      <c r="AB253" s="1321"/>
      <c r="AC253" s="1321"/>
      <c r="AD253" s="1321"/>
      <c r="AE253" s="1321"/>
      <c r="AF253" s="1325" t="s">
        <v>2347</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054" t="s">
        <v>2343</v>
      </c>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5" customHeight="1">
      <c r="A255" s="28"/>
      <c r="B255" s="5"/>
      <c r="C255" s="5"/>
      <c r="D255" s="5" t="s">
        <v>430</v>
      </c>
      <c r="E255" s="5"/>
      <c r="M255" s="1054" t="s">
        <v>2336</v>
      </c>
      <c r="N255" s="1054"/>
      <c r="O255" s="1054"/>
      <c r="P255" s="1054"/>
      <c r="Q255" s="1054"/>
      <c r="R255" s="1054"/>
      <c r="S255" s="1054"/>
      <c r="T255" s="1054"/>
      <c r="V255" s="42" t="s">
        <v>373</v>
      </c>
      <c r="W255" s="1315" t="s">
        <v>2341</v>
      </c>
      <c r="X255" s="1316"/>
      <c r="Y255" s="5" t="s">
        <v>433</v>
      </c>
      <c r="AC255" s="1054">
        <v>92705</v>
      </c>
      <c r="AD255" s="1054"/>
      <c r="AE255" s="1054"/>
    </row>
    <row r="256" spans="1:67" ht="12.95" customHeight="1">
      <c r="A256" s="28"/>
      <c r="B256" s="5"/>
      <c r="C256" s="5"/>
      <c r="D256" s="5" t="s">
        <v>374</v>
      </c>
      <c r="E256" s="5"/>
      <c r="F256" s="5"/>
      <c r="G256" s="5"/>
      <c r="H256" s="5"/>
      <c r="I256" s="5"/>
      <c r="J256" s="5"/>
      <c r="K256" s="5"/>
      <c r="L256" s="28"/>
      <c r="M256" s="1054" t="s">
        <v>2337</v>
      </c>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5" customHeight="1">
      <c r="A257" s="28"/>
      <c r="B257" s="5"/>
      <c r="C257" s="5"/>
      <c r="D257" s="5" t="s">
        <v>375</v>
      </c>
      <c r="E257" s="5"/>
      <c r="F257" s="5"/>
      <c r="M257" s="1059" t="s">
        <v>2338</v>
      </c>
      <c r="N257" s="1059"/>
      <c r="O257" s="1059"/>
      <c r="P257" s="1059"/>
      <c r="Q257" s="1059"/>
      <c r="R257" s="1059"/>
      <c r="S257" s="5" t="s">
        <v>818</v>
      </c>
      <c r="T257" s="5"/>
      <c r="U257" s="1316">
        <v>106</v>
      </c>
      <c r="V257" s="1316"/>
      <c r="W257" s="1316"/>
      <c r="X257" s="5" t="s">
        <v>376</v>
      </c>
      <c r="Z257" s="1059" t="s">
        <v>2340</v>
      </c>
      <c r="AA257" s="1059"/>
      <c r="AB257" s="1059"/>
      <c r="AC257" s="1059"/>
      <c r="AD257" s="1059"/>
      <c r="AE257" s="1059"/>
      <c r="BA257" s="43"/>
    </row>
    <row r="258" spans="1:53" ht="12.95" customHeight="1">
      <c r="A258" s="28"/>
      <c r="B258" s="5"/>
      <c r="C258" s="5"/>
      <c r="D258" s="5" t="s">
        <v>377</v>
      </c>
      <c r="E258" s="5"/>
      <c r="F258" s="5"/>
      <c r="M258" s="1061" t="s">
        <v>2339</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5" customHeight="1">
      <c r="A259" s="18"/>
      <c r="B259" s="5"/>
      <c r="C259" s="62"/>
      <c r="D259" s="5" t="s">
        <v>635</v>
      </c>
      <c r="E259" s="5"/>
      <c r="F259" s="5"/>
      <c r="G259" s="5"/>
      <c r="H259" s="5"/>
      <c r="I259" s="5"/>
      <c r="J259" s="5"/>
      <c r="K259" s="5"/>
      <c r="L259" s="5"/>
      <c r="M259" s="1055" t="s">
        <v>636</v>
      </c>
      <c r="N259" s="1055"/>
      <c r="O259" s="1055"/>
      <c r="P259" s="1055"/>
      <c r="Q259" s="1055"/>
      <c r="R259" s="1055"/>
      <c r="S259" s="1055"/>
      <c r="T259" s="1055"/>
      <c r="U259" s="5" t="s">
        <v>1144</v>
      </c>
      <c r="AA259" s="1058" t="s">
        <v>2348</v>
      </c>
      <c r="AB259" s="1058"/>
      <c r="AC259" s="1058"/>
      <c r="AD259" s="1058"/>
      <c r="AE259" s="1058"/>
      <c r="AF259" s="1058"/>
      <c r="AG259" s="1058"/>
      <c r="AH259" s="1058"/>
      <c r="AI259" s="1058"/>
      <c r="AJ259" s="1058"/>
      <c r="AK259" s="105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5" customHeight="1">
      <c r="A263" s="18"/>
      <c r="B263" s="5"/>
      <c r="C263" s="5"/>
      <c r="D263" s="5" t="s">
        <v>430</v>
      </c>
      <c r="E263" s="5"/>
      <c r="M263" s="1054"/>
      <c r="N263" s="1054"/>
      <c r="O263" s="1054"/>
      <c r="P263" s="1054"/>
      <c r="Q263" s="1054"/>
      <c r="R263" s="1054"/>
      <c r="S263" s="1054"/>
      <c r="T263" s="1054"/>
      <c r="V263" s="42" t="s">
        <v>373</v>
      </c>
      <c r="W263" s="1316"/>
      <c r="X263" s="1316"/>
      <c r="Y263" s="5" t="s">
        <v>433</v>
      </c>
      <c r="AC263" s="1054"/>
      <c r="AD263" s="1054"/>
      <c r="AE263" s="1054"/>
      <c r="AL263" s="41"/>
      <c r="BA263" s="43"/>
    </row>
    <row r="264" spans="1:53" ht="12.95"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5" customHeight="1">
      <c r="A265" s="18"/>
      <c r="B265" s="5"/>
      <c r="C265" s="5"/>
      <c r="D265" s="5" t="s">
        <v>375</v>
      </c>
      <c r="E265" s="5"/>
      <c r="F265" s="5"/>
      <c r="M265" s="1059"/>
      <c r="N265" s="1059"/>
      <c r="O265" s="1059"/>
      <c r="P265" s="1059"/>
      <c r="Q265" s="1059"/>
      <c r="R265" s="1059"/>
      <c r="S265" s="5" t="s">
        <v>818</v>
      </c>
      <c r="T265" s="5"/>
      <c r="U265" s="1316"/>
      <c r="V265" s="1316"/>
      <c r="W265" s="1316"/>
      <c r="X265" s="5" t="s">
        <v>376</v>
      </c>
      <c r="Z265" s="1059"/>
      <c r="AA265" s="1059"/>
      <c r="AB265" s="1059"/>
      <c r="AC265" s="1059"/>
      <c r="AD265" s="1059"/>
      <c r="AE265" s="1059"/>
      <c r="AL265" s="41"/>
      <c r="BA265" s="43"/>
    </row>
    <row r="266" spans="1:53" ht="12.95" customHeight="1">
      <c r="A266" s="18"/>
      <c r="B266" s="5"/>
      <c r="C266" s="5"/>
      <c r="D266" s="5" t="s">
        <v>377</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5" t="s">
        <v>79</v>
      </c>
      <c r="N267" s="1055"/>
      <c r="O267" s="1055"/>
      <c r="P267" s="1055"/>
      <c r="Q267" s="1055"/>
      <c r="R267" s="1055"/>
      <c r="S267" s="1055"/>
      <c r="T267" s="1055"/>
      <c r="U267" s="5" t="s">
        <v>1144</v>
      </c>
      <c r="AA267" s="1058"/>
      <c r="AB267" s="1058"/>
      <c r="AC267" s="1058"/>
      <c r="AD267" s="1058"/>
      <c r="AE267" s="1058"/>
      <c r="AF267" s="1058"/>
      <c r="AG267" s="1058"/>
      <c r="AH267" s="1058"/>
      <c r="AI267" s="1058"/>
      <c r="AJ267" s="1058"/>
      <c r="AK267" s="105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0" t="str">
        <f>BO245</f>
        <v>Joint Venture</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4" t="s">
        <v>892</v>
      </c>
      <c r="E272" s="1054"/>
      <c r="F272" s="1054"/>
      <c r="G272" s="1054"/>
      <c r="H272" s="1054"/>
      <c r="J272" t="s">
        <v>891</v>
      </c>
      <c r="X272" s="1345"/>
      <c r="Y272" s="1345"/>
      <c r="Z272" s="1345"/>
      <c r="AA272" s="1345"/>
      <c r="AB272" s="1345"/>
      <c r="AC272" s="134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5" t="s">
        <v>2349</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372</v>
      </c>
      <c r="E277" s="5"/>
      <c r="F277" s="5"/>
      <c r="G277" s="5"/>
      <c r="H277" s="5"/>
      <c r="I277" s="5"/>
      <c r="J277" s="5"/>
      <c r="K277" s="5"/>
      <c r="L277" s="1054" t="s">
        <v>2350</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5" customHeight="1">
      <c r="D278" s="5" t="s">
        <v>430</v>
      </c>
      <c r="E278" s="5"/>
      <c r="L278" s="1054" t="s">
        <v>2336</v>
      </c>
      <c r="M278" s="1054"/>
      <c r="N278" s="1054"/>
      <c r="O278" s="1054"/>
      <c r="P278" s="1054"/>
      <c r="Q278" s="1054"/>
      <c r="R278" s="1054"/>
      <c r="S278" s="1054"/>
      <c r="U278" s="42" t="s">
        <v>373</v>
      </c>
      <c r="V278" s="1315" t="s">
        <v>2341</v>
      </c>
      <c r="W278" s="1316"/>
      <c r="X278" s="5" t="s">
        <v>433</v>
      </c>
      <c r="AB278" s="1054">
        <v>92705</v>
      </c>
      <c r="AC278" s="1054"/>
      <c r="AD278" s="1054"/>
      <c r="AK278" s="41"/>
      <c r="AL278" s="41"/>
      <c r="BA278" s="43"/>
    </row>
    <row r="279" spans="1:53" ht="12.95" customHeight="1">
      <c r="D279" s="5" t="s">
        <v>374</v>
      </c>
      <c r="E279" s="5"/>
      <c r="F279" s="5"/>
      <c r="G279" s="5"/>
      <c r="H279" s="5"/>
      <c r="I279" s="5"/>
      <c r="J279" s="5"/>
      <c r="K279" s="28"/>
      <c r="L279" s="1054" t="s">
        <v>2351</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5" customHeight="1">
      <c r="D280" s="5" t="s">
        <v>375</v>
      </c>
      <c r="E280" s="5"/>
      <c r="F280" s="5"/>
      <c r="L280" s="1059" t="s">
        <v>2352</v>
      </c>
      <c r="M280" s="1059"/>
      <c r="N280" s="1059"/>
      <c r="O280" s="1059"/>
      <c r="P280" s="1059"/>
      <c r="Q280" s="1059"/>
      <c r="R280" s="5" t="s">
        <v>818</v>
      </c>
      <c r="S280" s="5"/>
      <c r="T280" s="1316">
        <v>114</v>
      </c>
      <c r="U280" s="1316"/>
      <c r="V280" s="1316"/>
      <c r="W280" s="5" t="s">
        <v>376</v>
      </c>
      <c r="Y280" s="1059" t="s">
        <v>2340</v>
      </c>
      <c r="Z280" s="1059"/>
      <c r="AA280" s="1059"/>
      <c r="AB280" s="1059"/>
      <c r="AC280" s="1059"/>
      <c r="AD280" s="1059"/>
      <c r="BA280" s="43"/>
    </row>
    <row r="281" spans="1:53" ht="12.95" customHeight="1">
      <c r="D281" s="5" t="s">
        <v>377</v>
      </c>
      <c r="E281" s="5"/>
      <c r="F281" s="5"/>
      <c r="L281" s="1061" t="s">
        <v>2353</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5" customHeight="1">
      <c r="D282" s="41" t="s">
        <v>186</v>
      </c>
      <c r="E282" s="41"/>
      <c r="F282" s="41"/>
      <c r="G282" s="41"/>
      <c r="H282" s="41"/>
      <c r="I282" s="41"/>
      <c r="L282" s="1315" t="s">
        <v>2354</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5"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7" t="s">
        <v>2356</v>
      </c>
      <c r="I289" s="1057"/>
      <c r="J289" s="1057"/>
      <c r="K289" s="1057"/>
      <c r="L289" s="1057"/>
      <c r="M289" s="1057"/>
      <c r="N289" s="1057"/>
      <c r="O289" s="1057"/>
      <c r="P289" s="1057"/>
      <c r="Q289" s="1057"/>
      <c r="R289" s="1057"/>
      <c r="T289" s="41" t="s">
        <v>745</v>
      </c>
      <c r="V289" s="41"/>
      <c r="W289" s="41"/>
      <c r="X289" s="41"/>
      <c r="Y289" s="41"/>
      <c r="AA289" s="1057" t="s">
        <v>2359</v>
      </c>
      <c r="AB289" s="1057"/>
      <c r="AC289" s="1057"/>
      <c r="AD289" s="1057"/>
      <c r="AE289" s="1057"/>
      <c r="AF289" s="1057"/>
      <c r="AG289" s="1057"/>
      <c r="AH289" s="1057"/>
      <c r="AI289" s="1057"/>
      <c r="AJ289" s="1057"/>
      <c r="AK289" s="1057"/>
      <c r="BA289" s="43"/>
    </row>
    <row r="290" spans="2:53" ht="12.95" customHeight="1">
      <c r="B290" s="41" t="s">
        <v>699</v>
      </c>
      <c r="C290" s="41"/>
      <c r="D290" s="41"/>
      <c r="E290" s="41"/>
      <c r="F290" s="41"/>
      <c r="H290" s="1055" t="s">
        <v>2335</v>
      </c>
      <c r="I290" s="1055"/>
      <c r="J290" s="1055"/>
      <c r="K290" s="1055"/>
      <c r="L290" s="1055"/>
      <c r="M290" s="1055"/>
      <c r="N290" s="1055"/>
      <c r="O290" s="1055"/>
      <c r="P290" s="1055"/>
      <c r="Q290" s="1055"/>
      <c r="R290" s="1055"/>
      <c r="T290" s="41" t="s">
        <v>699</v>
      </c>
      <c r="V290" s="41"/>
      <c r="W290" s="41"/>
      <c r="X290" s="41"/>
      <c r="Y290" s="41"/>
      <c r="AA290" s="1055" t="s">
        <v>2360</v>
      </c>
      <c r="AB290" s="1055"/>
      <c r="AC290" s="1055"/>
      <c r="AD290" s="1055"/>
      <c r="AE290" s="1055"/>
      <c r="AF290" s="1055"/>
      <c r="AG290" s="1055"/>
      <c r="AH290" s="1055"/>
      <c r="AI290" s="1055"/>
      <c r="AJ290" s="1055"/>
      <c r="AK290" s="1055"/>
      <c r="BA290" s="43"/>
    </row>
    <row r="291" spans="2:53" ht="12.95" customHeight="1">
      <c r="B291" s="41" t="s">
        <v>701</v>
      </c>
      <c r="C291" s="41"/>
      <c r="D291" s="41"/>
      <c r="E291" s="41"/>
      <c r="F291" s="41"/>
      <c r="H291" s="1055" t="s">
        <v>2357</v>
      </c>
      <c r="I291" s="1055"/>
      <c r="J291" s="1055"/>
      <c r="K291" s="1055"/>
      <c r="L291" s="1055"/>
      <c r="M291" s="1055"/>
      <c r="N291" s="1055"/>
      <c r="O291" s="1055"/>
      <c r="P291" s="1055"/>
      <c r="Q291" s="1055"/>
      <c r="R291" s="1055"/>
      <c r="T291" s="41" t="s">
        <v>700</v>
      </c>
      <c r="V291" s="41"/>
      <c r="W291" s="41"/>
      <c r="X291" s="41"/>
      <c r="Y291" s="41"/>
      <c r="AA291" s="1055" t="s">
        <v>2361</v>
      </c>
      <c r="AB291" s="1055"/>
      <c r="AC291" s="1055"/>
      <c r="AD291" s="1055"/>
      <c r="AE291" s="1055"/>
      <c r="AF291" s="1055"/>
      <c r="AG291" s="1055"/>
      <c r="AH291" s="1055"/>
      <c r="AI291" s="1055"/>
      <c r="AJ291" s="1055"/>
      <c r="AK291" s="1055"/>
      <c r="BA291" s="43"/>
    </row>
    <row r="292" spans="2:53" ht="12.95" customHeight="1">
      <c r="B292" s="41" t="s">
        <v>374</v>
      </c>
      <c r="C292" s="41"/>
      <c r="D292" s="41"/>
      <c r="E292" s="41"/>
      <c r="F292" s="41"/>
      <c r="H292" s="1055" t="s">
        <v>2337</v>
      </c>
      <c r="I292" s="1055"/>
      <c r="J292" s="1055"/>
      <c r="K292" s="1055"/>
      <c r="L292" s="1055"/>
      <c r="M292" s="1055"/>
      <c r="N292" s="1055"/>
      <c r="O292" s="1055"/>
      <c r="P292" s="1055"/>
      <c r="Q292" s="1055"/>
      <c r="R292" s="1055"/>
      <c r="T292" s="41" t="s">
        <v>374</v>
      </c>
      <c r="V292" s="41"/>
      <c r="W292" s="41"/>
      <c r="X292" s="41"/>
      <c r="Y292" s="41"/>
      <c r="AA292" s="1055" t="s">
        <v>2362</v>
      </c>
      <c r="AB292" s="1055"/>
      <c r="AC292" s="1055"/>
      <c r="AD292" s="1055"/>
      <c r="AE292" s="1055"/>
      <c r="AF292" s="1055"/>
      <c r="AG292" s="1055"/>
      <c r="AH292" s="1055"/>
      <c r="AI292" s="1055"/>
      <c r="AJ292" s="1055"/>
      <c r="AK292" s="1055"/>
      <c r="BA292" s="43"/>
    </row>
    <row r="293" spans="2:53" ht="12.95" customHeight="1">
      <c r="B293" s="41" t="s">
        <v>375</v>
      </c>
      <c r="C293" s="41"/>
      <c r="D293" s="41"/>
      <c r="E293" s="41"/>
      <c r="F293" s="41"/>
      <c r="G293" s="41"/>
      <c r="H293" s="1058" t="s">
        <v>2358</v>
      </c>
      <c r="I293" s="1058"/>
      <c r="J293" s="1058"/>
      <c r="K293" s="1058"/>
      <c r="L293" s="1058"/>
      <c r="M293" s="1058"/>
      <c r="N293" s="5" t="s">
        <v>818</v>
      </c>
      <c r="O293" s="5"/>
      <c r="P293" s="1054">
        <v>106</v>
      </c>
      <c r="Q293" s="1054"/>
      <c r="R293" s="1054"/>
      <c r="S293" s="41"/>
      <c r="T293" s="41" t="s">
        <v>375</v>
      </c>
      <c r="V293" s="41"/>
      <c r="W293" s="41"/>
      <c r="X293" s="41"/>
      <c r="Y293" s="41"/>
      <c r="AA293" s="1058" t="s">
        <v>2363</v>
      </c>
      <c r="AB293" s="1058"/>
      <c r="AC293" s="1058"/>
      <c r="AD293" s="1058"/>
      <c r="AE293" s="1058"/>
      <c r="AF293" s="1058"/>
      <c r="AG293" s="5" t="s">
        <v>818</v>
      </c>
      <c r="AH293" s="5"/>
      <c r="AI293" s="1054"/>
      <c r="AJ293" s="1054"/>
      <c r="AK293" s="1054"/>
      <c r="BA293" s="43"/>
    </row>
    <row r="294" spans="2:53" ht="12.95" customHeight="1">
      <c r="B294" s="41" t="s">
        <v>376</v>
      </c>
      <c r="C294" s="41"/>
      <c r="D294" s="41"/>
      <c r="E294" s="41"/>
      <c r="F294" s="41"/>
      <c r="G294" s="41"/>
      <c r="H294" s="1059" t="s">
        <v>2340</v>
      </c>
      <c r="I294" s="1059"/>
      <c r="J294" s="1059"/>
      <c r="K294" s="1059"/>
      <c r="L294" s="1059"/>
      <c r="M294" s="1059"/>
      <c r="N294" s="5"/>
      <c r="O294" s="5"/>
      <c r="P294" s="44"/>
      <c r="Q294" s="44"/>
      <c r="R294" s="44"/>
      <c r="S294" s="41"/>
      <c r="T294" s="41" t="s">
        <v>376</v>
      </c>
      <c r="V294" s="41"/>
      <c r="W294" s="41"/>
      <c r="X294" s="41"/>
      <c r="Y294" s="41"/>
      <c r="AA294" s="1059" t="s">
        <v>2364</v>
      </c>
      <c r="AB294" s="1059"/>
      <c r="AC294" s="1059"/>
      <c r="AD294" s="1059"/>
      <c r="AE294" s="1059"/>
      <c r="AF294" s="1059"/>
      <c r="AG294" s="5"/>
      <c r="AH294" s="5"/>
      <c r="AI294" s="44"/>
      <c r="AJ294" s="44"/>
      <c r="AK294" s="44"/>
      <c r="BA294" s="43"/>
    </row>
    <row r="295" spans="2:53" ht="12.95" customHeight="1">
      <c r="B295" s="41" t="s">
        <v>702</v>
      </c>
      <c r="C295" s="41"/>
      <c r="D295" s="41"/>
      <c r="E295" s="41"/>
      <c r="F295" s="41"/>
      <c r="G295" s="41"/>
      <c r="H295" s="1055" t="s">
        <v>2339</v>
      </c>
      <c r="I295" s="1055"/>
      <c r="J295" s="1055"/>
      <c r="K295" s="1055"/>
      <c r="L295" s="1055"/>
      <c r="M295" s="1055"/>
      <c r="N295" s="1057"/>
      <c r="O295" s="1057"/>
      <c r="P295" s="1057"/>
      <c r="Q295" s="1057"/>
      <c r="R295" s="1057"/>
      <c r="S295" s="41"/>
      <c r="T295" s="41" t="s">
        <v>702</v>
      </c>
      <c r="V295" s="41"/>
      <c r="W295" s="41"/>
      <c r="X295" s="41"/>
      <c r="Y295" s="41"/>
      <c r="AA295" s="1055" t="s">
        <v>2365</v>
      </c>
      <c r="AB295" s="1055"/>
      <c r="AC295" s="1055"/>
      <c r="AD295" s="1055"/>
      <c r="AE295" s="1055"/>
      <c r="AF295" s="1055"/>
      <c r="AG295" s="1057"/>
      <c r="AH295" s="1057"/>
      <c r="AI295" s="1057"/>
      <c r="AJ295" s="1057"/>
      <c r="AK295" s="105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7" t="s">
        <v>2366</v>
      </c>
      <c r="I297" s="1057"/>
      <c r="J297" s="1057"/>
      <c r="K297" s="1057"/>
      <c r="L297" s="1057"/>
      <c r="M297" s="1057"/>
      <c r="N297" s="1057"/>
      <c r="O297" s="1057"/>
      <c r="P297" s="1057"/>
      <c r="Q297" s="1057"/>
      <c r="R297" s="1057"/>
      <c r="T297" s="41" t="s">
        <v>35</v>
      </c>
      <c r="V297" s="41"/>
      <c r="W297" s="41"/>
      <c r="X297" s="41"/>
      <c r="Y297" s="41"/>
      <c r="AA297" s="1057" t="s">
        <v>2355</v>
      </c>
      <c r="AB297" s="1057"/>
      <c r="AC297" s="1057"/>
      <c r="AD297" s="1057"/>
      <c r="AE297" s="1057"/>
      <c r="AF297" s="1057"/>
      <c r="AG297" s="1057"/>
      <c r="AH297" s="1057"/>
      <c r="AI297" s="1057"/>
      <c r="AJ297" s="1057"/>
      <c r="AK297" s="1057"/>
      <c r="BA297" s="43"/>
    </row>
    <row r="298" spans="2:53" ht="12.95" customHeight="1">
      <c r="B298" s="41" t="s">
        <v>699</v>
      </c>
      <c r="C298" s="41"/>
      <c r="D298" s="41"/>
      <c r="E298" s="41"/>
      <c r="F298" s="41"/>
      <c r="H298" s="1055" t="s">
        <v>2367</v>
      </c>
      <c r="I298" s="1055"/>
      <c r="J298" s="1055"/>
      <c r="K298" s="1055"/>
      <c r="L298" s="1055"/>
      <c r="M298" s="1055"/>
      <c r="N298" s="1055"/>
      <c r="O298" s="1055"/>
      <c r="P298" s="1055"/>
      <c r="Q298" s="1055"/>
      <c r="R298" s="1055"/>
      <c r="T298" s="41" t="s">
        <v>699</v>
      </c>
      <c r="V298" s="41"/>
      <c r="W298" s="41"/>
      <c r="X298" s="41"/>
      <c r="Y298" s="41"/>
      <c r="AA298" s="1055"/>
      <c r="AB298" s="1055"/>
      <c r="AC298" s="1055"/>
      <c r="AD298" s="1055"/>
      <c r="AE298" s="1055"/>
      <c r="AF298" s="1055"/>
      <c r="AG298" s="1055"/>
      <c r="AH298" s="1055"/>
      <c r="AI298" s="1055"/>
      <c r="AJ298" s="1055"/>
      <c r="AK298" s="1055"/>
      <c r="BA298" s="43"/>
    </row>
    <row r="299" spans="2:53" ht="12.95" customHeight="1">
      <c r="B299" s="41" t="s">
        <v>701</v>
      </c>
      <c r="C299" s="41"/>
      <c r="D299" s="41"/>
      <c r="E299" s="41"/>
      <c r="F299" s="41"/>
      <c r="H299" s="1055" t="s">
        <v>2368</v>
      </c>
      <c r="I299" s="1055"/>
      <c r="J299" s="1055"/>
      <c r="K299" s="1055"/>
      <c r="L299" s="1055"/>
      <c r="M299" s="1055"/>
      <c r="N299" s="1055"/>
      <c r="O299" s="1055"/>
      <c r="P299" s="1055"/>
      <c r="Q299" s="1055"/>
      <c r="R299" s="1055"/>
      <c r="T299" s="41" t="s">
        <v>700</v>
      </c>
      <c r="V299" s="41"/>
      <c r="W299" s="41"/>
      <c r="X299" s="41"/>
      <c r="Y299" s="41"/>
      <c r="AA299" s="1055"/>
      <c r="AB299" s="1055"/>
      <c r="AC299" s="1055"/>
      <c r="AD299" s="1055"/>
      <c r="AE299" s="1055"/>
      <c r="AF299" s="1055"/>
      <c r="AG299" s="1055"/>
      <c r="AH299" s="1055"/>
      <c r="AI299" s="1055"/>
      <c r="AJ299" s="1055"/>
      <c r="AK299" s="1055"/>
      <c r="BA299" s="43"/>
    </row>
    <row r="300" spans="2:53" ht="12.95" customHeight="1">
      <c r="B300" s="41" t="s">
        <v>374</v>
      </c>
      <c r="C300" s="41"/>
      <c r="D300" s="41"/>
      <c r="E300" s="41"/>
      <c r="F300" s="41"/>
      <c r="H300" s="1055" t="s">
        <v>2479</v>
      </c>
      <c r="I300" s="1055"/>
      <c r="J300" s="1055"/>
      <c r="K300" s="1055"/>
      <c r="L300" s="1055"/>
      <c r="M300" s="1055"/>
      <c r="N300" s="1055"/>
      <c r="O300" s="1055"/>
      <c r="P300" s="1055"/>
      <c r="Q300" s="1055"/>
      <c r="R300" s="1055"/>
      <c r="T300" s="41" t="s">
        <v>374</v>
      </c>
      <c r="V300" s="41"/>
      <c r="W300" s="41"/>
      <c r="X300" s="41"/>
      <c r="Y300" s="41"/>
      <c r="AA300" s="1055"/>
      <c r="AB300" s="1055"/>
      <c r="AC300" s="1055"/>
      <c r="AD300" s="1055"/>
      <c r="AE300" s="1055"/>
      <c r="AF300" s="1055"/>
      <c r="AG300" s="1055"/>
      <c r="AH300" s="1055"/>
      <c r="AI300" s="1055"/>
      <c r="AJ300" s="1055"/>
      <c r="AK300" s="1055"/>
      <c r="BA300" s="43"/>
    </row>
    <row r="301" spans="2:53" ht="12.95" customHeight="1">
      <c r="B301" s="41" t="s">
        <v>375</v>
      </c>
      <c r="C301" s="41"/>
      <c r="D301" s="41"/>
      <c r="E301" s="41"/>
      <c r="F301" s="41"/>
      <c r="G301" s="41"/>
      <c r="H301" s="1058" t="s">
        <v>2369</v>
      </c>
      <c r="I301" s="1058"/>
      <c r="J301" s="1058"/>
      <c r="K301" s="1058"/>
      <c r="L301" s="1058"/>
      <c r="M301" s="1058"/>
      <c r="N301" s="5" t="s">
        <v>818</v>
      </c>
      <c r="O301" s="5"/>
      <c r="P301" s="1054"/>
      <c r="Q301" s="1054"/>
      <c r="R301" s="1054"/>
      <c r="S301" s="41"/>
      <c r="T301" s="41" t="s">
        <v>375</v>
      </c>
      <c r="V301" s="41"/>
      <c r="W301" s="41"/>
      <c r="X301" s="41"/>
      <c r="Y301" s="41"/>
      <c r="AA301" s="1058"/>
      <c r="AB301" s="1058"/>
      <c r="AC301" s="1058"/>
      <c r="AD301" s="1058"/>
      <c r="AE301" s="1058"/>
      <c r="AF301" s="1058"/>
      <c r="AG301" s="5" t="s">
        <v>818</v>
      </c>
      <c r="AH301" s="5"/>
      <c r="AI301" s="1054"/>
      <c r="AJ301" s="1054"/>
      <c r="AK301" s="1054"/>
      <c r="BA301" s="43"/>
    </row>
    <row r="302" spans="2:53" ht="12.95" customHeight="1">
      <c r="B302" s="41" t="s">
        <v>376</v>
      </c>
      <c r="C302" s="41"/>
      <c r="D302" s="41"/>
      <c r="E302" s="41"/>
      <c r="F302" s="41"/>
      <c r="G302" s="41"/>
      <c r="H302" s="1059"/>
      <c r="I302" s="1059"/>
      <c r="J302" s="1059"/>
      <c r="K302" s="1059"/>
      <c r="L302" s="1059"/>
      <c r="M302" s="1059"/>
      <c r="N302" s="5"/>
      <c r="O302" s="5"/>
      <c r="P302" s="44"/>
      <c r="Q302" s="44"/>
      <c r="R302" s="44"/>
      <c r="S302" s="41"/>
      <c r="T302" s="41" t="s">
        <v>376</v>
      </c>
      <c r="V302" s="41"/>
      <c r="W302" s="41"/>
      <c r="X302" s="41"/>
      <c r="Y302" s="41"/>
      <c r="AA302" s="1059"/>
      <c r="AB302" s="1059"/>
      <c r="AC302" s="1059"/>
      <c r="AD302" s="1059"/>
      <c r="AE302" s="1059"/>
      <c r="AF302" s="1059"/>
      <c r="AG302" s="5"/>
      <c r="AH302" s="5"/>
      <c r="AI302" s="44"/>
      <c r="AJ302" s="44"/>
      <c r="AK302" s="44"/>
      <c r="BA302" s="43"/>
    </row>
    <row r="303" spans="2:53" ht="12.95" customHeight="1">
      <c r="B303" s="41" t="s">
        <v>702</v>
      </c>
      <c r="C303" s="41"/>
      <c r="D303" s="41"/>
      <c r="E303" s="41"/>
      <c r="F303" s="41"/>
      <c r="G303" s="41"/>
      <c r="H303" s="1055" t="s">
        <v>2370</v>
      </c>
      <c r="I303" s="1055"/>
      <c r="J303" s="1055"/>
      <c r="K303" s="1055"/>
      <c r="L303" s="1055"/>
      <c r="M303" s="1055"/>
      <c r="N303" s="1057"/>
      <c r="O303" s="1057"/>
      <c r="P303" s="1057"/>
      <c r="Q303" s="1057"/>
      <c r="R303" s="1057"/>
      <c r="S303" s="41"/>
      <c r="T303" s="41" t="s">
        <v>702</v>
      </c>
      <c r="V303" s="41"/>
      <c r="W303" s="41"/>
      <c r="X303" s="41"/>
      <c r="Y303" s="41"/>
      <c r="AA303" s="1055"/>
      <c r="AB303" s="1055"/>
      <c r="AC303" s="1055"/>
      <c r="AD303" s="1055"/>
      <c r="AE303" s="1055"/>
      <c r="AF303" s="1055"/>
      <c r="AG303" s="1057"/>
      <c r="AH303" s="1057"/>
      <c r="AI303" s="1057"/>
      <c r="AJ303" s="1057"/>
      <c r="AK303" s="1057"/>
      <c r="BA303" s="43"/>
    </row>
    <row r="304" spans="2:53" ht="12.95" customHeight="1">
      <c r="BA304" s="43"/>
    </row>
    <row r="305" spans="2:53" ht="12.95" customHeight="1">
      <c r="B305" s="41" t="s">
        <v>703</v>
      </c>
      <c r="C305" s="41"/>
      <c r="D305" s="41"/>
      <c r="E305" s="41"/>
      <c r="F305" s="41"/>
      <c r="H305" s="1057" t="s">
        <v>2366</v>
      </c>
      <c r="I305" s="1057"/>
      <c r="J305" s="1057"/>
      <c r="K305" s="1057"/>
      <c r="L305" s="1057"/>
      <c r="M305" s="1057"/>
      <c r="N305" s="1057"/>
      <c r="O305" s="1057"/>
      <c r="P305" s="1057"/>
      <c r="Q305" s="1057"/>
      <c r="R305" s="1057"/>
      <c r="T305" s="5" t="s">
        <v>1105</v>
      </c>
      <c r="V305" s="41"/>
      <c r="W305" s="41"/>
      <c r="X305" s="41"/>
      <c r="Y305" s="41"/>
      <c r="AA305" s="1057" t="s">
        <v>2371</v>
      </c>
      <c r="AB305" s="1057"/>
      <c r="AC305" s="1057"/>
      <c r="AD305" s="1057"/>
      <c r="AE305" s="1057"/>
      <c r="AF305" s="1057"/>
      <c r="AG305" s="1057"/>
      <c r="AH305" s="1057"/>
      <c r="AI305" s="1057"/>
      <c r="AJ305" s="1057"/>
      <c r="AK305" s="1057"/>
      <c r="BA305" s="43"/>
    </row>
    <row r="306" spans="2:53" ht="12.95" customHeight="1">
      <c r="B306" s="41" t="s">
        <v>699</v>
      </c>
      <c r="C306" s="41"/>
      <c r="D306" s="41"/>
      <c r="E306" s="41"/>
      <c r="F306" s="41"/>
      <c r="H306" s="1055" t="s">
        <v>2367</v>
      </c>
      <c r="I306" s="1055"/>
      <c r="J306" s="1055"/>
      <c r="K306" s="1055"/>
      <c r="L306" s="1055"/>
      <c r="M306" s="1055"/>
      <c r="N306" s="1055"/>
      <c r="O306" s="1055"/>
      <c r="P306" s="1055"/>
      <c r="Q306" s="1055"/>
      <c r="R306" s="1055"/>
      <c r="T306" s="41" t="s">
        <v>699</v>
      </c>
      <c r="V306" s="41"/>
      <c r="W306" s="41"/>
      <c r="X306" s="41"/>
      <c r="Y306" s="41"/>
      <c r="AA306" s="1055" t="s">
        <v>2372</v>
      </c>
      <c r="AB306" s="1055"/>
      <c r="AC306" s="1055"/>
      <c r="AD306" s="1055"/>
      <c r="AE306" s="1055"/>
      <c r="AF306" s="1055"/>
      <c r="AG306" s="1055"/>
      <c r="AH306" s="1055"/>
      <c r="AI306" s="1055"/>
      <c r="AJ306" s="1055"/>
      <c r="AK306" s="1055"/>
      <c r="BA306" s="43"/>
    </row>
    <row r="307" spans="2:53" ht="12.95" customHeight="1">
      <c r="B307" s="41" t="s">
        <v>701</v>
      </c>
      <c r="C307" s="41"/>
      <c r="D307" s="41"/>
      <c r="E307" s="41"/>
      <c r="F307" s="41"/>
      <c r="H307" s="1055" t="s">
        <v>2480</v>
      </c>
      <c r="I307" s="1055"/>
      <c r="J307" s="1055"/>
      <c r="K307" s="1055"/>
      <c r="L307" s="1055"/>
      <c r="M307" s="1055"/>
      <c r="N307" s="1055"/>
      <c r="O307" s="1055"/>
      <c r="P307" s="1055"/>
      <c r="Q307" s="1055"/>
      <c r="R307" s="1055"/>
      <c r="T307" s="41" t="s">
        <v>700</v>
      </c>
      <c r="V307" s="41"/>
      <c r="W307" s="41"/>
      <c r="X307" s="41"/>
      <c r="Y307" s="41"/>
      <c r="AA307" s="1055" t="s">
        <v>2373</v>
      </c>
      <c r="AB307" s="1055"/>
      <c r="AC307" s="1055"/>
      <c r="AD307" s="1055"/>
      <c r="AE307" s="1055"/>
      <c r="AF307" s="1055"/>
      <c r="AG307" s="1055"/>
      <c r="AH307" s="1055"/>
      <c r="AI307" s="1055"/>
      <c r="AJ307" s="1055"/>
      <c r="AK307" s="1055"/>
      <c r="BA307" s="43"/>
    </row>
    <row r="308" spans="2:53" ht="12.95" customHeight="1">
      <c r="B308" s="41" t="s">
        <v>374</v>
      </c>
      <c r="C308" s="41"/>
      <c r="D308" s="41"/>
      <c r="E308" s="41"/>
      <c r="F308" s="41"/>
      <c r="H308" s="1055" t="s">
        <v>2479</v>
      </c>
      <c r="I308" s="1055"/>
      <c r="J308" s="1055"/>
      <c r="K308" s="1055"/>
      <c r="L308" s="1055"/>
      <c r="M308" s="1055"/>
      <c r="N308" s="1055"/>
      <c r="O308" s="1055"/>
      <c r="P308" s="1055"/>
      <c r="Q308" s="1055"/>
      <c r="R308" s="1055"/>
      <c r="T308" s="41" t="s">
        <v>374</v>
      </c>
      <c r="V308" s="41"/>
      <c r="W308" s="41"/>
      <c r="X308" s="41"/>
      <c r="Y308" s="41"/>
      <c r="AA308" s="1055" t="s">
        <v>2374</v>
      </c>
      <c r="AB308" s="1055"/>
      <c r="AC308" s="1055"/>
      <c r="AD308" s="1055"/>
      <c r="AE308" s="1055"/>
      <c r="AF308" s="1055"/>
      <c r="AG308" s="1055"/>
      <c r="AH308" s="1055"/>
      <c r="AI308" s="1055"/>
      <c r="AJ308" s="1055"/>
      <c r="AK308" s="1055"/>
      <c r="BA308" s="43"/>
    </row>
    <row r="309" spans="2:53" ht="12.95" customHeight="1">
      <c r="B309" s="41" t="s">
        <v>375</v>
      </c>
      <c r="C309" s="41"/>
      <c r="D309" s="41"/>
      <c r="E309" s="41"/>
      <c r="F309" s="41"/>
      <c r="G309" s="41"/>
      <c r="H309" s="1058">
        <v>9164440286</v>
      </c>
      <c r="I309" s="1058"/>
      <c r="J309" s="1058"/>
      <c r="K309" s="1058"/>
      <c r="L309" s="1058"/>
      <c r="M309" s="1058"/>
      <c r="N309" s="5" t="s">
        <v>818</v>
      </c>
      <c r="O309" s="5"/>
      <c r="P309" s="1054"/>
      <c r="Q309" s="1054"/>
      <c r="R309" s="1054"/>
      <c r="S309" s="41"/>
      <c r="T309" s="41" t="s">
        <v>375</v>
      </c>
      <c r="V309" s="41"/>
      <c r="W309" s="41"/>
      <c r="X309" s="41"/>
      <c r="Y309" s="41"/>
      <c r="AA309" s="1058" t="s">
        <v>2375</v>
      </c>
      <c r="AB309" s="1058"/>
      <c r="AC309" s="1058"/>
      <c r="AD309" s="1058"/>
      <c r="AE309" s="1058"/>
      <c r="AF309" s="1058"/>
      <c r="AG309" s="5" t="s">
        <v>818</v>
      </c>
      <c r="AH309" s="5"/>
      <c r="AI309" s="1054"/>
      <c r="AJ309" s="1054"/>
      <c r="AK309" s="1054"/>
      <c r="BA309" s="43"/>
    </row>
    <row r="310" spans="2:53" ht="12.95" customHeight="1">
      <c r="B310" s="41" t="s">
        <v>376</v>
      </c>
      <c r="C310" s="41"/>
      <c r="D310" s="41"/>
      <c r="E310" s="41"/>
      <c r="F310" s="41"/>
      <c r="G310" s="41"/>
      <c r="H310" s="1059"/>
      <c r="I310" s="1059"/>
      <c r="J310" s="1059"/>
      <c r="K310" s="1059"/>
      <c r="L310" s="1059"/>
      <c r="M310" s="1059"/>
      <c r="N310" s="5"/>
      <c r="O310" s="5"/>
      <c r="P310" s="44"/>
      <c r="Q310" s="44"/>
      <c r="R310" s="44"/>
      <c r="S310" s="41"/>
      <c r="T310" s="41" t="s">
        <v>376</v>
      </c>
      <c r="V310" s="41"/>
      <c r="W310" s="41"/>
      <c r="X310" s="41"/>
      <c r="Y310" s="41"/>
      <c r="AA310" s="1059" t="s">
        <v>2376</v>
      </c>
      <c r="AB310" s="1059"/>
      <c r="AC310" s="1059"/>
      <c r="AD310" s="1059"/>
      <c r="AE310" s="1059"/>
      <c r="AF310" s="1059"/>
      <c r="AG310" s="5"/>
      <c r="AH310" s="5"/>
      <c r="AI310" s="44"/>
      <c r="AJ310" s="44"/>
      <c r="AK310" s="44"/>
      <c r="BA310" s="43"/>
    </row>
    <row r="311" spans="2:53" ht="12.95" customHeight="1">
      <c r="B311" s="41" t="s">
        <v>702</v>
      </c>
      <c r="C311" s="41"/>
      <c r="D311" s="41"/>
      <c r="E311" s="41"/>
      <c r="F311" s="41"/>
      <c r="G311" s="41"/>
      <c r="H311" s="1055" t="s">
        <v>2370</v>
      </c>
      <c r="I311" s="1055"/>
      <c r="J311" s="1055"/>
      <c r="K311" s="1055"/>
      <c r="L311" s="1055"/>
      <c r="M311" s="1055"/>
      <c r="N311" s="1057"/>
      <c r="O311" s="1057"/>
      <c r="P311" s="1057"/>
      <c r="Q311" s="1057"/>
      <c r="R311" s="1057"/>
      <c r="S311" s="41"/>
      <c r="T311" s="41" t="s">
        <v>702</v>
      </c>
      <c r="V311" s="41"/>
      <c r="W311" s="41"/>
      <c r="X311" s="41"/>
      <c r="Y311" s="41"/>
      <c r="AA311" s="1055" t="s">
        <v>2377</v>
      </c>
      <c r="AB311" s="1055"/>
      <c r="AC311" s="1055"/>
      <c r="AD311" s="1055"/>
      <c r="AE311" s="1055"/>
      <c r="AF311" s="1055"/>
      <c r="AG311" s="1057"/>
      <c r="AH311" s="1057"/>
      <c r="AI311" s="1057"/>
      <c r="AJ311" s="1057"/>
      <c r="AK311" s="1057"/>
      <c r="BA311" s="43"/>
    </row>
    <row r="312" spans="2:53" ht="12.95" customHeight="1">
      <c r="BA312" s="43"/>
    </row>
    <row r="313" spans="2:53" ht="12.95" customHeight="1">
      <c r="B313" s="5" t="s">
        <v>1146</v>
      </c>
      <c r="C313" s="41"/>
      <c r="D313" s="41"/>
      <c r="E313" s="41"/>
      <c r="F313" s="41"/>
      <c r="H313" s="1057" t="s">
        <v>2378</v>
      </c>
      <c r="I313" s="1057"/>
      <c r="J313" s="1057"/>
      <c r="K313" s="1057"/>
      <c r="L313" s="1057"/>
      <c r="M313" s="1057"/>
      <c r="N313" s="1057"/>
      <c r="O313" s="1057"/>
      <c r="P313" s="1057"/>
      <c r="Q313" s="1057"/>
      <c r="R313" s="1057"/>
      <c r="T313" s="41" t="s">
        <v>36</v>
      </c>
      <c r="V313" s="41"/>
      <c r="W313" s="41"/>
      <c r="X313" s="41"/>
      <c r="Y313" s="41"/>
      <c r="AA313" s="1057" t="s">
        <v>2499</v>
      </c>
      <c r="AB313" s="1057"/>
      <c r="AC313" s="1057"/>
      <c r="AD313" s="1057"/>
      <c r="AE313" s="1057"/>
      <c r="AF313" s="1057"/>
      <c r="AG313" s="1057"/>
      <c r="AH313" s="1057"/>
      <c r="AI313" s="1057"/>
      <c r="AJ313" s="1057"/>
      <c r="AK313" s="1057"/>
      <c r="BA313" s="43"/>
    </row>
    <row r="314" spans="2:53" ht="12.95" customHeight="1">
      <c r="B314" s="41" t="s">
        <v>699</v>
      </c>
      <c r="C314" s="41"/>
      <c r="D314" s="41"/>
      <c r="E314" s="41"/>
      <c r="F314" s="41"/>
      <c r="H314" s="1055" t="s">
        <v>2379</v>
      </c>
      <c r="I314" s="1055"/>
      <c r="J314" s="1055"/>
      <c r="K314" s="1055"/>
      <c r="L314" s="1055"/>
      <c r="M314" s="1055"/>
      <c r="N314" s="1055"/>
      <c r="O314" s="1055"/>
      <c r="P314" s="1055"/>
      <c r="Q314" s="1055"/>
      <c r="R314" s="1055"/>
      <c r="T314" s="41" t="s">
        <v>699</v>
      </c>
      <c r="V314" s="41"/>
      <c r="W314" s="41"/>
      <c r="X314" s="41"/>
      <c r="Y314" s="41"/>
      <c r="AA314" s="1055" t="s">
        <v>2502</v>
      </c>
      <c r="AB314" s="1055"/>
      <c r="AC314" s="1055"/>
      <c r="AD314" s="1055"/>
      <c r="AE314" s="1055"/>
      <c r="AF314" s="1055"/>
      <c r="AG314" s="1055"/>
      <c r="AH314" s="1055"/>
      <c r="AI314" s="1055"/>
      <c r="AJ314" s="1055"/>
      <c r="AK314" s="1055"/>
      <c r="BA314" s="43"/>
    </row>
    <row r="315" spans="2:53" ht="12.95" customHeight="1">
      <c r="B315" s="41" t="s">
        <v>701</v>
      </c>
      <c r="C315" s="41"/>
      <c r="D315" s="41"/>
      <c r="E315" s="41"/>
      <c r="F315" s="41"/>
      <c r="H315" s="1055" t="s">
        <v>2380</v>
      </c>
      <c r="I315" s="1055"/>
      <c r="J315" s="1055"/>
      <c r="K315" s="1055"/>
      <c r="L315" s="1055"/>
      <c r="M315" s="1055"/>
      <c r="N315" s="1055"/>
      <c r="O315" s="1055"/>
      <c r="P315" s="1055"/>
      <c r="Q315" s="1055"/>
      <c r="R315" s="1055"/>
      <c r="T315" s="41" t="s">
        <v>700</v>
      </c>
      <c r="V315" s="41"/>
      <c r="W315" s="41"/>
      <c r="X315" s="41"/>
      <c r="Y315" s="41"/>
      <c r="AA315" s="1055" t="s">
        <v>2503</v>
      </c>
      <c r="AB315" s="1055"/>
      <c r="AC315" s="1055"/>
      <c r="AD315" s="1055"/>
      <c r="AE315" s="1055"/>
      <c r="AF315" s="1055"/>
      <c r="AG315" s="1055"/>
      <c r="AH315" s="1055"/>
      <c r="AI315" s="1055"/>
      <c r="AJ315" s="1055"/>
      <c r="AK315" s="1055"/>
      <c r="BA315" s="43"/>
    </row>
    <row r="316" spans="2:53" ht="12.95" customHeight="1">
      <c r="B316" s="41" t="s">
        <v>374</v>
      </c>
      <c r="C316" s="41"/>
      <c r="D316" s="41"/>
      <c r="E316" s="41"/>
      <c r="F316" s="41"/>
      <c r="H316" s="1055" t="s">
        <v>2381</v>
      </c>
      <c r="I316" s="1055"/>
      <c r="J316" s="1055"/>
      <c r="K316" s="1055"/>
      <c r="L316" s="1055"/>
      <c r="M316" s="1055"/>
      <c r="N316" s="1055"/>
      <c r="O316" s="1055"/>
      <c r="P316" s="1055"/>
      <c r="Q316" s="1055"/>
      <c r="R316" s="1055"/>
      <c r="T316" s="41" t="s">
        <v>374</v>
      </c>
      <c r="V316" s="41"/>
      <c r="W316" s="41"/>
      <c r="X316" s="41"/>
      <c r="Y316" s="41"/>
      <c r="AA316" s="1055" t="s">
        <v>2500</v>
      </c>
      <c r="AB316" s="1055"/>
      <c r="AC316" s="1055"/>
      <c r="AD316" s="1055"/>
      <c r="AE316" s="1055"/>
      <c r="AF316" s="1055"/>
      <c r="AG316" s="1055"/>
      <c r="AH316" s="1055"/>
      <c r="AI316" s="1055"/>
      <c r="AJ316" s="1055"/>
      <c r="AK316" s="1055"/>
      <c r="BA316" s="43"/>
    </row>
    <row r="317" spans="2:53" ht="12.95" customHeight="1">
      <c r="B317" s="41" t="s">
        <v>375</v>
      </c>
      <c r="C317" s="41"/>
      <c r="D317" s="41"/>
      <c r="E317" s="41"/>
      <c r="F317" s="41"/>
      <c r="G317" s="41"/>
      <c r="H317" s="1058" t="s">
        <v>2382</v>
      </c>
      <c r="I317" s="1058"/>
      <c r="J317" s="1058"/>
      <c r="K317" s="1058"/>
      <c r="L317" s="1058"/>
      <c r="M317" s="1058"/>
      <c r="N317" s="5" t="s">
        <v>818</v>
      </c>
      <c r="O317" s="5"/>
      <c r="P317" s="1054"/>
      <c r="Q317" s="1054"/>
      <c r="R317" s="1054"/>
      <c r="S317" s="41"/>
      <c r="T317" s="41" t="s">
        <v>375</v>
      </c>
      <c r="V317" s="41"/>
      <c r="W317" s="41"/>
      <c r="X317" s="41"/>
      <c r="Y317" s="41"/>
      <c r="AA317" s="1058">
        <v>8587522066</v>
      </c>
      <c r="AB317" s="1058"/>
      <c r="AC317" s="1058"/>
      <c r="AD317" s="1058"/>
      <c r="AE317" s="1058"/>
      <c r="AF317" s="1058"/>
      <c r="AG317" s="5" t="s">
        <v>818</v>
      </c>
      <c r="AH317" s="5"/>
      <c r="AI317" s="1054"/>
      <c r="AJ317" s="1054"/>
      <c r="AK317" s="1054"/>
      <c r="BA317" s="43"/>
    </row>
    <row r="318" spans="2:53" ht="12.95" customHeight="1">
      <c r="B318" s="41" t="s">
        <v>376</v>
      </c>
      <c r="C318" s="41"/>
      <c r="D318" s="41"/>
      <c r="E318" s="41"/>
      <c r="F318" s="41"/>
      <c r="G318" s="41"/>
      <c r="H318" s="1059"/>
      <c r="I318" s="1059"/>
      <c r="J318" s="1059"/>
      <c r="K318" s="1059"/>
      <c r="L318" s="1059"/>
      <c r="M318" s="1059"/>
      <c r="N318" s="5"/>
      <c r="O318" s="5"/>
      <c r="P318" s="44"/>
      <c r="Q318" s="44"/>
      <c r="R318" s="44"/>
      <c r="S318" s="41"/>
      <c r="T318" s="41" t="s">
        <v>376</v>
      </c>
      <c r="V318" s="41"/>
      <c r="W318" s="41"/>
      <c r="X318" s="41"/>
      <c r="Y318" s="41"/>
      <c r="AA318" s="1059"/>
      <c r="AB318" s="1059"/>
      <c r="AC318" s="1059"/>
      <c r="AD318" s="1059"/>
      <c r="AE318" s="1059"/>
      <c r="AF318" s="1059"/>
      <c r="AG318" s="5"/>
      <c r="AH318" s="5"/>
      <c r="AI318" s="44"/>
      <c r="AJ318" s="44"/>
      <c r="AK318" s="44"/>
      <c r="BA318" s="43"/>
    </row>
    <row r="319" spans="2:53" ht="12.95" customHeight="1">
      <c r="B319" s="41" t="s">
        <v>702</v>
      </c>
      <c r="C319" s="41"/>
      <c r="D319" s="41"/>
      <c r="E319" s="41"/>
      <c r="F319" s="41"/>
      <c r="G319" s="41"/>
      <c r="H319" s="1055" t="s">
        <v>2383</v>
      </c>
      <c r="I319" s="1055"/>
      <c r="J319" s="1055"/>
      <c r="K319" s="1055"/>
      <c r="L319" s="1055"/>
      <c r="M319" s="1055"/>
      <c r="N319" s="1057"/>
      <c r="O319" s="1057"/>
      <c r="P319" s="1057"/>
      <c r="Q319" s="1057"/>
      <c r="R319" s="1057"/>
      <c r="S319" s="41"/>
      <c r="T319" s="41" t="s">
        <v>702</v>
      </c>
      <c r="V319" s="41"/>
      <c r="W319" s="41"/>
      <c r="X319" s="41"/>
      <c r="Y319" s="41"/>
      <c r="AA319" s="1055" t="s">
        <v>2501</v>
      </c>
      <c r="AB319" s="1055"/>
      <c r="AC319" s="1055"/>
      <c r="AD319" s="1055"/>
      <c r="AE319" s="1055"/>
      <c r="AF319" s="1055"/>
      <c r="AG319" s="1057"/>
      <c r="AH319" s="1057"/>
      <c r="AI319" s="1057"/>
      <c r="AJ319" s="1057"/>
      <c r="AK319" s="105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7" t="s">
        <v>2366</v>
      </c>
      <c r="I321" s="1057"/>
      <c r="J321" s="1057"/>
      <c r="K321" s="1057"/>
      <c r="L321" s="1057"/>
      <c r="M321" s="1057"/>
      <c r="N321" s="1057"/>
      <c r="O321" s="1057"/>
      <c r="P321" s="1057"/>
      <c r="Q321" s="1057"/>
      <c r="R321" s="1057"/>
      <c r="T321" s="41" t="s">
        <v>37</v>
      </c>
      <c r="V321" s="41"/>
      <c r="W321" s="41"/>
      <c r="X321" s="41"/>
      <c r="Y321" s="41"/>
      <c r="AA321" s="1057" t="s">
        <v>2386</v>
      </c>
      <c r="AB321" s="1057"/>
      <c r="AC321" s="1057"/>
      <c r="AD321" s="1057"/>
      <c r="AE321" s="1057"/>
      <c r="AF321" s="1057"/>
      <c r="AG321" s="1057"/>
      <c r="AH321" s="1057"/>
      <c r="AI321" s="1057"/>
      <c r="AJ321" s="1057"/>
      <c r="AK321" s="1057"/>
      <c r="BA321" s="43"/>
    </row>
    <row r="322" spans="2:53" ht="12.95" customHeight="1">
      <c r="B322" s="41" t="s">
        <v>699</v>
      </c>
      <c r="C322" s="41"/>
      <c r="D322" s="41"/>
      <c r="E322" s="41"/>
      <c r="F322" s="41"/>
      <c r="H322" s="1055" t="s">
        <v>2367</v>
      </c>
      <c r="I322" s="1055"/>
      <c r="J322" s="1055"/>
      <c r="K322" s="1055"/>
      <c r="L322" s="1055"/>
      <c r="M322" s="1055"/>
      <c r="N322" s="1055"/>
      <c r="O322" s="1055"/>
      <c r="P322" s="1055"/>
      <c r="Q322" s="1055"/>
      <c r="R322" s="1055"/>
      <c r="T322" s="41" t="s">
        <v>699</v>
      </c>
      <c r="V322" s="41"/>
      <c r="W322" s="41"/>
      <c r="X322" s="41"/>
      <c r="Y322" s="41"/>
      <c r="AA322" s="1055" t="s">
        <v>2387</v>
      </c>
      <c r="AB322" s="1055"/>
      <c r="AC322" s="1055"/>
      <c r="AD322" s="1055"/>
      <c r="AE322" s="1055"/>
      <c r="AF322" s="1055"/>
      <c r="AG322" s="1055"/>
      <c r="AH322" s="1055"/>
      <c r="AI322" s="1055"/>
      <c r="AJ322" s="1055"/>
      <c r="AK322" s="1055"/>
      <c r="BA322" s="43"/>
    </row>
    <row r="323" spans="2:53" ht="12.95" customHeight="1">
      <c r="B323" s="41" t="s">
        <v>701</v>
      </c>
      <c r="C323" s="41"/>
      <c r="D323" s="41"/>
      <c r="E323" s="41"/>
      <c r="F323" s="41"/>
      <c r="H323" s="1055" t="s">
        <v>2480</v>
      </c>
      <c r="I323" s="1055"/>
      <c r="J323" s="1055"/>
      <c r="K323" s="1055"/>
      <c r="L323" s="1055"/>
      <c r="M323" s="1055"/>
      <c r="N323" s="1055"/>
      <c r="O323" s="1055"/>
      <c r="P323" s="1055"/>
      <c r="Q323" s="1055"/>
      <c r="R323" s="1055"/>
      <c r="T323" s="41" t="s">
        <v>700</v>
      </c>
      <c r="V323" s="41"/>
      <c r="W323" s="41"/>
      <c r="X323" s="41"/>
      <c r="Y323" s="41"/>
      <c r="AA323" s="1055" t="s">
        <v>2388</v>
      </c>
      <c r="AB323" s="1055"/>
      <c r="AC323" s="1055"/>
      <c r="AD323" s="1055"/>
      <c r="AE323" s="1055"/>
      <c r="AF323" s="1055"/>
      <c r="AG323" s="1055"/>
      <c r="AH323" s="1055"/>
      <c r="AI323" s="1055"/>
      <c r="AJ323" s="1055"/>
      <c r="AK323" s="1055"/>
      <c r="BA323" s="43"/>
    </row>
    <row r="324" spans="2:53" ht="12.95" customHeight="1">
      <c r="B324" s="41" t="s">
        <v>374</v>
      </c>
      <c r="C324" s="41"/>
      <c r="D324" s="41"/>
      <c r="E324" s="41"/>
      <c r="F324" s="41"/>
      <c r="H324" s="1055" t="s">
        <v>2479</v>
      </c>
      <c r="I324" s="1055"/>
      <c r="J324" s="1055"/>
      <c r="K324" s="1055"/>
      <c r="L324" s="1055"/>
      <c r="M324" s="1055"/>
      <c r="N324" s="1055"/>
      <c r="O324" s="1055"/>
      <c r="P324" s="1055"/>
      <c r="Q324" s="1055"/>
      <c r="R324" s="1055"/>
      <c r="T324" s="41" t="s">
        <v>374</v>
      </c>
      <c r="V324" s="41"/>
      <c r="W324" s="41"/>
      <c r="X324" s="41"/>
      <c r="Y324" s="41"/>
      <c r="AA324" s="1055" t="s">
        <v>2389</v>
      </c>
      <c r="AB324" s="1055"/>
      <c r="AC324" s="1055"/>
      <c r="AD324" s="1055"/>
      <c r="AE324" s="1055"/>
      <c r="AF324" s="1055"/>
      <c r="AG324" s="1055"/>
      <c r="AH324" s="1055"/>
      <c r="AI324" s="1055"/>
      <c r="AJ324" s="1055"/>
      <c r="AK324" s="1055"/>
      <c r="BA324" s="43"/>
    </row>
    <row r="325" spans="2:53" ht="12.95" customHeight="1">
      <c r="B325" s="41" t="s">
        <v>375</v>
      </c>
      <c r="C325" s="41"/>
      <c r="D325" s="41"/>
      <c r="E325" s="41"/>
      <c r="F325" s="41"/>
      <c r="G325" s="41"/>
      <c r="H325" s="1058">
        <v>9164440286</v>
      </c>
      <c r="I325" s="1058"/>
      <c r="J325" s="1058"/>
      <c r="K325" s="1058"/>
      <c r="L325" s="1058"/>
      <c r="M325" s="1058"/>
      <c r="N325" s="5" t="s">
        <v>818</v>
      </c>
      <c r="O325" s="5"/>
      <c r="P325" s="1054"/>
      <c r="Q325" s="1054"/>
      <c r="R325" s="1054"/>
      <c r="S325" s="41"/>
      <c r="T325" s="41" t="s">
        <v>375</v>
      </c>
      <c r="V325" s="41"/>
      <c r="W325" s="41"/>
      <c r="X325" s="41"/>
      <c r="Y325" s="41"/>
      <c r="AA325" s="1058" t="s">
        <v>2390</v>
      </c>
      <c r="AB325" s="1058"/>
      <c r="AC325" s="1058"/>
      <c r="AD325" s="1058"/>
      <c r="AE325" s="1058"/>
      <c r="AF325" s="1058"/>
      <c r="AG325" s="5" t="s">
        <v>818</v>
      </c>
      <c r="AH325" s="5"/>
      <c r="AI325" s="1054"/>
      <c r="AJ325" s="1054"/>
      <c r="AK325" s="1054"/>
      <c r="BA325" s="43"/>
    </row>
    <row r="326" spans="2:53" ht="12.95" customHeight="1">
      <c r="B326" s="41" t="s">
        <v>376</v>
      </c>
      <c r="C326" s="41"/>
      <c r="D326" s="41"/>
      <c r="E326" s="41"/>
      <c r="F326" s="41"/>
      <c r="G326" s="41"/>
      <c r="H326" s="1059"/>
      <c r="I326" s="1059"/>
      <c r="J326" s="1059"/>
      <c r="K326" s="1059"/>
      <c r="L326" s="1059"/>
      <c r="M326" s="1059"/>
      <c r="N326" s="5"/>
      <c r="O326" s="5"/>
      <c r="P326" s="44"/>
      <c r="Q326" s="44"/>
      <c r="R326" s="44"/>
      <c r="S326" s="41"/>
      <c r="T326" s="41" t="s">
        <v>376</v>
      </c>
      <c r="V326" s="41"/>
      <c r="W326" s="41"/>
      <c r="X326" s="41"/>
      <c r="Y326" s="41"/>
      <c r="AA326" s="1059" t="s">
        <v>2391</v>
      </c>
      <c r="AB326" s="1059"/>
      <c r="AC326" s="1059"/>
      <c r="AD326" s="1059"/>
      <c r="AE326" s="1059"/>
      <c r="AF326" s="1059"/>
      <c r="AG326" s="5"/>
      <c r="AH326" s="5"/>
      <c r="AI326" s="44"/>
      <c r="AJ326" s="44"/>
      <c r="AK326" s="44"/>
      <c r="BA326" s="43"/>
    </row>
    <row r="327" spans="2:53" ht="12.95" customHeight="1">
      <c r="B327" s="41" t="s">
        <v>702</v>
      </c>
      <c r="C327" s="41"/>
      <c r="D327" s="41"/>
      <c r="E327" s="41"/>
      <c r="F327" s="41"/>
      <c r="G327" s="41"/>
      <c r="H327" s="1055" t="s">
        <v>2370</v>
      </c>
      <c r="I327" s="1055"/>
      <c r="J327" s="1055"/>
      <c r="K327" s="1055"/>
      <c r="L327" s="1055"/>
      <c r="M327" s="1055"/>
      <c r="N327" s="1057"/>
      <c r="O327" s="1057"/>
      <c r="P327" s="1057"/>
      <c r="Q327" s="1057"/>
      <c r="R327" s="1057"/>
      <c r="S327" s="41"/>
      <c r="T327" s="41" t="s">
        <v>702</v>
      </c>
      <c r="V327" s="41"/>
      <c r="W327" s="41"/>
      <c r="X327" s="41"/>
      <c r="Y327" s="41"/>
      <c r="AA327" s="1055" t="s">
        <v>2392</v>
      </c>
      <c r="AB327" s="1055"/>
      <c r="AC327" s="1055"/>
      <c r="AD327" s="1055"/>
      <c r="AE327" s="1055"/>
      <c r="AF327" s="1055"/>
      <c r="AG327" s="1057"/>
      <c r="AH327" s="1057"/>
      <c r="AI327" s="1057"/>
      <c r="AJ327" s="1057"/>
      <c r="AK327" s="105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7" t="s">
        <v>2393</v>
      </c>
      <c r="I329" s="1057"/>
      <c r="J329" s="1057"/>
      <c r="K329" s="1057"/>
      <c r="L329" s="1057"/>
      <c r="M329" s="1057"/>
      <c r="N329" s="1057"/>
      <c r="O329" s="1057"/>
      <c r="P329" s="1057"/>
      <c r="Q329" s="1057"/>
      <c r="R329" s="1057"/>
      <c r="T329" s="5" t="s">
        <v>1106</v>
      </c>
      <c r="V329" s="41"/>
      <c r="W329" s="41"/>
      <c r="X329" s="41"/>
      <c r="Y329" s="41"/>
      <c r="AA329" s="1057" t="s">
        <v>2399</v>
      </c>
      <c r="AB329" s="1057"/>
      <c r="AC329" s="1057"/>
      <c r="AD329" s="1057"/>
      <c r="AE329" s="1057"/>
      <c r="AF329" s="1057"/>
      <c r="AG329" s="1057"/>
      <c r="AH329" s="1057"/>
      <c r="AI329" s="1057"/>
      <c r="AJ329" s="1057"/>
      <c r="AK329" s="1057"/>
      <c r="BA329" s="43"/>
    </row>
    <row r="330" spans="2:53" ht="12.95" customHeight="1">
      <c r="B330" s="41" t="s">
        <v>699</v>
      </c>
      <c r="C330" s="41"/>
      <c r="D330" s="41"/>
      <c r="E330" s="41"/>
      <c r="F330" s="41"/>
      <c r="H330" s="1055" t="s">
        <v>2394</v>
      </c>
      <c r="I330" s="1055"/>
      <c r="J330" s="1055"/>
      <c r="K330" s="1055"/>
      <c r="L330" s="1055"/>
      <c r="M330" s="1055"/>
      <c r="N330" s="1055"/>
      <c r="O330" s="1055"/>
      <c r="P330" s="1055"/>
      <c r="Q330" s="1055"/>
      <c r="R330" s="1055"/>
      <c r="T330" s="41" t="s">
        <v>699</v>
      </c>
      <c r="V330" s="41"/>
      <c r="W330" s="41"/>
      <c r="X330" s="41"/>
      <c r="Y330" s="41"/>
      <c r="AA330" s="1055" t="s">
        <v>2400</v>
      </c>
      <c r="AB330" s="1055"/>
      <c r="AC330" s="1055"/>
      <c r="AD330" s="1055"/>
      <c r="AE330" s="1055"/>
      <c r="AF330" s="1055"/>
      <c r="AG330" s="1055"/>
      <c r="AH330" s="1055"/>
      <c r="AI330" s="1055"/>
      <c r="AJ330" s="1055"/>
      <c r="AK330" s="1055"/>
      <c r="BA330" s="43"/>
    </row>
    <row r="331" spans="2:53" ht="12.95" customHeight="1">
      <c r="B331" s="41" t="s">
        <v>701</v>
      </c>
      <c r="C331" s="41"/>
      <c r="D331" s="41"/>
      <c r="E331" s="41"/>
      <c r="F331" s="41"/>
      <c r="G331" s="41"/>
      <c r="H331" s="1055" t="s">
        <v>2395</v>
      </c>
      <c r="I331" s="1055"/>
      <c r="J331" s="1055"/>
      <c r="K331" s="1055"/>
      <c r="L331" s="1055"/>
      <c r="M331" s="1055"/>
      <c r="N331" s="1055"/>
      <c r="O331" s="1055"/>
      <c r="P331" s="1055"/>
      <c r="Q331" s="1055"/>
      <c r="R331" s="1055"/>
      <c r="T331" s="41" t="s">
        <v>700</v>
      </c>
      <c r="V331" s="41"/>
      <c r="W331" s="41"/>
      <c r="X331" s="41"/>
      <c r="Y331" s="41"/>
      <c r="AA331" s="1055" t="s">
        <v>2401</v>
      </c>
      <c r="AB331" s="1055"/>
      <c r="AC331" s="1055"/>
      <c r="AD331" s="1055"/>
      <c r="AE331" s="1055"/>
      <c r="AF331" s="1055"/>
      <c r="AG331" s="1055"/>
      <c r="AH331" s="1055"/>
      <c r="AI331" s="1055"/>
      <c r="AJ331" s="1055"/>
      <c r="AK331" s="1055"/>
      <c r="BA331" s="43"/>
    </row>
    <row r="332" spans="2:53" ht="12.95" customHeight="1">
      <c r="B332" s="41" t="s">
        <v>374</v>
      </c>
      <c r="C332" s="41"/>
      <c r="D332" s="41"/>
      <c r="E332" s="41"/>
      <c r="F332" s="41"/>
      <c r="H332" s="1055" t="s">
        <v>2396</v>
      </c>
      <c r="I332" s="1055"/>
      <c r="J332" s="1055"/>
      <c r="K332" s="1055"/>
      <c r="L332" s="1055"/>
      <c r="M332" s="1055"/>
      <c r="N332" s="1055"/>
      <c r="O332" s="1055"/>
      <c r="P332" s="1055"/>
      <c r="Q332" s="1055"/>
      <c r="R332" s="1055"/>
      <c r="T332" s="41" t="s">
        <v>374</v>
      </c>
      <c r="V332" s="41"/>
      <c r="W332" s="41"/>
      <c r="X332" s="41"/>
      <c r="Y332" s="41"/>
      <c r="AA332" s="1055" t="s">
        <v>2402</v>
      </c>
      <c r="AB332" s="1055"/>
      <c r="AC332" s="1055"/>
      <c r="AD332" s="1055"/>
      <c r="AE332" s="1055"/>
      <c r="AF332" s="1055"/>
      <c r="AG332" s="1055"/>
      <c r="AH332" s="1055"/>
      <c r="AI332" s="1055"/>
      <c r="AJ332" s="1055"/>
      <c r="AK332" s="1055"/>
      <c r="BA332" s="43"/>
    </row>
    <row r="333" spans="2:53" ht="12.95" customHeight="1">
      <c r="B333" s="41" t="s">
        <v>375</v>
      </c>
      <c r="C333" s="41"/>
      <c r="D333" s="41"/>
      <c r="E333" s="41"/>
      <c r="F333" s="41"/>
      <c r="G333" s="41"/>
      <c r="H333" s="1058" t="s">
        <v>2397</v>
      </c>
      <c r="I333" s="1058"/>
      <c r="J333" s="1058"/>
      <c r="K333" s="1058"/>
      <c r="L333" s="1058"/>
      <c r="M333" s="1058"/>
      <c r="N333" s="5" t="s">
        <v>818</v>
      </c>
      <c r="O333" s="5"/>
      <c r="P333" s="1054"/>
      <c r="Q333" s="1054"/>
      <c r="R333" s="1054"/>
      <c r="T333" s="41" t="s">
        <v>375</v>
      </c>
      <c r="V333" s="41"/>
      <c r="W333" s="41"/>
      <c r="X333" s="41"/>
      <c r="Y333" s="41"/>
      <c r="AA333" s="1058" t="s">
        <v>2403</v>
      </c>
      <c r="AB333" s="1058"/>
      <c r="AC333" s="1058"/>
      <c r="AD333" s="1058"/>
      <c r="AE333" s="1058"/>
      <c r="AF333" s="1058"/>
      <c r="AG333" s="5" t="s">
        <v>818</v>
      </c>
      <c r="AH333" s="5"/>
      <c r="AI333" s="1054"/>
      <c r="AJ333" s="1054"/>
      <c r="AK333" s="1054"/>
      <c r="BA333" s="43"/>
    </row>
    <row r="334" spans="2:53" ht="12.95" customHeight="1">
      <c r="B334" s="41" t="s">
        <v>376</v>
      </c>
      <c r="C334" s="41"/>
      <c r="D334" s="41"/>
      <c r="E334" s="41"/>
      <c r="F334" s="41"/>
      <c r="G334" s="41"/>
      <c r="H334" s="1059"/>
      <c r="I334" s="1059"/>
      <c r="J334" s="1059"/>
      <c r="K334" s="1059"/>
      <c r="L334" s="1059"/>
      <c r="M334" s="1059"/>
      <c r="N334" s="5"/>
      <c r="O334" s="5"/>
      <c r="P334" s="44"/>
      <c r="Q334" s="44"/>
      <c r="R334" s="44"/>
      <c r="T334" s="41" t="s">
        <v>376</v>
      </c>
      <c r="V334" s="41"/>
      <c r="W334" s="41"/>
      <c r="X334" s="41"/>
      <c r="Y334" s="41"/>
      <c r="AA334" s="1059"/>
      <c r="AB334" s="1059"/>
      <c r="AC334" s="1059"/>
      <c r="AD334" s="1059"/>
      <c r="AE334" s="1059"/>
      <c r="AF334" s="1059"/>
      <c r="AG334" s="5"/>
      <c r="AH334" s="5"/>
      <c r="AI334" s="44"/>
      <c r="AJ334" s="44"/>
      <c r="AK334" s="44"/>
      <c r="BA334" s="43"/>
    </row>
    <row r="335" spans="2:53" ht="12.95" customHeight="1">
      <c r="B335" s="41" t="s">
        <v>702</v>
      </c>
      <c r="C335" s="41"/>
      <c r="D335" s="41"/>
      <c r="E335" s="41"/>
      <c r="F335" s="41"/>
      <c r="G335" s="41"/>
      <c r="H335" s="1055" t="s">
        <v>2398</v>
      </c>
      <c r="I335" s="1055"/>
      <c r="J335" s="1055"/>
      <c r="K335" s="1055"/>
      <c r="L335" s="1055"/>
      <c r="M335" s="1055"/>
      <c r="N335" s="1057"/>
      <c r="O335" s="1057"/>
      <c r="P335" s="1057"/>
      <c r="Q335" s="1057"/>
      <c r="R335" s="1057"/>
      <c r="T335" s="41" t="s">
        <v>702</v>
      </c>
      <c r="V335" s="41"/>
      <c r="W335" s="41"/>
      <c r="X335" s="41"/>
      <c r="Y335" s="41"/>
      <c r="AA335" s="1055" t="s">
        <v>2404</v>
      </c>
      <c r="AB335" s="1055"/>
      <c r="AC335" s="1055"/>
      <c r="AD335" s="1055"/>
      <c r="AE335" s="1055"/>
      <c r="AF335" s="1055"/>
      <c r="AG335" s="1057"/>
      <c r="AH335" s="1057"/>
      <c r="AI335" s="1057"/>
      <c r="AJ335" s="1057"/>
      <c r="AK335" s="105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7" t="s">
        <v>124</v>
      </c>
      <c r="I337" s="1057"/>
      <c r="J337" s="1057"/>
      <c r="K337" s="1057"/>
      <c r="L337" s="1057"/>
      <c r="M337" s="1057"/>
      <c r="N337" s="1057"/>
      <c r="O337" s="1057"/>
      <c r="P337" s="1057"/>
      <c r="Q337" s="1057"/>
      <c r="R337" s="1057"/>
      <c r="T337" s="361" t="s">
        <v>1145</v>
      </c>
      <c r="AA337" s="1057" t="s">
        <v>124</v>
      </c>
      <c r="AB337" s="1057"/>
      <c r="AC337" s="1057"/>
      <c r="AD337" s="1057"/>
      <c r="AE337" s="1057"/>
      <c r="AF337" s="1057"/>
      <c r="AG337" s="1057"/>
      <c r="AH337" s="1057"/>
      <c r="AI337" s="1057"/>
      <c r="AJ337" s="1057"/>
      <c r="AK337" s="1057"/>
      <c r="BA337" s="43"/>
    </row>
    <row r="338" spans="1:53" ht="12.95" customHeight="1">
      <c r="B338" s="361" t="s">
        <v>699</v>
      </c>
      <c r="C338" s="361"/>
      <c r="D338" s="361"/>
      <c r="E338" s="361"/>
      <c r="F338" s="361"/>
      <c r="G338" s="361"/>
      <c r="H338" s="1055"/>
      <c r="I338" s="1055"/>
      <c r="J338" s="1055"/>
      <c r="K338" s="1055"/>
      <c r="L338" s="1055"/>
      <c r="M338" s="1055"/>
      <c r="N338" s="1055"/>
      <c r="O338" s="1055"/>
      <c r="P338" s="1055"/>
      <c r="Q338" s="1055"/>
      <c r="R338" s="1055"/>
      <c r="T338" s="41" t="s">
        <v>699</v>
      </c>
      <c r="AA338" s="1055"/>
      <c r="AB338" s="1055"/>
      <c r="AC338" s="1055"/>
      <c r="AD338" s="1055"/>
      <c r="AE338" s="1055"/>
      <c r="AF338" s="1055"/>
      <c r="AG338" s="1055"/>
      <c r="AH338" s="1055"/>
      <c r="AI338" s="1055"/>
      <c r="AJ338" s="1055"/>
      <c r="AK338" s="1055"/>
      <c r="BA338" s="43"/>
    </row>
    <row r="339" spans="1:53" ht="12.95" customHeight="1">
      <c r="B339" s="361" t="s">
        <v>701</v>
      </c>
      <c r="C339" s="361"/>
      <c r="D339" s="361"/>
      <c r="E339" s="361"/>
      <c r="F339" s="361"/>
      <c r="G339" s="361"/>
      <c r="H339" s="1055"/>
      <c r="I339" s="1055"/>
      <c r="J339" s="1055"/>
      <c r="K339" s="1055"/>
      <c r="L339" s="1055"/>
      <c r="M339" s="1055"/>
      <c r="N339" s="1055"/>
      <c r="O339" s="1055"/>
      <c r="P339" s="1055"/>
      <c r="Q339" s="1055"/>
      <c r="R339" s="1055"/>
      <c r="T339" s="41" t="s">
        <v>700</v>
      </c>
      <c r="AA339" s="1055"/>
      <c r="AB339" s="1055"/>
      <c r="AC339" s="1055"/>
      <c r="AD339" s="1055"/>
      <c r="AE339" s="1055"/>
      <c r="AF339" s="1055"/>
      <c r="AG339" s="1055"/>
      <c r="AH339" s="1055"/>
      <c r="AI339" s="1055"/>
      <c r="AJ339" s="1055"/>
      <c r="AK339" s="1055"/>
    </row>
    <row r="340" spans="1:53" ht="12.95" customHeight="1">
      <c r="B340" s="361" t="s">
        <v>374</v>
      </c>
      <c r="C340" s="361"/>
      <c r="D340" s="361"/>
      <c r="E340" s="361"/>
      <c r="F340" s="361"/>
      <c r="G340" s="361"/>
      <c r="H340" s="1055"/>
      <c r="I340" s="1055"/>
      <c r="J340" s="1055"/>
      <c r="K340" s="1055"/>
      <c r="L340" s="1055"/>
      <c r="M340" s="1055"/>
      <c r="N340" s="1055"/>
      <c r="O340" s="1055"/>
      <c r="P340" s="1055"/>
      <c r="Q340" s="1055"/>
      <c r="R340" s="1055"/>
      <c r="T340" s="41" t="s">
        <v>374</v>
      </c>
      <c r="AA340" s="1055"/>
      <c r="AB340" s="1055"/>
      <c r="AC340" s="1055"/>
      <c r="AD340" s="1055"/>
      <c r="AE340" s="1055"/>
      <c r="AF340" s="1055"/>
      <c r="AG340" s="1055"/>
      <c r="AH340" s="1055"/>
      <c r="AI340" s="1055"/>
      <c r="AJ340" s="1055"/>
      <c r="AK340" s="1055"/>
    </row>
    <row r="341" spans="1:53" ht="12.95" customHeight="1">
      <c r="B341" s="361" t="s">
        <v>375</v>
      </c>
      <c r="C341" s="361"/>
      <c r="D341" s="361"/>
      <c r="E341" s="361"/>
      <c r="F341" s="361"/>
      <c r="G341" s="361"/>
      <c r="H341" s="1058"/>
      <c r="I341" s="1058"/>
      <c r="J341" s="1058"/>
      <c r="K341" s="1058"/>
      <c r="L341" s="1058"/>
      <c r="M341" s="1058"/>
      <c r="N341" s="5" t="s">
        <v>818</v>
      </c>
      <c r="O341" s="5"/>
      <c r="P341" s="1054"/>
      <c r="Q341" s="1054"/>
      <c r="R341" s="1054"/>
      <c r="T341" s="41" t="s">
        <v>375</v>
      </c>
      <c r="AA341" s="1058"/>
      <c r="AB341" s="1058"/>
      <c r="AC341" s="1058"/>
      <c r="AD341" s="1058"/>
      <c r="AE341" s="1058"/>
      <c r="AF341" s="1058"/>
      <c r="AG341" s="5" t="s">
        <v>818</v>
      </c>
      <c r="AH341" s="5"/>
      <c r="AI341" s="1054"/>
      <c r="AJ341" s="1054"/>
      <c r="AK341" s="1054"/>
    </row>
    <row r="342" spans="1:53" ht="12.95" customHeight="1">
      <c r="B342" s="361" t="s">
        <v>376</v>
      </c>
      <c r="C342" s="361"/>
      <c r="D342" s="361"/>
      <c r="E342" s="361"/>
      <c r="F342" s="361"/>
      <c r="G342" s="361"/>
      <c r="H342" s="1059"/>
      <c r="I342" s="1059"/>
      <c r="J342" s="1059"/>
      <c r="K342" s="1059"/>
      <c r="L342" s="1059"/>
      <c r="M342" s="1059"/>
      <c r="N342" s="5"/>
      <c r="O342" s="5"/>
      <c r="P342" s="44"/>
      <c r="Q342" s="44"/>
      <c r="R342" s="44"/>
      <c r="T342" s="41" t="s">
        <v>376</v>
      </c>
      <c r="AA342" s="1059"/>
      <c r="AB342" s="1059"/>
      <c r="AC342" s="1059"/>
      <c r="AD342" s="1059"/>
      <c r="AE342" s="1059"/>
      <c r="AF342" s="1059"/>
      <c r="AG342" s="5"/>
      <c r="AH342" s="5"/>
      <c r="AI342" s="44"/>
      <c r="AJ342" s="44"/>
      <c r="AK342" s="44"/>
    </row>
    <row r="343" spans="1:53" ht="12.95" customHeight="1">
      <c r="B343" s="361" t="s">
        <v>702</v>
      </c>
      <c r="C343" s="361"/>
      <c r="D343" s="361"/>
      <c r="E343" s="361"/>
      <c r="F343" s="361"/>
      <c r="G343" s="361"/>
      <c r="H343" s="1055"/>
      <c r="I343" s="1055"/>
      <c r="J343" s="1055"/>
      <c r="K343" s="1055"/>
      <c r="L343" s="1055"/>
      <c r="M343" s="1055"/>
      <c r="N343" s="1057"/>
      <c r="O343" s="1057"/>
      <c r="P343" s="1057"/>
      <c r="Q343" s="1057"/>
      <c r="R343" s="1057"/>
      <c r="T343" s="41" t="s">
        <v>702</v>
      </c>
      <c r="AA343" s="1055"/>
      <c r="AB343" s="1055"/>
      <c r="AC343" s="1055"/>
      <c r="AD343" s="1055"/>
      <c r="AE343" s="1055"/>
      <c r="AF343" s="1055"/>
      <c r="AG343" s="1057"/>
      <c r="AH343" s="1057"/>
      <c r="AI343" s="1057"/>
      <c r="AJ343" s="1057"/>
      <c r="AK343" s="105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5"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6" t="s">
        <v>108</v>
      </c>
      <c r="N349" s="1116"/>
      <c r="P349" t="s">
        <v>1964</v>
      </c>
      <c r="AJ349" s="1116" t="s">
        <v>482</v>
      </c>
      <c r="AK349" s="1116"/>
    </row>
    <row r="350" spans="1:53" ht="12.95" customHeight="1">
      <c r="D350" s="41" t="s">
        <v>1890</v>
      </c>
      <c r="M350" s="1116" t="s">
        <v>124</v>
      </c>
      <c r="N350" s="1116"/>
      <c r="P350" s="41" t="s">
        <v>1965</v>
      </c>
      <c r="AJ350" s="1145"/>
      <c r="AK350" s="1145"/>
    </row>
    <row r="351" spans="1:53" ht="12.95" customHeight="1">
      <c r="D351" t="s">
        <v>313</v>
      </c>
      <c r="M351" s="1116" t="s">
        <v>124</v>
      </c>
      <c r="N351" s="1116"/>
      <c r="P351" t="s">
        <v>1966</v>
      </c>
      <c r="AJ351" s="1116" t="s">
        <v>124</v>
      </c>
      <c r="AK351" s="1116"/>
    </row>
    <row r="352" spans="1:53" ht="12.95" customHeight="1">
      <c r="D352" t="s">
        <v>314</v>
      </c>
      <c r="M352" s="1116" t="s">
        <v>124</v>
      </c>
      <c r="N352" s="1116"/>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5" customHeight="1">
      <c r="E358" t="s">
        <v>733</v>
      </c>
      <c r="Y358" s="1116" t="s">
        <v>124</v>
      </c>
      <c r="Z358" s="1116"/>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2.95"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5"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5"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5" customHeight="1">
      <c r="E366" s="5" t="s">
        <v>65</v>
      </c>
      <c r="F366" s="5"/>
      <c r="G366" s="5"/>
      <c r="H366" s="5"/>
      <c r="I366" s="5"/>
      <c r="J366" s="5"/>
      <c r="K366" s="5"/>
      <c r="L366" s="5"/>
      <c r="N366" s="1349"/>
      <c r="O366" s="1349"/>
      <c r="P366" s="1349"/>
      <c r="Q366" s="1349"/>
      <c r="R366" s="1349"/>
      <c r="S366" s="1349"/>
      <c r="T366" s="1349"/>
      <c r="U366" s="1349"/>
      <c r="V366" s="1349"/>
      <c r="W366" s="1349"/>
      <c r="X366" s="1349"/>
      <c r="Y366" s="1349"/>
      <c r="Z366" s="1349"/>
      <c r="AA366" s="1349"/>
      <c r="AB366" s="1349"/>
      <c r="AC366" s="1349"/>
      <c r="AD366" s="1349"/>
      <c r="AE366" s="1349"/>
      <c r="AF366" s="1349"/>
    </row>
    <row r="367" spans="1:57" ht="12.95" customHeight="1">
      <c r="E367" s="5"/>
      <c r="F367" s="5"/>
      <c r="G367" s="5"/>
      <c r="H367" s="5"/>
      <c r="I367" s="5"/>
      <c r="J367" s="5"/>
      <c r="K367" s="5"/>
      <c r="L367" s="5"/>
      <c r="N367" s="1350"/>
      <c r="O367" s="1350"/>
      <c r="P367" s="1350"/>
      <c r="Q367" s="1350"/>
      <c r="R367" s="1350"/>
      <c r="S367" s="1350"/>
      <c r="T367" s="1350"/>
      <c r="U367" s="1350"/>
      <c r="V367" s="1350"/>
      <c r="W367" s="1350"/>
      <c r="X367" s="1350"/>
      <c r="Y367" s="1350"/>
      <c r="Z367" s="1350"/>
      <c r="AA367" s="1350"/>
      <c r="AB367" s="1350"/>
      <c r="AC367" s="1350"/>
      <c r="AD367" s="1350"/>
      <c r="AE367" s="1350"/>
      <c r="AF367" s="1350"/>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4"/>
      <c r="T370" s="1344"/>
      <c r="U370" s="370" t="s">
        <v>232</v>
      </c>
      <c r="V370" s="1344"/>
      <c r="W370" s="1344"/>
      <c r="X370" s="361"/>
      <c r="Z370" s="361"/>
      <c r="AA370" s="940" t="s">
        <v>2107</v>
      </c>
      <c r="AB370" s="361" t="s">
        <v>231</v>
      </c>
      <c r="AC370" s="361"/>
      <c r="AD370" s="1344"/>
      <c r="AE370" s="1344"/>
      <c r="AF370" s="370" t="s">
        <v>232</v>
      </c>
      <c r="AG370" s="1344"/>
      <c r="AH370" s="1344"/>
    </row>
    <row r="371" spans="1:36" ht="12.95" customHeight="1">
      <c r="D371" s="361"/>
      <c r="E371" s="361" t="s">
        <v>1235</v>
      </c>
      <c r="F371" s="361"/>
      <c r="G371" s="361"/>
      <c r="H371" s="361"/>
      <c r="I371" s="361"/>
      <c r="J371" s="361"/>
      <c r="K371" s="361"/>
      <c r="L371" s="361"/>
      <c r="M371" s="361"/>
      <c r="N371" s="1344"/>
      <c r="O371" s="1344"/>
      <c r="P371" s="1344"/>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7" t="s">
        <v>2324</v>
      </c>
      <c r="K378" s="1057"/>
      <c r="L378" s="1057"/>
      <c r="M378" s="1057"/>
      <c r="N378" s="1057"/>
      <c r="O378" s="1057"/>
      <c r="P378" s="1057"/>
      <c r="Q378" s="1057"/>
      <c r="R378" s="1057"/>
      <c r="S378" s="1057"/>
      <c r="T378" s="1057"/>
      <c r="U378" s="1057"/>
      <c r="V378" s="12" t="s">
        <v>710</v>
      </c>
      <c r="W378" s="12"/>
      <c r="X378" s="12"/>
      <c r="Y378" s="12"/>
      <c r="Z378" s="12"/>
      <c r="AA378" s="12"/>
      <c r="AB378" s="12"/>
      <c r="AC378" s="1057" t="s">
        <v>2409</v>
      </c>
      <c r="AD378" s="1057"/>
      <c r="AE378" s="1057"/>
      <c r="AF378" s="1057"/>
      <c r="AG378" s="1057"/>
      <c r="AH378" s="1057"/>
      <c r="AI378" s="1057"/>
      <c r="AJ378" s="1057"/>
    </row>
    <row r="379" spans="1:36" ht="12.95" customHeight="1">
      <c r="D379" s="41" t="s">
        <v>1967</v>
      </c>
      <c r="J379" s="1055" t="s">
        <v>2405</v>
      </c>
      <c r="K379" s="1055"/>
      <c r="L379" s="1055"/>
      <c r="M379" s="1055"/>
      <c r="N379" s="1055"/>
      <c r="O379" s="1055"/>
      <c r="P379" s="1055"/>
      <c r="Q379" s="1055"/>
      <c r="R379" s="1055"/>
      <c r="S379" s="1055"/>
      <c r="T379" s="1055"/>
      <c r="U379" s="1055"/>
      <c r="V379" s="41" t="s">
        <v>1967</v>
      </c>
      <c r="W379" s="12"/>
      <c r="X379" s="12"/>
      <c r="Y379" s="12"/>
      <c r="Z379" s="12"/>
      <c r="AA379" s="12"/>
      <c r="AB379" s="12"/>
      <c r="AC379" s="1057" t="s">
        <v>2324</v>
      </c>
      <c r="AD379" s="1057"/>
      <c r="AE379" s="1057"/>
      <c r="AF379" s="1057"/>
      <c r="AG379" s="1057"/>
      <c r="AH379" s="1057"/>
      <c r="AI379" s="1057"/>
      <c r="AJ379" s="1057"/>
    </row>
    <row r="380" spans="1:36" ht="12.95" customHeight="1">
      <c r="D380" s="41" t="s">
        <v>544</v>
      </c>
      <c r="J380" s="1055" t="s">
        <v>2406</v>
      </c>
      <c r="K380" s="1055"/>
      <c r="L380" s="1055"/>
      <c r="M380" s="1055"/>
      <c r="N380" s="1055"/>
      <c r="O380" s="1055"/>
      <c r="P380" s="1055"/>
      <c r="Q380" s="1055"/>
      <c r="R380" s="1055"/>
      <c r="S380" s="1055"/>
      <c r="T380" s="1055"/>
      <c r="U380" s="1055"/>
      <c r="V380" s="41" t="s">
        <v>544</v>
      </c>
      <c r="W380" s="12"/>
      <c r="X380" s="12"/>
      <c r="Y380" s="12"/>
      <c r="Z380" s="12"/>
      <c r="AA380" s="12"/>
      <c r="AB380" s="12"/>
      <c r="AC380" s="1057" t="s">
        <v>2410</v>
      </c>
      <c r="AD380" s="1057"/>
      <c r="AE380" s="1057"/>
      <c r="AF380" s="1057"/>
      <c r="AG380" s="1057"/>
      <c r="AH380" s="1057"/>
      <c r="AI380" s="1057"/>
      <c r="AJ380" s="1057"/>
    </row>
    <row r="381" spans="1:36" ht="12.95" customHeight="1">
      <c r="D381" t="s">
        <v>1968</v>
      </c>
      <c r="J381" s="1143" t="s">
        <v>2407</v>
      </c>
      <c r="K381" s="1143"/>
      <c r="L381" s="1143"/>
      <c r="M381" s="1143"/>
      <c r="N381" s="1143"/>
      <c r="O381" s="1143"/>
      <c r="P381" s="1143"/>
      <c r="Q381" s="1143"/>
      <c r="R381" s="1143"/>
      <c r="S381" s="1143"/>
      <c r="T381" s="1143"/>
      <c r="U381" s="1143"/>
      <c r="V381" s="1057" t="s">
        <v>2408</v>
      </c>
      <c r="W381" s="1057"/>
      <c r="X381" s="1057"/>
      <c r="Y381" s="1057"/>
      <c r="Z381" s="1057"/>
      <c r="AA381" s="1057"/>
      <c r="AB381" s="1057"/>
      <c r="AC381" s="1057"/>
      <c r="AD381" s="1057"/>
      <c r="AE381" s="1057"/>
      <c r="AF381" s="1057"/>
      <c r="AG381" s="1057"/>
      <c r="AH381" s="1057"/>
      <c r="AI381" s="1057"/>
      <c r="AJ381" s="1057"/>
    </row>
    <row r="382" spans="1:36" ht="12.95" customHeight="1">
      <c r="D382" t="s">
        <v>554</v>
      </c>
      <c r="Q382" s="1472">
        <v>45028</v>
      </c>
      <c r="R382" s="1472"/>
      <c r="S382" s="1472"/>
      <c r="T382" s="1472"/>
      <c r="U382" s="1472"/>
      <c r="V382" t="s">
        <v>168</v>
      </c>
      <c r="AI382" s="1116" t="s">
        <v>482</v>
      </c>
      <c r="AJ382" s="1116"/>
    </row>
    <row r="383" spans="1:36" ht="12.95" customHeight="1">
      <c r="D383" t="s">
        <v>555</v>
      </c>
      <c r="Q383" s="1260">
        <v>45473</v>
      </c>
      <c r="R383" s="1351"/>
      <c r="S383" s="1351"/>
      <c r="T383" s="1351"/>
      <c r="U383" s="1351"/>
      <c r="W383" s="29" t="s">
        <v>20</v>
      </c>
      <c r="AG383" s="1131"/>
      <c r="AH383" s="1131"/>
      <c r="AI383" s="1131"/>
      <c r="AJ383" s="1131"/>
    </row>
    <row r="384" spans="1:36" ht="12.95" customHeight="1">
      <c r="D384" t="s">
        <v>274</v>
      </c>
      <c r="Q384" s="1115">
        <v>660000</v>
      </c>
      <c r="R384" s="1115"/>
      <c r="S384" s="1115"/>
      <c r="T384" s="1115"/>
      <c r="U384" s="1115"/>
      <c r="V384" s="41" t="s">
        <v>1969</v>
      </c>
      <c r="AG384" s="1278"/>
      <c r="AH384" s="1278"/>
      <c r="AI384" s="1278"/>
      <c r="AJ384" s="1278"/>
    </row>
    <row r="385" spans="4:36" ht="12.95" customHeight="1">
      <c r="D385" t="s">
        <v>375</v>
      </c>
      <c r="I385" s="1147" t="s">
        <v>2411</v>
      </c>
      <c r="J385" s="1147"/>
      <c r="K385" s="1147"/>
      <c r="L385" s="1147"/>
      <c r="M385" s="1147"/>
      <c r="N385" s="1147"/>
      <c r="Q385" s="41" t="s">
        <v>818</v>
      </c>
      <c r="S385" s="1148"/>
      <c r="T385" s="1148"/>
      <c r="U385" s="1148"/>
      <c r="V385" t="s">
        <v>19</v>
      </c>
      <c r="AI385" s="1116" t="s">
        <v>482</v>
      </c>
      <c r="AJ385" s="1116"/>
    </row>
    <row r="386" spans="4:36" ht="12.95" customHeight="1">
      <c r="D386" t="s">
        <v>169</v>
      </c>
      <c r="Q386" s="1174">
        <v>0</v>
      </c>
      <c r="R386" s="1174"/>
      <c r="S386" s="1174"/>
      <c r="T386" s="1174"/>
      <c r="U386" s="1174"/>
      <c r="V386" t="s">
        <v>170</v>
      </c>
      <c r="AG386" s="1131">
        <v>0</v>
      </c>
      <c r="AH386" s="1131"/>
      <c r="AI386" s="1131"/>
      <c r="AJ386" s="1131"/>
    </row>
    <row r="387" spans="4:36" ht="12.95" customHeight="1">
      <c r="D387" t="s">
        <v>25</v>
      </c>
      <c r="Q387" s="1414">
        <v>0</v>
      </c>
      <c r="R387" s="1414"/>
      <c r="S387" s="1414"/>
      <c r="T387" s="1414"/>
      <c r="U387" s="1414"/>
      <c r="V387" t="s">
        <v>1682</v>
      </c>
      <c r="AG387" s="1131">
        <v>0</v>
      </c>
      <c r="AH387" s="1131"/>
      <c r="AI387" s="1131"/>
      <c r="AJ387" s="1131"/>
    </row>
    <row r="388" spans="4:36" ht="12.95" customHeight="1">
      <c r="D388" t="s">
        <v>1970</v>
      </c>
      <c r="AG388" s="1131">
        <v>0</v>
      </c>
      <c r="AH388" s="1131"/>
      <c r="AI388" s="1131"/>
      <c r="AJ388" s="1131"/>
    </row>
    <row r="389" spans="4:36" ht="12.95" customHeight="1">
      <c r="AG389" s="832"/>
      <c r="AH389" s="832"/>
      <c r="AI389" s="832"/>
      <c r="AJ389" s="832"/>
    </row>
    <row r="390" spans="4:36" ht="12.95" customHeight="1">
      <c r="D390" s="41" t="s">
        <v>2209</v>
      </c>
      <c r="AG390" s="832"/>
      <c r="AH390" s="832"/>
      <c r="AI390" s="1116" t="s">
        <v>482</v>
      </c>
      <c r="AJ390" s="1116"/>
    </row>
    <row r="391" spans="4:36" ht="12.95" customHeight="1">
      <c r="D391" s="41" t="s">
        <v>1971</v>
      </c>
      <c r="T391" s="1129"/>
      <c r="U391" s="1129"/>
      <c r="V391" s="1129"/>
      <c r="W391" s="1129"/>
      <c r="X391" s="1129"/>
      <c r="Y391" s="1129"/>
      <c r="Z391" s="1129"/>
      <c r="AA391" s="1129"/>
      <c r="AB391" s="1129"/>
      <c r="AC391" s="1129"/>
      <c r="AD391" s="1129"/>
      <c r="AE391" s="1129"/>
      <c r="AF391" s="1129"/>
      <c r="AG391" s="1129"/>
      <c r="AH391" s="1129"/>
      <c r="AI391" s="1129"/>
      <c r="AJ391" s="1129"/>
    </row>
    <row r="392" spans="4:36" ht="12.95" customHeight="1">
      <c r="D392" s="41" t="s">
        <v>1972</v>
      </c>
      <c r="T392" s="1129"/>
      <c r="U392" s="1129"/>
      <c r="V392" s="1129"/>
      <c r="W392" s="1129"/>
      <c r="X392" s="1129"/>
      <c r="Y392" s="1129"/>
      <c r="Z392" s="1129"/>
      <c r="AA392" s="1129"/>
      <c r="AB392" s="1129"/>
      <c r="AC392" s="1129"/>
      <c r="AD392" s="1129"/>
      <c r="AE392" s="1129"/>
      <c r="AF392" s="1129"/>
      <c r="AG392" s="1129"/>
      <c r="AH392" s="1129"/>
      <c r="AI392" s="1129"/>
      <c r="AJ392" s="1129"/>
    </row>
    <row r="393" spans="4:36" ht="12.95" customHeight="1">
      <c r="AG393" s="832"/>
      <c r="AH393" s="832"/>
      <c r="AI393" s="832"/>
      <c r="AJ393" s="832"/>
    </row>
    <row r="394" spans="4:36" ht="12.95" customHeight="1">
      <c r="D394" s="41" t="s">
        <v>1973</v>
      </c>
      <c r="S394" s="1129" t="s">
        <v>482</v>
      </c>
      <c r="T394" s="1129"/>
      <c r="U394" s="1129"/>
      <c r="V394" t="s">
        <v>1974</v>
      </c>
      <c r="AG394" s="1471"/>
      <c r="AH394" s="1471"/>
      <c r="AI394" s="1471"/>
      <c r="AJ394" s="1471"/>
    </row>
    <row r="395" spans="4:36" ht="12.95" customHeight="1">
      <c r="D395" s="41" t="s">
        <v>1975</v>
      </c>
      <c r="S395" s="1129" t="s">
        <v>124</v>
      </c>
      <c r="T395" s="1129"/>
      <c r="U395" s="1129"/>
      <c r="V395" t="s">
        <v>1976</v>
      </c>
      <c r="AE395" s="1130"/>
      <c r="AF395" s="1130"/>
      <c r="AG395" s="1130"/>
      <c r="AH395" s="1130"/>
      <c r="AI395" s="1130"/>
      <c r="AJ395" s="1130"/>
    </row>
    <row r="396" spans="4:36" ht="12.95" customHeight="1">
      <c r="D396" s="41" t="s">
        <v>1977</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5" customHeight="1">
      <c r="D397" s="41" t="s">
        <v>1978</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5" customHeight="1">
      <c r="D398" s="41" t="s">
        <v>1979</v>
      </c>
      <c r="E398" s="813"/>
      <c r="F398" s="813"/>
      <c r="G398" s="813"/>
      <c r="H398" s="813"/>
      <c r="I398" s="813"/>
      <c r="J398" s="813"/>
      <c r="K398" s="813"/>
      <c r="L398" s="813"/>
      <c r="M398" s="813"/>
      <c r="N398" s="813"/>
      <c r="O398" s="813"/>
      <c r="P398" s="813"/>
      <c r="Q398" s="813"/>
      <c r="R398" s="813"/>
      <c r="S398" s="1473" t="s">
        <v>2412</v>
      </c>
      <c r="T398" s="1473"/>
      <c r="U398" s="1473"/>
      <c r="V398" s="1473"/>
      <c r="W398" s="1473"/>
      <c r="X398" s="1473"/>
      <c r="Y398" s="1473"/>
      <c r="Z398" s="1473"/>
      <c r="AA398" s="1473"/>
      <c r="AB398" s="1473"/>
      <c r="AC398" s="1473"/>
      <c r="AD398" s="1473"/>
      <c r="AE398" s="1473"/>
      <c r="AF398" s="1473"/>
      <c r="AG398" s="1473"/>
      <c r="AH398" s="1473"/>
      <c r="AI398" s="1473"/>
      <c r="AJ398" s="1473"/>
    </row>
    <row r="399" spans="4:36" ht="12.95" customHeight="1">
      <c r="D399" s="976" t="s">
        <v>1981</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32"/>
      <c r="AH401" s="832"/>
      <c r="AI401" s="832"/>
      <c r="AJ401" s="832"/>
    </row>
    <row r="402" spans="1:36" ht="12.95" customHeight="1">
      <c r="A402" s="3" t="s">
        <v>122</v>
      </c>
      <c r="B402" s="3"/>
      <c r="C402" s="3" t="s">
        <v>899</v>
      </c>
    </row>
    <row r="403" spans="1:36" ht="12.95" customHeight="1">
      <c r="D403" s="3" t="s">
        <v>1736</v>
      </c>
      <c r="I403" s="1322" t="s">
        <v>2413</v>
      </c>
      <c r="J403" s="1322"/>
      <c r="K403" s="1322"/>
      <c r="L403" s="1322"/>
      <c r="M403" s="1322"/>
      <c r="N403" s="1322"/>
      <c r="O403" s="1322"/>
      <c r="P403" s="1322"/>
      <c r="Q403" s="1322"/>
      <c r="R403" s="1322"/>
      <c r="S403" s="1322"/>
      <c r="T403" s="1322"/>
      <c r="U403" s="1322"/>
      <c r="V403" s="1322"/>
      <c r="W403" s="1322"/>
      <c r="X403" s="1322"/>
      <c r="Y403" s="1322"/>
      <c r="Z403" s="1322"/>
      <c r="AA403" s="1322"/>
      <c r="AB403" s="1322"/>
      <c r="AC403" s="1322"/>
      <c r="AD403" s="1322"/>
    </row>
    <row r="404" spans="1:36" ht="12.95" customHeight="1">
      <c r="E404" t="s">
        <v>855</v>
      </c>
      <c r="R404" s="1116" t="s">
        <v>124</v>
      </c>
      <c r="S404" s="1116"/>
      <c r="T404" t="s">
        <v>291</v>
      </c>
      <c r="AD404" s="1114">
        <v>0</v>
      </c>
      <c r="AE404" s="1114"/>
    </row>
    <row r="405" spans="1:36" ht="12.95" customHeight="1">
      <c r="E405" t="s">
        <v>856</v>
      </c>
      <c r="R405" s="1116" t="s">
        <v>108</v>
      </c>
      <c r="S405" s="1116"/>
      <c r="T405" t="s">
        <v>291</v>
      </c>
      <c r="AD405" s="1114">
        <v>3</v>
      </c>
      <c r="AE405" s="1114"/>
    </row>
    <row r="406" spans="1:36" ht="12.95" customHeight="1">
      <c r="E406" t="s">
        <v>857</v>
      </c>
      <c r="S406" s="1116" t="s">
        <v>124</v>
      </c>
      <c r="T406" s="1116"/>
    </row>
    <row r="407" spans="1:36" ht="12.95" customHeight="1">
      <c r="E407" t="s">
        <v>283</v>
      </c>
      <c r="H407" s="1565" t="s">
        <v>2414</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5"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5" customHeight="1"/>
    <row r="410" spans="1:36" ht="12.95" customHeight="1">
      <c r="A410" s="3" t="s">
        <v>123</v>
      </c>
      <c r="B410" s="3"/>
      <c r="C410" s="3"/>
      <c r="D410" s="3" t="s">
        <v>902</v>
      </c>
      <c r="AE410" s="5"/>
      <c r="AF410" s="3" t="s">
        <v>1214</v>
      </c>
    </row>
    <row r="411" spans="1:36" ht="12.95" customHeight="1">
      <c r="E411" s="1428"/>
      <c r="F411" s="1428"/>
      <c r="G411" s="1428"/>
      <c r="H411" s="18" t="s">
        <v>903</v>
      </c>
      <c r="I411" s="1428"/>
      <c r="J411" s="1428"/>
      <c r="K411" s="1428"/>
      <c r="L411" t="s">
        <v>904</v>
      </c>
      <c r="N411" s="34" t="s">
        <v>851</v>
      </c>
      <c r="P411" s="1430">
        <v>0.97</v>
      </c>
      <c r="Q411" s="1430"/>
      <c r="R411" s="1430"/>
      <c r="S411" t="s">
        <v>905</v>
      </c>
      <c r="W411" s="1431">
        <f>IF(E411&gt;0,(E411*I411),(P411*43560))</f>
        <v>42253.2</v>
      </c>
      <c r="X411" s="1431"/>
      <c r="Y411" s="1431"/>
      <c r="Z411" t="s">
        <v>906</v>
      </c>
      <c r="AF411" s="1488" cm="1">
        <f t="array" ref="AF411">_xlfn.IFS(P411&gt;0,(AG430/P411),W411&gt;0,(AG430/(W411/43560)),TRUE,0)</f>
        <v>28.865979381443299</v>
      </c>
      <c r="AG411" s="1488"/>
      <c r="AH411" s="1488"/>
    </row>
    <row r="412" spans="1:36" ht="12.95" customHeight="1">
      <c r="E412" t="s">
        <v>203</v>
      </c>
    </row>
    <row r="413" spans="1:36" ht="12.95"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5" customHeight="1">
      <c r="E414" s="270" t="s">
        <v>1982</v>
      </c>
      <c r="F414" s="29"/>
      <c r="G414" s="29"/>
      <c r="H414" s="29"/>
      <c r="I414" s="1466">
        <v>0.97</v>
      </c>
      <c r="J414" s="1466"/>
      <c r="K414" s="1466"/>
      <c r="L414" s="29"/>
      <c r="M414" s="270"/>
      <c r="N414" s="29"/>
      <c r="O414" s="29"/>
      <c r="P414" s="1487">
        <f>(CQ628+CS633+CQ647)/I414</f>
        <v>67.010309278350519</v>
      </c>
      <c r="Q414" s="1487"/>
      <c r="R414" s="1487"/>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6">
        <v>3</v>
      </c>
      <c r="Q417" s="1116"/>
      <c r="S417" t="s">
        <v>134</v>
      </c>
      <c r="AE417" s="1116">
        <v>3</v>
      </c>
      <c r="AF417" s="1116"/>
    </row>
    <row r="418" spans="1:36" ht="12.95" customHeight="1">
      <c r="E418" t="s">
        <v>135</v>
      </c>
      <c r="P418" s="1116">
        <v>0</v>
      </c>
      <c r="Q418" s="1116"/>
      <c r="S418" t="s">
        <v>726</v>
      </c>
      <c r="AE418" s="1116" t="s">
        <v>124</v>
      </c>
      <c r="AF418" s="1116"/>
    </row>
    <row r="419" spans="1:36" ht="12.95" customHeight="1">
      <c r="F419" s="36" t="s">
        <v>221</v>
      </c>
    </row>
    <row r="420" spans="1:36" ht="12.9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5" customHeight="1">
      <c r="E422" t="s">
        <v>858</v>
      </c>
      <c r="P422" s="1"/>
      <c r="Q422" s="1116" t="s">
        <v>108</v>
      </c>
      <c r="R422" s="1116"/>
      <c r="AE422" s="1"/>
      <c r="AF422" s="1"/>
    </row>
    <row r="423" spans="1:36" ht="12.95" customHeight="1">
      <c r="F423" t="s">
        <v>859</v>
      </c>
      <c r="P423" s="1"/>
      <c r="Q423" s="1"/>
      <c r="AE423" s="1116" t="s">
        <v>124</v>
      </c>
      <c r="AF423" s="1341"/>
    </row>
    <row r="424" spans="1:36" ht="12.95" customHeight="1"/>
    <row r="425" spans="1:36" ht="12.95" customHeight="1">
      <c r="A425" s="3"/>
      <c r="B425" s="3"/>
      <c r="C425" s="3"/>
      <c r="E425" s="5" t="s">
        <v>80</v>
      </c>
      <c r="Z425" s="1116" t="s">
        <v>482</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6" t="s">
        <v>124</v>
      </c>
      <c r="AA427" s="1116"/>
    </row>
    <row r="428" spans="1:36" ht="12.95" customHeight="1"/>
    <row r="429" spans="1:36" ht="12.95" customHeight="1">
      <c r="A429" s="3" t="s">
        <v>367</v>
      </c>
      <c r="B429" s="3"/>
      <c r="C429" s="3"/>
      <c r="D429" s="3" t="s">
        <v>172</v>
      </c>
      <c r="AF429" s="54"/>
    </row>
    <row r="430" spans="1:36" ht="12.95"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69"/>
      <c r="AG430" s="1464">
        <v>28</v>
      </c>
      <c r="AH430" s="1464"/>
      <c r="AI430" s="1464"/>
      <c r="AJ430" s="1464"/>
    </row>
    <row r="431" spans="1:36" ht="12.95" customHeight="1">
      <c r="D431" s="1429" t="s">
        <v>2277</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5"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4">
        <v>27</v>
      </c>
      <c r="AH432" s="1464"/>
      <c r="AI432" s="1464"/>
      <c r="AJ432" s="1464"/>
    </row>
    <row r="433" spans="4:36" ht="12.95"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4">
        <v>27</v>
      </c>
      <c r="AH433" s="1464"/>
      <c r="AI433" s="1464"/>
      <c r="AJ433" s="1464"/>
    </row>
    <row r="434" spans="4:36" ht="12.95"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5"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3">
        <v>27892</v>
      </c>
      <c r="AH435" s="1423"/>
      <c r="AI435" s="1423"/>
      <c r="AJ435" s="1423"/>
    </row>
    <row r="436" spans="4:36" ht="12.95"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3">
        <v>27892</v>
      </c>
      <c r="AH436" s="1423"/>
      <c r="AI436" s="1423"/>
      <c r="AJ436" s="1423"/>
    </row>
    <row r="437" spans="4:36" ht="12.95"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5"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5" customHeight="1">
      <c r="D439" s="1429" t="s">
        <v>2114</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69"/>
      <c r="AG439" s="1423">
        <v>738</v>
      </c>
      <c r="AH439" s="1423"/>
      <c r="AI439" s="1423"/>
      <c r="AJ439" s="1423"/>
    </row>
    <row r="440" spans="4:36" ht="12.95"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3">
        <v>0</v>
      </c>
      <c r="AH440" s="1423"/>
      <c r="AI440" s="1423"/>
      <c r="AJ440" s="1423"/>
    </row>
    <row r="441" spans="4:36" ht="12.95" customHeight="1">
      <c r="D441" s="1429" t="s">
        <v>1737</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3">
        <v>9238</v>
      </c>
      <c r="AH441" s="1423"/>
      <c r="AI441" s="1423"/>
      <c r="AJ441" s="1423"/>
    </row>
    <row r="442" spans="4:36" ht="12.95"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3">
        <v>0</v>
      </c>
      <c r="AH442" s="1423"/>
      <c r="AI442" s="1423"/>
      <c r="AJ442" s="1423"/>
    </row>
    <row r="443" spans="4:36" ht="12.95"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5">
        <f>AG435+AG439+AG441+AG442</f>
        <v>37868</v>
      </c>
      <c r="AH443" s="1465"/>
      <c r="AI443" s="1465"/>
      <c r="AJ443" s="1465"/>
    </row>
    <row r="444" spans="4:36" ht="12.95" customHeight="1">
      <c r="D444" s="1467" t="s">
        <v>1738</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5"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5"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801064.21428571432</v>
      </c>
      <c r="AD447" s="1157"/>
      <c r="AE447" s="1157"/>
      <c r="AF447" s="1157"/>
      <c r="AG447" s="1474"/>
      <c r="AH447" s="1474"/>
      <c r="AI447" s="1474"/>
      <c r="AJ447" s="1474"/>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801064.21428571432</v>
      </c>
      <c r="AD448" s="1157"/>
      <c r="AE448" s="1157"/>
      <c r="AF448" s="1157"/>
      <c r="AG448" s="1474"/>
      <c r="AH448" s="1474"/>
      <c r="AI448" s="1474"/>
      <c r="AJ448" s="1474"/>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735052.42857142852</v>
      </c>
      <c r="AD449" s="1157"/>
      <c r="AE449" s="1157"/>
      <c r="AF449" s="1157"/>
      <c r="AG449" s="362"/>
      <c r="AH449" s="362"/>
      <c r="AI449" s="362"/>
      <c r="AJ449" s="362"/>
    </row>
    <row r="450" spans="1:38" ht="12.95" customHeight="1">
      <c r="D450" s="373"/>
      <c r="E450" s="307"/>
      <c r="F450" s="156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5"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8" t="s">
        <v>2106</v>
      </c>
      <c r="E460" s="1119"/>
      <c r="F460" s="1119"/>
      <c r="G460" s="1119"/>
      <c r="H460" s="1119"/>
      <c r="I460" s="1119"/>
      <c r="J460" s="1119"/>
      <c r="K460" s="1119"/>
      <c r="L460" s="1119"/>
      <c r="M460" s="1119"/>
      <c r="N460" s="1119"/>
      <c r="O460" s="1119"/>
      <c r="P460" s="1119"/>
      <c r="Q460" s="1119"/>
      <c r="R460" s="1119"/>
      <c r="S460" s="1119"/>
      <c r="T460" s="1119"/>
      <c r="U460" s="1119"/>
      <c r="V460" s="1120"/>
      <c r="W460" s="1124">
        <v>0</v>
      </c>
      <c r="X460" s="1125"/>
      <c r="Y460" s="1126"/>
      <c r="Z460" s="310"/>
      <c r="AA460" s="310"/>
      <c r="AB460" s="310"/>
      <c r="AC460" s="310"/>
      <c r="AD460" s="310"/>
      <c r="AE460" s="310"/>
      <c r="AF460" s="310"/>
      <c r="AG460" s="310"/>
      <c r="AH460" s="310"/>
      <c r="AI460" s="310"/>
      <c r="AJ460" s="41"/>
      <c r="AK460" s="41"/>
      <c r="AL460" s="41"/>
    </row>
    <row r="461" spans="1:38" ht="12.95"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5"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5"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5" customHeight="1">
      <c r="A464" s="41"/>
      <c r="B464" s="41"/>
      <c r="C464" s="41"/>
      <c r="D464" s="1481"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5"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5" customHeight="1">
      <c r="A466" s="557"/>
      <c r="B466" s="557"/>
      <c r="C466" s="557"/>
      <c r="D466" s="1481" t="s">
        <v>1308</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2.95" customHeight="1">
      <c r="A467" s="557"/>
      <c r="B467" s="557"/>
      <c r="C467" s="557"/>
      <c r="D467" s="1118" t="s">
        <v>2286</v>
      </c>
      <c r="E467" s="1119"/>
      <c r="F467" s="1119"/>
      <c r="G467" s="1119"/>
      <c r="H467" s="1119"/>
      <c r="I467" s="1119"/>
      <c r="J467" s="1119"/>
      <c r="K467" s="1119"/>
      <c r="L467" s="1119"/>
      <c r="M467" s="1119"/>
      <c r="N467" s="1119"/>
      <c r="O467" s="1119"/>
      <c r="P467" s="1119"/>
      <c r="Q467" s="1119"/>
      <c r="R467" s="1119"/>
      <c r="S467" s="1119"/>
      <c r="T467" s="1119"/>
      <c r="U467" s="1119"/>
      <c r="V467" s="1120"/>
      <c r="W467" s="1461">
        <v>0</v>
      </c>
      <c r="X467" s="1462"/>
      <c r="Y467" s="1463"/>
      <c r="Z467" s="558"/>
      <c r="AA467" s="558"/>
      <c r="AB467" s="558"/>
      <c r="AC467" s="558"/>
      <c r="AD467" s="559"/>
      <c r="AE467" s="559"/>
      <c r="AF467" s="559"/>
      <c r="AG467" s="559"/>
      <c r="AH467" s="559"/>
      <c r="AI467" s="559"/>
      <c r="AJ467" s="362"/>
    </row>
    <row r="468" spans="1:97" ht="12.95" customHeight="1">
      <c r="A468" s="41"/>
      <c r="B468" s="41"/>
      <c r="C468" s="41"/>
      <c r="D468" s="1118" t="s">
        <v>2219</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2" t="s">
        <v>2415</v>
      </c>
      <c r="H469" s="1153"/>
      <c r="I469" s="1153"/>
      <c r="J469" s="1153"/>
      <c r="K469" s="1153"/>
      <c r="L469" s="1153"/>
      <c r="M469" s="1153"/>
      <c r="N469" s="1153"/>
      <c r="O469" s="1153"/>
      <c r="P469" s="1153"/>
      <c r="Q469" s="1153"/>
      <c r="R469" s="1153"/>
      <c r="S469" s="1153"/>
      <c r="T469" s="1153"/>
      <c r="U469" s="1153"/>
      <c r="V469" s="1154"/>
      <c r="W469" s="1124">
        <v>27</v>
      </c>
      <c r="X469" s="1125"/>
      <c r="Y469" s="112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5"/>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0" t="s">
        <v>238</v>
      </c>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7" t="s">
        <v>2416</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7" t="s">
        <v>2417</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7" t="s">
        <v>2417</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5" t="s">
        <v>242</v>
      </c>
      <c r="C485" s="1476"/>
      <c r="D485" s="1476"/>
      <c r="E485" s="1476"/>
      <c r="F485" s="1476"/>
      <c r="G485" s="1476"/>
      <c r="H485" s="1476"/>
      <c r="I485" s="1476"/>
      <c r="J485" s="1476"/>
      <c r="K485" s="1476"/>
      <c r="L485" s="1476"/>
      <c r="M485" s="1476"/>
      <c r="N485" s="1476"/>
      <c r="O485" s="1476"/>
      <c r="P485" s="1477"/>
      <c r="Q485" s="1489" t="s">
        <v>482</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9" t="s">
        <v>482</v>
      </c>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7" t="s">
        <v>2418</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7" t="s">
        <v>2419</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7">
        <v>45</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8">
        <v>28</v>
      </c>
      <c r="N491" s="1145"/>
      <c r="O491" s="1145"/>
      <c r="P491" s="1339"/>
      <c r="Q491" s="214" t="s">
        <v>1987</v>
      </c>
      <c r="R491" s="9"/>
      <c r="S491" s="9"/>
      <c r="T491" s="9"/>
      <c r="U491" s="9"/>
      <c r="V491" s="9"/>
      <c r="W491" s="9"/>
      <c r="X491" s="9"/>
      <c r="Y491" s="9"/>
      <c r="Z491" s="9"/>
      <c r="AA491" s="9"/>
      <c r="AB491" s="9"/>
      <c r="AC491" s="9"/>
      <c r="AD491" s="9"/>
      <c r="AE491" s="9"/>
      <c r="AF491" s="9"/>
      <c r="AG491" s="9"/>
      <c r="AH491" s="1338">
        <v>17</v>
      </c>
      <c r="AI491" s="1145"/>
      <c r="AJ491" s="1145"/>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0" t="s">
        <v>246</v>
      </c>
      <c r="AD495" s="1421"/>
      <c r="AE495" s="1421"/>
      <c r="AF495" s="1421"/>
      <c r="AG495" s="1421"/>
      <c r="AH495" s="1421"/>
      <c r="AI495" s="1421"/>
      <c r="AJ495" s="1421"/>
      <c r="AK495" s="142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0" t="s">
        <v>247</v>
      </c>
      <c r="AD496" s="1421"/>
      <c r="AE496" s="1421"/>
      <c r="AF496" s="1421"/>
      <c r="AG496" s="56" t="s">
        <v>248</v>
      </c>
      <c r="AH496" s="1421" t="s">
        <v>249</v>
      </c>
      <c r="AI496" s="1421"/>
      <c r="AJ496" s="1421"/>
      <c r="AK496" s="142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2</v>
      </c>
      <c r="AD497" s="1114"/>
      <c r="AE497" s="1114"/>
      <c r="AF497" s="1114"/>
      <c r="AG497" s="18" t="s">
        <v>248</v>
      </c>
      <c r="AH497" s="1143">
        <v>2017</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6</v>
      </c>
      <c r="AD498" s="1114"/>
      <c r="AE498" s="1114"/>
      <c r="AF498" s="1114"/>
      <c r="AG498" s="47" t="s">
        <v>248</v>
      </c>
      <c r="AH498" s="1143">
        <v>2024</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5"/>
      <c r="C501" s="1136"/>
      <c r="D501" s="1136"/>
      <c r="E501" s="1136"/>
      <c r="F501" s="1136"/>
      <c r="G501" s="1136"/>
      <c r="H501" s="1137"/>
      <c r="I501" t="s">
        <v>676</v>
      </c>
      <c r="AC501" s="1117">
        <v>2</v>
      </c>
      <c r="AD501" s="1114"/>
      <c r="AE501" s="1114"/>
      <c r="AF501" s="1114"/>
      <c r="AG501" s="18" t="s">
        <v>248</v>
      </c>
      <c r="AH501" s="1143">
        <v>2017</v>
      </c>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5"/>
      <c r="C502" s="1136"/>
      <c r="D502" s="1136"/>
      <c r="E502" s="1136"/>
      <c r="F502" s="1136"/>
      <c r="G502" s="1136"/>
      <c r="H502" s="1137"/>
      <c r="I502" t="s">
        <v>677</v>
      </c>
      <c r="AC502" s="1117">
        <v>11</v>
      </c>
      <c r="AD502" s="1114"/>
      <c r="AE502" s="1114"/>
      <c r="AF502" s="1114"/>
      <c r="AG502" s="18" t="s">
        <v>248</v>
      </c>
      <c r="AH502" s="1143">
        <v>2024</v>
      </c>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5"/>
      <c r="C503" s="1136"/>
      <c r="D503" s="1136"/>
      <c r="E503" s="1136"/>
      <c r="F503" s="1136"/>
      <c r="G503" s="1136"/>
      <c r="H503" s="1137"/>
      <c r="I503" s="41" t="s">
        <v>678</v>
      </c>
      <c r="AC503" s="1080">
        <v>11</v>
      </c>
      <c r="AD503" s="1081"/>
      <c r="AE503" s="1081"/>
      <c r="AF503" s="1081"/>
      <c r="AG503" s="18" t="s">
        <v>248</v>
      </c>
      <c r="AH503" s="1143">
        <v>2024</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5"/>
      <c r="C504" s="1136"/>
      <c r="D504" s="1136"/>
      <c r="E504" s="1136"/>
      <c r="F504" s="1136"/>
      <c r="G504" s="1136"/>
      <c r="H504" s="1137"/>
      <c r="I504" s="410" t="s">
        <v>283</v>
      </c>
      <c r="J504" s="54"/>
      <c r="K504" s="54"/>
      <c r="L504" s="1150" t="s">
        <v>562</v>
      </c>
      <c r="M504" s="1129"/>
      <c r="N504" s="1129"/>
      <c r="O504" s="1129"/>
      <c r="P504" s="1129"/>
      <c r="Q504" s="1129"/>
      <c r="R504" s="1129"/>
      <c r="S504" s="1129"/>
      <c r="T504" s="1129"/>
      <c r="U504" s="1129"/>
      <c r="V504" s="1129"/>
      <c r="W504" s="1129"/>
      <c r="X504" s="1129"/>
      <c r="Y504" s="1129"/>
      <c r="Z504" s="1129"/>
      <c r="AA504" s="1129"/>
      <c r="AB504" s="1151"/>
      <c r="AC504" s="1427" t="s">
        <v>124</v>
      </c>
      <c r="AD504" s="1319"/>
      <c r="AE504" s="1319"/>
      <c r="AF504" s="1319"/>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5"/>
      <c r="C505" s="1136"/>
      <c r="D505" s="1136"/>
      <c r="E505" s="1136"/>
      <c r="F505" s="1136"/>
      <c r="G505" s="1136"/>
      <c r="H505" s="1137"/>
      <c r="I505" s="41" t="s">
        <v>1988</v>
      </c>
      <c r="AC505" s="1424" t="s">
        <v>482</v>
      </c>
      <c r="AD505" s="1424"/>
      <c r="AE505" s="1424"/>
      <c r="AF505" s="1424"/>
      <c r="AG505" s="18"/>
      <c r="AH505" s="1425"/>
      <c r="AI505" s="1425"/>
      <c r="AJ505" s="1425"/>
      <c r="AK505" s="14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5"/>
      <c r="C506" s="1136"/>
      <c r="D506" s="1136"/>
      <c r="E506" s="1136"/>
      <c r="F506" s="1136"/>
      <c r="G506" s="1136"/>
      <c r="H506" s="1137"/>
      <c r="I506" t="s">
        <v>1989</v>
      </c>
      <c r="AC506" s="1080"/>
      <c r="AD506" s="1081"/>
      <c r="AE506" s="1081"/>
      <c r="AF506" s="1082"/>
      <c r="AG506" s="18"/>
      <c r="AH506" s="1425"/>
      <c r="AI506" s="1425"/>
      <c r="AJ506" s="1425"/>
      <c r="AK506" s="14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5"/>
      <c r="C507" s="1136"/>
      <c r="D507" s="1136"/>
      <c r="E507" s="1136"/>
      <c r="F507" s="1136"/>
      <c r="G507" s="1136"/>
      <c r="H507" s="1137"/>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5"/>
      <c r="C508" s="1136"/>
      <c r="D508" s="1136"/>
      <c r="E508" s="1136"/>
      <c r="F508" s="1136"/>
      <c r="G508" s="1136"/>
      <c r="H508" s="1137"/>
      <c r="I508" s="838" t="s">
        <v>1991</v>
      </c>
      <c r="J508" s="54"/>
      <c r="K508" s="54"/>
      <c r="L508" s="54"/>
      <c r="M508" s="54"/>
      <c r="N508" s="54"/>
      <c r="O508" s="54"/>
      <c r="P508" s="54"/>
      <c r="Q508" s="54"/>
      <c r="R508" s="54"/>
      <c r="S508" s="54"/>
      <c r="T508" s="54"/>
      <c r="U508" s="54"/>
      <c r="V508" s="54"/>
      <c r="W508" s="54"/>
      <c r="X508" s="54"/>
      <c r="Y508" s="54"/>
      <c r="Z508" s="54"/>
      <c r="AA508" s="54"/>
      <c r="AB508" s="54"/>
      <c r="AC508" s="1482"/>
      <c r="AD508" s="1483"/>
      <c r="AE508" s="1483"/>
      <c r="AF508" s="1484"/>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4</v>
      </c>
      <c r="AD509" s="1114"/>
      <c r="AE509" s="1114"/>
      <c r="AF509" s="1114"/>
      <c r="AG509" s="18" t="s">
        <v>248</v>
      </c>
      <c r="AH509" s="1143">
        <v>2023</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5"/>
      <c r="C510" s="1136"/>
      <c r="D510" s="1136"/>
      <c r="E510" s="1136"/>
      <c r="F510" s="1136"/>
      <c r="G510" s="1136"/>
      <c r="H510" s="1137"/>
      <c r="I510" t="s">
        <v>681</v>
      </c>
      <c r="AC510" s="1117">
        <v>4</v>
      </c>
      <c r="AD510" s="1114"/>
      <c r="AE510" s="1114"/>
      <c r="AF510" s="1114"/>
      <c r="AG510" s="18" t="s">
        <v>248</v>
      </c>
      <c r="AH510" s="1143">
        <v>2023</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11</v>
      </c>
      <c r="AD511" s="1114"/>
      <c r="AE511" s="1114"/>
      <c r="AF511" s="1114"/>
      <c r="AG511" s="47" t="s">
        <v>248</v>
      </c>
      <c r="AH511" s="1143">
        <v>2024</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9">
        <v>4</v>
      </c>
      <c r="AD512" s="1310"/>
      <c r="AE512" s="1310"/>
      <c r="AF512" s="1310"/>
      <c r="AG512" s="230" t="s">
        <v>248</v>
      </c>
      <c r="AH512" s="1143">
        <v>2023</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5"/>
      <c r="C513" s="1136"/>
      <c r="D513" s="1136"/>
      <c r="E513" s="1136"/>
      <c r="F513" s="1136"/>
      <c r="G513" s="1136"/>
      <c r="H513" s="1137"/>
      <c r="I513" t="s">
        <v>681</v>
      </c>
      <c r="AC513" s="1117">
        <v>4</v>
      </c>
      <c r="AD513" s="1114"/>
      <c r="AE513" s="1114"/>
      <c r="AF513" s="1114"/>
      <c r="AG513" s="18" t="s">
        <v>248</v>
      </c>
      <c r="AH513" s="1143">
        <v>2023</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11</v>
      </c>
      <c r="AD514" s="1114"/>
      <c r="AE514" s="1114"/>
      <c r="AF514" s="1114"/>
      <c r="AG514" s="47" t="s">
        <v>248</v>
      </c>
      <c r="AH514" s="1143">
        <v>2026</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2" t="s">
        <v>684</v>
      </c>
      <c r="C515" s="1133"/>
      <c r="D515" s="1133"/>
      <c r="E515" s="1133"/>
      <c r="F515" s="1133"/>
      <c r="G515" s="1133"/>
      <c r="H515" s="1134"/>
      <c r="I515" s="6" t="s">
        <v>685</v>
      </c>
      <c r="J515" s="7"/>
      <c r="K515" s="7"/>
      <c r="L515" s="7"/>
      <c r="M515" s="7"/>
      <c r="N515" s="7"/>
      <c r="O515" s="1150" t="s">
        <v>2420</v>
      </c>
      <c r="P515" s="1129"/>
      <c r="Q515" s="1129"/>
      <c r="R515" s="1129"/>
      <c r="S515" s="1129"/>
      <c r="T515" s="1129"/>
      <c r="U515" s="1129"/>
      <c r="V515" s="1129"/>
      <c r="W515" s="1129"/>
      <c r="X515" s="1129"/>
      <c r="Y515" s="1129"/>
      <c r="Z515" s="1129"/>
      <c r="AA515" s="1129"/>
      <c r="AB515" s="64"/>
      <c r="AC515" s="1309" t="s">
        <v>124</v>
      </c>
      <c r="AD515" s="1310"/>
      <c r="AE515" s="1310"/>
      <c r="AF515" s="1310"/>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5"/>
      <c r="C516" s="1136"/>
      <c r="D516" s="1136"/>
      <c r="E516" s="1136"/>
      <c r="F516" s="1136"/>
      <c r="G516" s="1136"/>
      <c r="H516" s="1137"/>
      <c r="I516" s="204" t="s">
        <v>686</v>
      </c>
      <c r="AB516" s="71"/>
      <c r="AC516" s="1117">
        <v>3</v>
      </c>
      <c r="AD516" s="1114"/>
      <c r="AE516" s="1114"/>
      <c r="AF516" s="1114"/>
      <c r="AG516" s="18" t="s">
        <v>248</v>
      </c>
      <c r="AH516" s="1143">
        <v>2023</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4</v>
      </c>
      <c r="AD517" s="1114"/>
      <c r="AE517" s="1114"/>
      <c r="AF517" s="1114"/>
      <c r="AG517" s="47" t="s">
        <v>248</v>
      </c>
      <c r="AH517" s="1143">
        <v>2023</v>
      </c>
      <c r="AI517" s="1143"/>
      <c r="AJ517" s="1143"/>
      <c r="AK517" s="1144"/>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5"/>
      <c r="C518" s="1136"/>
      <c r="D518" s="1136"/>
      <c r="E518" s="1136"/>
      <c r="F518" s="1136"/>
      <c r="G518" s="1136"/>
      <c r="H518" s="1137"/>
      <c r="I518" s="7" t="s">
        <v>688</v>
      </c>
      <c r="J518" s="7"/>
      <c r="K518" s="7"/>
      <c r="L518" s="7"/>
      <c r="M518" s="7"/>
      <c r="N518" s="7"/>
      <c r="O518" s="1150" t="s">
        <v>2421</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5"/>
      <c r="C519" s="1136"/>
      <c r="D519" s="1136"/>
      <c r="E519" s="1136"/>
      <c r="F519" s="1136"/>
      <c r="G519" s="1136"/>
      <c r="H519" s="1137"/>
      <c r="I519" t="s">
        <v>686</v>
      </c>
      <c r="AC519" s="1117">
        <v>3</v>
      </c>
      <c r="AD519" s="1114"/>
      <c r="AE519" s="1114"/>
      <c r="AF519" s="1114"/>
      <c r="AG519" s="18" t="s">
        <v>248</v>
      </c>
      <c r="AH519" s="1143">
        <v>2023</v>
      </c>
      <c r="AI519" s="1143"/>
      <c r="AJ519" s="1143"/>
      <c r="AK519" s="1144"/>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v>4</v>
      </c>
      <c r="AD520" s="1114"/>
      <c r="AE520" s="1114"/>
      <c r="AF520" s="1114"/>
      <c r="AG520" s="47" t="s">
        <v>248</v>
      </c>
      <c r="AH520" s="1143">
        <v>2023</v>
      </c>
      <c r="AI520" s="1143"/>
      <c r="AJ520" s="1143"/>
      <c r="AK520" s="1144"/>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5"/>
      <c r="C521" s="1136"/>
      <c r="D521" s="1136"/>
      <c r="E521" s="1136"/>
      <c r="F521" s="1136"/>
      <c r="G521" s="1136"/>
      <c r="H521" s="1137"/>
      <c r="I521" s="7" t="s">
        <v>688</v>
      </c>
      <c r="J521" s="7"/>
      <c r="K521" s="7"/>
      <c r="L521" s="7"/>
      <c r="M521" s="7"/>
      <c r="N521" s="7"/>
      <c r="O521" s="1150" t="s">
        <v>2422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5"/>
      <c r="C522" s="1136"/>
      <c r="D522" s="1136"/>
      <c r="E522" s="1136"/>
      <c r="F522" s="1136"/>
      <c r="G522" s="1136"/>
      <c r="H522" s="1137"/>
      <c r="I522" t="s">
        <v>686</v>
      </c>
      <c r="AC522" s="1117">
        <v>3</v>
      </c>
      <c r="AD522" s="1114"/>
      <c r="AE522" s="1114"/>
      <c r="AF522" s="1114"/>
      <c r="AG522" s="18" t="s">
        <v>248</v>
      </c>
      <c r="AH522" s="1143">
        <v>2023</v>
      </c>
      <c r="AI522" s="1143"/>
      <c r="AJ522" s="1143"/>
      <c r="AK522" s="1144"/>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v>4</v>
      </c>
      <c r="AD523" s="1114"/>
      <c r="AE523" s="1114"/>
      <c r="AF523" s="1114"/>
      <c r="AG523" s="47" t="s">
        <v>248</v>
      </c>
      <c r="AH523" s="1143">
        <v>2023</v>
      </c>
      <c r="AI523" s="1143"/>
      <c r="AJ523" s="1143"/>
      <c r="AK523" s="1144"/>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5"/>
      <c r="C524" s="1136"/>
      <c r="D524" s="1136"/>
      <c r="E524" s="1136"/>
      <c r="F524" s="1136"/>
      <c r="G524" s="1136"/>
      <c r="H524" s="1137"/>
      <c r="I524" s="7" t="s">
        <v>688</v>
      </c>
      <c r="J524" s="7"/>
      <c r="K524" s="7"/>
      <c r="L524" s="7"/>
      <c r="M524" s="7"/>
      <c r="N524" s="7"/>
      <c r="O524" s="1150" t="s">
        <v>2423</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5"/>
      <c r="C525" s="1136"/>
      <c r="D525" s="1136"/>
      <c r="E525" s="1136"/>
      <c r="F525" s="1136"/>
      <c r="G525" s="1136"/>
      <c r="H525" s="1137"/>
      <c r="I525" t="s">
        <v>686</v>
      </c>
      <c r="AC525" s="1117">
        <v>8</v>
      </c>
      <c r="AD525" s="1114"/>
      <c r="AE525" s="1114"/>
      <c r="AF525" s="1114"/>
      <c r="AG525" s="18" t="s">
        <v>248</v>
      </c>
      <c r="AH525" s="1143">
        <v>2021</v>
      </c>
      <c r="AI525" s="1143"/>
      <c r="AJ525" s="1143"/>
      <c r="AK525" s="1144"/>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v>2</v>
      </c>
      <c r="AD526" s="1114"/>
      <c r="AE526" s="1114"/>
      <c r="AF526" s="1114"/>
      <c r="AG526" s="47" t="s">
        <v>248</v>
      </c>
      <c r="AH526" s="1143">
        <v>2022</v>
      </c>
      <c r="AI526" s="1143"/>
      <c r="AJ526" s="1143"/>
      <c r="AK526" s="1144"/>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5"/>
      <c r="C527" s="1136"/>
      <c r="D527" s="1136"/>
      <c r="E527" s="1136"/>
      <c r="F527" s="1136"/>
      <c r="G527" s="1136"/>
      <c r="H527" s="1137"/>
      <c r="I527" s="7" t="s">
        <v>688</v>
      </c>
      <c r="J527" s="7"/>
      <c r="K527" s="7"/>
      <c r="L527" s="7"/>
      <c r="M527" s="7"/>
      <c r="N527" s="7"/>
      <c r="O527" s="1150"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5"/>
      <c r="C530" s="1136"/>
      <c r="D530" s="1136"/>
      <c r="E530" s="1136"/>
      <c r="F530" s="1136"/>
      <c r="G530" s="1136"/>
      <c r="H530" s="1137"/>
      <c r="I530" s="7" t="s">
        <v>688</v>
      </c>
      <c r="J530" s="7"/>
      <c r="K530" s="7"/>
      <c r="L530" s="7"/>
      <c r="M530" s="7"/>
      <c r="N530" s="7"/>
      <c r="O530" s="1150"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1</v>
      </c>
      <c r="AD533" s="1114"/>
      <c r="AE533" s="1114"/>
      <c r="AF533" s="1114"/>
      <c r="AG533" s="47" t="s">
        <v>248</v>
      </c>
      <c r="AH533" s="1143">
        <v>2025</v>
      </c>
      <c r="AI533" s="1143"/>
      <c r="AJ533" s="1143"/>
      <c r="AK533" s="1144"/>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5"/>
      <c r="C534" s="1136"/>
      <c r="D534" s="1136"/>
      <c r="E534" s="1136"/>
      <c r="F534" s="1136"/>
      <c r="G534" s="1136"/>
      <c r="H534" s="1137"/>
      <c r="I534" t="s">
        <v>736</v>
      </c>
      <c r="AC534" s="1117">
        <v>11</v>
      </c>
      <c r="AD534" s="1114"/>
      <c r="AE534" s="1114"/>
      <c r="AF534" s="1114"/>
      <c r="AG534" s="18" t="s">
        <v>248</v>
      </c>
      <c r="AH534" s="1143">
        <v>2024</v>
      </c>
      <c r="AI534" s="1143"/>
      <c r="AJ534" s="1143"/>
      <c r="AK534" s="1144"/>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5"/>
      <c r="C535" s="1136"/>
      <c r="D535" s="1136"/>
      <c r="E535" s="1136"/>
      <c r="F535" s="1136"/>
      <c r="G535" s="1136"/>
      <c r="H535" s="1137"/>
      <c r="I535" t="s">
        <v>737</v>
      </c>
      <c r="AC535" s="1117">
        <v>3</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5"/>
      <c r="C536" s="1136"/>
      <c r="D536" s="1136"/>
      <c r="E536" s="1136"/>
      <c r="F536" s="1136"/>
      <c r="G536" s="1136"/>
      <c r="H536" s="1137"/>
      <c r="I536" t="s">
        <v>738</v>
      </c>
      <c r="AC536" s="1117">
        <v>3</v>
      </c>
      <c r="AD536" s="1114"/>
      <c r="AE536" s="1114"/>
      <c r="AF536" s="1114"/>
      <c r="AG536" s="47" t="s">
        <v>248</v>
      </c>
      <c r="AH536" s="1143">
        <v>2026</v>
      </c>
      <c r="AI536" s="1143"/>
      <c r="AJ536" s="1143"/>
      <c r="AK536" s="1144"/>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8</v>
      </c>
      <c r="AD537" s="1114"/>
      <c r="AE537" s="1114"/>
      <c r="AF537" s="1114"/>
      <c r="AG537" s="47" t="s">
        <v>248</v>
      </c>
      <c r="AH537" s="1143">
        <v>2026</v>
      </c>
      <c r="AI537" s="1143"/>
      <c r="AJ537" s="1143"/>
      <c r="AK537" s="1144"/>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9" t="s">
        <v>498</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2" t="s">
        <v>2197</v>
      </c>
      <c r="C546" s="1133"/>
      <c r="D546" s="1133"/>
      <c r="E546" s="1133"/>
      <c r="F546" s="1133"/>
      <c r="G546" s="1133"/>
      <c r="H546" s="1133"/>
      <c r="I546" s="1133"/>
      <c r="J546" s="1133"/>
      <c r="K546" s="1133"/>
      <c r="L546" s="1133"/>
      <c r="M546" s="1146" t="s">
        <v>2171</v>
      </c>
      <c r="N546" s="1146"/>
      <c r="O546" s="1146"/>
      <c r="P546" s="1146"/>
      <c r="Q546" s="1132" t="s">
        <v>440</v>
      </c>
      <c r="R546" s="1133"/>
      <c r="S546" s="1134"/>
      <c r="T546" s="1132" t="s">
        <v>1992</v>
      </c>
      <c r="U546" s="1133"/>
      <c r="V546" s="1134"/>
      <c r="W546" s="1132" t="s">
        <v>740</v>
      </c>
      <c r="X546" s="1133"/>
      <c r="Y546" s="1134"/>
      <c r="Z546" s="1132" t="s">
        <v>1994</v>
      </c>
      <c r="AA546" s="1133"/>
      <c r="AB546" s="1133"/>
      <c r="AC546" s="1133"/>
      <c r="AD546" s="1134"/>
      <c r="AE546" s="1132" t="s">
        <v>1993</v>
      </c>
      <c r="AF546" s="1133"/>
      <c r="AG546" s="1133"/>
      <c r="AH546" s="1134"/>
      <c r="AI546" s="1132" t="s">
        <v>1995</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9" t="s">
        <v>2424</v>
      </c>
      <c r="D549" s="1099"/>
      <c r="E549" s="1099"/>
      <c r="F549" s="1099"/>
      <c r="G549" s="1099"/>
      <c r="H549" s="1099"/>
      <c r="I549" s="1099"/>
      <c r="J549" s="1099"/>
      <c r="K549" s="1099"/>
      <c r="L549" s="1099"/>
      <c r="M549" s="1098" t="s">
        <v>2181</v>
      </c>
      <c r="N549" s="1098"/>
      <c r="O549" s="1098"/>
      <c r="P549" s="1098"/>
      <c r="Q549" s="1101">
        <v>24</v>
      </c>
      <c r="R549" s="1101"/>
      <c r="S549" s="1102"/>
      <c r="T549" s="1100"/>
      <c r="U549" s="1101"/>
      <c r="V549" s="1102"/>
      <c r="W549" s="1435">
        <v>6.7500000000000004E-2</v>
      </c>
      <c r="X549" s="1436"/>
      <c r="Y549" s="1437"/>
      <c r="Z549" s="1438" t="s">
        <v>2429</v>
      </c>
      <c r="AA549" s="1438"/>
      <c r="AB549" s="1438"/>
      <c r="AC549" s="1438"/>
      <c r="AD549" s="1438"/>
      <c r="AE549" s="1439">
        <v>1</v>
      </c>
      <c r="AF549" s="1440"/>
      <c r="AG549" s="1440"/>
      <c r="AH549" s="1441"/>
      <c r="AI549" s="1432"/>
      <c r="AJ549" s="1433"/>
      <c r="AK549" s="1433"/>
      <c r="AL549" s="1434"/>
      <c r="AM549" s="1216">
        <v>13100000</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9" t="s">
        <v>2482</v>
      </c>
      <c r="D550" s="1099"/>
      <c r="E550" s="1099"/>
      <c r="F550" s="1099"/>
      <c r="G550" s="1099"/>
      <c r="H550" s="1099"/>
      <c r="I550" s="1099"/>
      <c r="J550" s="1099"/>
      <c r="K550" s="1099"/>
      <c r="L550" s="1099"/>
      <c r="M550" s="1098" t="s">
        <v>2183</v>
      </c>
      <c r="N550" s="1098"/>
      <c r="O550" s="1098"/>
      <c r="P550" s="1098"/>
      <c r="Q550" s="1100">
        <v>24</v>
      </c>
      <c r="R550" s="1101"/>
      <c r="S550" s="1102"/>
      <c r="T550" s="1100"/>
      <c r="U550" s="1101"/>
      <c r="V550" s="1102"/>
      <c r="W550" s="1435">
        <v>0.03</v>
      </c>
      <c r="X550" s="1436"/>
      <c r="Y550" s="1437"/>
      <c r="Z550" s="1438" t="s">
        <v>2430</v>
      </c>
      <c r="AA550" s="1438"/>
      <c r="AB550" s="1438"/>
      <c r="AC550" s="1438"/>
      <c r="AD550" s="1438"/>
      <c r="AE550" s="1439">
        <v>2</v>
      </c>
      <c r="AF550" s="1440"/>
      <c r="AG550" s="1440"/>
      <c r="AH550" s="1441"/>
      <c r="AI550" s="1432"/>
      <c r="AJ550" s="1433"/>
      <c r="AK550" s="1433"/>
      <c r="AL550" s="1434"/>
      <c r="AM550" s="1216">
        <v>2000000</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9" t="s">
        <v>2425</v>
      </c>
      <c r="D551" s="1099"/>
      <c r="E551" s="1099"/>
      <c r="F551" s="1099"/>
      <c r="G551" s="1099"/>
      <c r="H551" s="1099"/>
      <c r="I551" s="1099"/>
      <c r="J551" s="1099"/>
      <c r="K551" s="1099"/>
      <c r="L551" s="1099"/>
      <c r="M551" s="1098" t="s">
        <v>2183</v>
      </c>
      <c r="N551" s="1098"/>
      <c r="O551" s="1098"/>
      <c r="P551" s="1098"/>
      <c r="Q551" s="1100">
        <v>24</v>
      </c>
      <c r="R551" s="1101"/>
      <c r="S551" s="1102"/>
      <c r="T551" s="1100"/>
      <c r="U551" s="1101"/>
      <c r="V551" s="1102"/>
      <c r="W551" s="1435">
        <v>0</v>
      </c>
      <c r="X551" s="1436"/>
      <c r="Y551" s="1437"/>
      <c r="Z551" s="1438" t="s">
        <v>2430</v>
      </c>
      <c r="AA551" s="1438"/>
      <c r="AB551" s="1438"/>
      <c r="AC551" s="1438"/>
      <c r="AD551" s="1438"/>
      <c r="AE551" s="1439">
        <v>3</v>
      </c>
      <c r="AF551" s="1440"/>
      <c r="AG551" s="1440"/>
      <c r="AH551" s="1441"/>
      <c r="AI551" s="1432"/>
      <c r="AJ551" s="1433"/>
      <c r="AK551" s="1433"/>
      <c r="AL551" s="1434"/>
      <c r="AM551" s="1216">
        <v>660000</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9" t="s">
        <v>2426</v>
      </c>
      <c r="D552" s="1099"/>
      <c r="E552" s="1099"/>
      <c r="F552" s="1099"/>
      <c r="G552" s="1099"/>
      <c r="H552" s="1099"/>
      <c r="I552" s="1099"/>
      <c r="J552" s="1099"/>
      <c r="K552" s="1099"/>
      <c r="L552" s="1099"/>
      <c r="M552" s="1098" t="s">
        <v>2183</v>
      </c>
      <c r="N552" s="1098"/>
      <c r="O552" s="1098"/>
      <c r="P552" s="1098"/>
      <c r="Q552" s="1100">
        <v>24</v>
      </c>
      <c r="R552" s="1101"/>
      <c r="S552" s="1102"/>
      <c r="T552" s="1100"/>
      <c r="U552" s="1101"/>
      <c r="V552" s="1102"/>
      <c r="W552" s="1435">
        <v>0</v>
      </c>
      <c r="X552" s="1436"/>
      <c r="Y552" s="1437"/>
      <c r="Z552" s="1438" t="s">
        <v>2430</v>
      </c>
      <c r="AA552" s="1438"/>
      <c r="AB552" s="1438"/>
      <c r="AC552" s="1438"/>
      <c r="AD552" s="1438"/>
      <c r="AE552" s="1439">
        <v>4</v>
      </c>
      <c r="AF552" s="1440"/>
      <c r="AG552" s="1440"/>
      <c r="AH552" s="1441"/>
      <c r="AI552" s="1432"/>
      <c r="AJ552" s="1433"/>
      <c r="AK552" s="1433"/>
      <c r="AL552" s="1434"/>
      <c r="AM552" s="1216">
        <v>692000</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9" t="s">
        <v>2427</v>
      </c>
      <c r="D553" s="1099"/>
      <c r="E553" s="1099"/>
      <c r="F553" s="1099"/>
      <c r="G553" s="1099"/>
      <c r="H553" s="1099"/>
      <c r="I553" s="1099"/>
      <c r="J553" s="1099"/>
      <c r="K553" s="1099"/>
      <c r="L553" s="1099"/>
      <c r="M553" s="1098" t="s">
        <v>2183</v>
      </c>
      <c r="N553" s="1098"/>
      <c r="O553" s="1098"/>
      <c r="P553" s="1098"/>
      <c r="Q553" s="1100">
        <v>24</v>
      </c>
      <c r="R553" s="1101"/>
      <c r="S553" s="1102"/>
      <c r="T553" s="1100"/>
      <c r="U553" s="1101"/>
      <c r="V553" s="1102"/>
      <c r="W553" s="1435">
        <v>0</v>
      </c>
      <c r="X553" s="1436"/>
      <c r="Y553" s="1437"/>
      <c r="Z553" s="1438" t="s">
        <v>2430</v>
      </c>
      <c r="AA553" s="1438"/>
      <c r="AB553" s="1438"/>
      <c r="AC553" s="1438"/>
      <c r="AD553" s="1438"/>
      <c r="AE553" s="1439">
        <v>5</v>
      </c>
      <c r="AF553" s="1440"/>
      <c r="AG553" s="1440"/>
      <c r="AH553" s="1441"/>
      <c r="AI553" s="1432"/>
      <c r="AJ553" s="1433"/>
      <c r="AK553" s="1433"/>
      <c r="AL553" s="1434"/>
      <c r="AM553" s="1216">
        <v>288000</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9" t="s">
        <v>2345</v>
      </c>
      <c r="D554" s="1099"/>
      <c r="E554" s="1099"/>
      <c r="F554" s="1099"/>
      <c r="G554" s="1099"/>
      <c r="H554" s="1099"/>
      <c r="I554" s="1099"/>
      <c r="J554" s="1099"/>
      <c r="K554" s="1099"/>
      <c r="L554" s="1099"/>
      <c r="M554" s="1098" t="s">
        <v>2183</v>
      </c>
      <c r="N554" s="1098"/>
      <c r="O554" s="1098"/>
      <c r="P554" s="1098"/>
      <c r="Q554" s="1100">
        <v>24</v>
      </c>
      <c r="R554" s="1101"/>
      <c r="S554" s="1102"/>
      <c r="T554" s="1100"/>
      <c r="U554" s="1101"/>
      <c r="V554" s="1102"/>
      <c r="W554" s="1435">
        <v>0</v>
      </c>
      <c r="X554" s="1436"/>
      <c r="Y554" s="1437"/>
      <c r="Z554" s="1438" t="s">
        <v>2430</v>
      </c>
      <c r="AA554" s="1438"/>
      <c r="AB554" s="1438"/>
      <c r="AC554" s="1438"/>
      <c r="AD554" s="1438"/>
      <c r="AE554" s="1439">
        <v>6</v>
      </c>
      <c r="AF554" s="1440"/>
      <c r="AG554" s="1440"/>
      <c r="AH554" s="1441"/>
      <c r="AI554" s="1432"/>
      <c r="AJ554" s="1433"/>
      <c r="AK554" s="1433"/>
      <c r="AL554" s="1434"/>
      <c r="AM554" s="1216">
        <v>1960000</v>
      </c>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9" t="s">
        <v>2499</v>
      </c>
      <c r="D555" s="1099"/>
      <c r="E555" s="1099"/>
      <c r="F555" s="1099"/>
      <c r="G555" s="1099"/>
      <c r="H555" s="1099"/>
      <c r="I555" s="1099"/>
      <c r="J555" s="1099"/>
      <c r="K555" s="1099"/>
      <c r="L555" s="1099"/>
      <c r="M555" s="1098" t="s">
        <v>2178</v>
      </c>
      <c r="N555" s="1098"/>
      <c r="O555" s="1098"/>
      <c r="P555" s="1098"/>
      <c r="Q555" s="1100"/>
      <c r="R555" s="1101"/>
      <c r="S555" s="1102"/>
      <c r="T555" s="1100"/>
      <c r="U555" s="1101"/>
      <c r="V555" s="1102"/>
      <c r="W555" s="1435"/>
      <c r="X555" s="1436"/>
      <c r="Y555" s="1437"/>
      <c r="Z555" s="1438" t="s">
        <v>124</v>
      </c>
      <c r="AA555" s="1438"/>
      <c r="AB555" s="1438"/>
      <c r="AC555" s="1438"/>
      <c r="AD555" s="1438"/>
      <c r="AE555" s="1439"/>
      <c r="AF555" s="1440"/>
      <c r="AG555" s="1440"/>
      <c r="AH555" s="1441"/>
      <c r="AI555" s="1432"/>
      <c r="AJ555" s="1433"/>
      <c r="AK555" s="1433"/>
      <c r="AL555" s="1434"/>
      <c r="AM555" s="1216">
        <v>2575000</v>
      </c>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9" t="s">
        <v>2428</v>
      </c>
      <c r="D556" s="1099"/>
      <c r="E556" s="1099"/>
      <c r="F556" s="1099"/>
      <c r="G556" s="1099"/>
      <c r="H556" s="1099"/>
      <c r="I556" s="1099"/>
      <c r="J556" s="1099"/>
      <c r="K556" s="1099"/>
      <c r="L556" s="1099"/>
      <c r="M556" s="1098" t="s">
        <v>2174</v>
      </c>
      <c r="N556" s="1098"/>
      <c r="O556" s="1098"/>
      <c r="P556" s="1098"/>
      <c r="Q556" s="1100"/>
      <c r="R556" s="1101"/>
      <c r="S556" s="1102"/>
      <c r="T556" s="1100"/>
      <c r="U556" s="1101"/>
      <c r="V556" s="1102"/>
      <c r="W556" s="1435"/>
      <c r="X556" s="1436"/>
      <c r="Y556" s="1437"/>
      <c r="Z556" s="1438" t="s">
        <v>124</v>
      </c>
      <c r="AA556" s="1438"/>
      <c r="AB556" s="1438"/>
      <c r="AC556" s="1438"/>
      <c r="AD556" s="1438"/>
      <c r="AE556" s="1439"/>
      <c r="AF556" s="1440"/>
      <c r="AG556" s="1440"/>
      <c r="AH556" s="1441"/>
      <c r="AI556" s="1432"/>
      <c r="AJ556" s="1433"/>
      <c r="AK556" s="1433"/>
      <c r="AL556" s="1434"/>
      <c r="AM556" s="1216">
        <v>792798</v>
      </c>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9" t="s">
        <v>2428</v>
      </c>
      <c r="D557" s="1099"/>
      <c r="E557" s="1099"/>
      <c r="F557" s="1099"/>
      <c r="G557" s="1099"/>
      <c r="H557" s="1099"/>
      <c r="I557" s="1099"/>
      <c r="J557" s="1099"/>
      <c r="K557" s="1099"/>
      <c r="L557" s="1099"/>
      <c r="M557" s="1098" t="s">
        <v>2173</v>
      </c>
      <c r="N557" s="1098"/>
      <c r="O557" s="1098"/>
      <c r="P557" s="1098"/>
      <c r="Q557" s="1100"/>
      <c r="R557" s="1101"/>
      <c r="S557" s="1102"/>
      <c r="T557" s="1100"/>
      <c r="U557" s="1101"/>
      <c r="V557" s="1102"/>
      <c r="W557" s="1435"/>
      <c r="X557" s="1436"/>
      <c r="Y557" s="1437"/>
      <c r="Z557" s="1438" t="s">
        <v>124</v>
      </c>
      <c r="AA557" s="1438"/>
      <c r="AB557" s="1438"/>
      <c r="AC557" s="1438"/>
      <c r="AD557" s="1438"/>
      <c r="AE557" s="1439"/>
      <c r="AF557" s="1440"/>
      <c r="AG557" s="1440"/>
      <c r="AH557" s="1441"/>
      <c r="AI557" s="1432"/>
      <c r="AJ557" s="1433"/>
      <c r="AK557" s="1433"/>
      <c r="AL557" s="1434"/>
      <c r="AM557" s="1216">
        <v>362000</v>
      </c>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9"/>
      <c r="D558" s="1099"/>
      <c r="E558" s="1099"/>
      <c r="F558" s="1099"/>
      <c r="G558" s="1099"/>
      <c r="H558" s="1099"/>
      <c r="I558" s="1099"/>
      <c r="J558" s="1099"/>
      <c r="K558" s="1099"/>
      <c r="L558" s="1099"/>
      <c r="M558" s="1098" t="s">
        <v>1980</v>
      </c>
      <c r="N558" s="1098"/>
      <c r="O558" s="1098"/>
      <c r="P558" s="1098"/>
      <c r="Q558" s="1100"/>
      <c r="R558" s="1101"/>
      <c r="S558" s="1102"/>
      <c r="T558" s="1100"/>
      <c r="U558" s="1101"/>
      <c r="V558" s="1102"/>
      <c r="W558" s="1435"/>
      <c r="X558" s="1436"/>
      <c r="Y558" s="1437"/>
      <c r="Z558" s="1438" t="s">
        <v>1980</v>
      </c>
      <c r="AA558" s="1438"/>
      <c r="AB558" s="1438"/>
      <c r="AC558" s="1438"/>
      <c r="AD558" s="1438"/>
      <c r="AE558" s="1439"/>
      <c r="AF558" s="1440"/>
      <c r="AG558" s="1440"/>
      <c r="AH558" s="1441"/>
      <c r="AI558" s="1432"/>
      <c r="AJ558" s="1433"/>
      <c r="AK558" s="1433"/>
      <c r="AL558" s="1434"/>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9"/>
      <c r="D559" s="1099"/>
      <c r="E559" s="1099"/>
      <c r="F559" s="1099"/>
      <c r="G559" s="1099"/>
      <c r="H559" s="1099"/>
      <c r="I559" s="1099"/>
      <c r="J559" s="1099"/>
      <c r="K559" s="1099"/>
      <c r="L559" s="1099"/>
      <c r="M559" s="1098" t="s">
        <v>1980</v>
      </c>
      <c r="N559" s="1098"/>
      <c r="O559" s="1098"/>
      <c r="P559" s="1098"/>
      <c r="Q559" s="1100"/>
      <c r="R559" s="1101"/>
      <c r="S559" s="1102"/>
      <c r="T559" s="1100"/>
      <c r="U559" s="1101"/>
      <c r="V559" s="1102"/>
      <c r="W559" s="1435"/>
      <c r="X559" s="1436"/>
      <c r="Y559" s="1437"/>
      <c r="Z559" s="1438" t="s">
        <v>1980</v>
      </c>
      <c r="AA559" s="1438"/>
      <c r="AB559" s="1438"/>
      <c r="AC559" s="1438"/>
      <c r="AD559" s="1438"/>
      <c r="AE559" s="1439"/>
      <c r="AF559" s="1440"/>
      <c r="AG559" s="1440"/>
      <c r="AH559" s="1441"/>
      <c r="AI559" s="1432"/>
      <c r="AJ559" s="1433"/>
      <c r="AK559" s="1433"/>
      <c r="AL559" s="1434"/>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9"/>
      <c r="D560" s="1099"/>
      <c r="E560" s="1099"/>
      <c r="F560" s="1099"/>
      <c r="G560" s="1099"/>
      <c r="H560" s="1099"/>
      <c r="I560" s="1099"/>
      <c r="J560" s="1099"/>
      <c r="K560" s="1099"/>
      <c r="L560" s="1099"/>
      <c r="M560" s="1098" t="s">
        <v>1980</v>
      </c>
      <c r="N560" s="1098"/>
      <c r="O560" s="1098"/>
      <c r="P560" s="1098"/>
      <c r="Q560" s="1100"/>
      <c r="R560" s="1101"/>
      <c r="S560" s="1102"/>
      <c r="T560" s="1100"/>
      <c r="U560" s="1101"/>
      <c r="V560" s="1102"/>
      <c r="W560" s="1435"/>
      <c r="X560" s="1436"/>
      <c r="Y560" s="1437"/>
      <c r="Z560" s="1438" t="s">
        <v>1980</v>
      </c>
      <c r="AA560" s="1438"/>
      <c r="AB560" s="1438"/>
      <c r="AC560" s="1438"/>
      <c r="AD560" s="1438"/>
      <c r="AE560" s="1439"/>
      <c r="AF560" s="1440"/>
      <c r="AG560" s="1440"/>
      <c r="AH560" s="1441"/>
      <c r="AI560" s="1432"/>
      <c r="AJ560" s="1433"/>
      <c r="AK560" s="1433"/>
      <c r="AL560" s="1434"/>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7">
        <f>SUM(AM549:AS560)</f>
        <v>22429798</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5" t="str">
        <f>C549</f>
        <v>Citibank N.A.</v>
      </c>
      <c r="H563" s="1185"/>
      <c r="I563" s="1185"/>
      <c r="J563" s="1185"/>
      <c r="K563" s="1185"/>
      <c r="L563" s="1185"/>
      <c r="M563" s="1185"/>
      <c r="N563" s="1185"/>
      <c r="O563" s="1185"/>
      <c r="P563" s="1185"/>
      <c r="Q563" s="1185"/>
      <c r="R563" s="1185"/>
      <c r="S563" s="12"/>
      <c r="T563" s="61" t="s">
        <v>901</v>
      </c>
      <c r="U563" t="s">
        <v>82</v>
      </c>
      <c r="Z563" s="1185" t="str">
        <f>C550</f>
        <v>Sacramento Housing and Redevelopment Agency</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7" t="s">
        <v>2431</v>
      </c>
      <c r="H564" s="1057"/>
      <c r="I564" s="1057"/>
      <c r="J564" s="1057"/>
      <c r="K564" s="1057"/>
      <c r="L564" s="1057"/>
      <c r="M564" s="1057"/>
      <c r="N564" s="1057"/>
      <c r="O564" s="1057"/>
      <c r="P564" s="1057"/>
      <c r="Q564" s="1057"/>
      <c r="R564" s="1057"/>
      <c r="S564" s="12"/>
      <c r="T564" s="4"/>
      <c r="U564" t="s">
        <v>372</v>
      </c>
      <c r="Z564" s="1057" t="s">
        <v>2434</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7" t="s">
        <v>2432</v>
      </c>
      <c r="H565" s="1057"/>
      <c r="I565" s="1057"/>
      <c r="J565" s="1057"/>
      <c r="K565" s="1057"/>
      <c r="L565" s="1057"/>
      <c r="M565" s="1057"/>
      <c r="N565" s="1057"/>
      <c r="O565" s="1057"/>
      <c r="P565" s="1057"/>
      <c r="Q565" s="1057"/>
      <c r="R565" s="1057"/>
      <c r="T565" s="4"/>
      <c r="U565" t="s">
        <v>430</v>
      </c>
      <c r="Z565" s="1055" t="s">
        <v>2435</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7" t="s">
        <v>2481</v>
      </c>
      <c r="H566" s="1057"/>
      <c r="I566" s="1057"/>
      <c r="J566" s="1057"/>
      <c r="K566" s="1057"/>
      <c r="L566" s="1057"/>
      <c r="M566" s="1057"/>
      <c r="N566" s="1057"/>
      <c r="O566" s="1057"/>
      <c r="P566" s="1057"/>
      <c r="Q566" s="1057"/>
      <c r="R566" s="1057"/>
      <c r="S566" s="12"/>
      <c r="T566" s="4"/>
      <c r="U566" t="s">
        <v>833</v>
      </c>
      <c r="Z566" s="1055" t="s">
        <v>2436</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9" t="s">
        <v>2433</v>
      </c>
      <c r="H567" s="1059"/>
      <c r="I567" s="1059"/>
      <c r="J567" s="1059"/>
      <c r="K567" s="1059"/>
      <c r="L567" s="1059"/>
      <c r="O567" s="42" t="s">
        <v>818</v>
      </c>
      <c r="P567" s="1316"/>
      <c r="Q567" s="1316"/>
      <c r="R567" s="1316"/>
      <c r="S567" s="14"/>
      <c r="T567" s="4"/>
      <c r="U567" t="s">
        <v>650</v>
      </c>
      <c r="Z567" s="1059" t="s">
        <v>2437</v>
      </c>
      <c r="AA567" s="1059"/>
      <c r="AB567" s="1059"/>
      <c r="AC567" s="1059"/>
      <c r="AD567" s="1059"/>
      <c r="AE567" s="1059"/>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7" t="s">
        <v>2484</v>
      </c>
      <c r="I568" s="1057"/>
      <c r="J568" s="1057"/>
      <c r="K568" s="1057"/>
      <c r="L568" s="1057"/>
      <c r="M568" s="1057"/>
      <c r="N568" s="1057"/>
      <c r="O568" s="1057"/>
      <c r="P568" s="1057"/>
      <c r="Q568" s="1057"/>
      <c r="R568" s="1057"/>
      <c r="S568" s="12"/>
      <c r="T568" s="4"/>
      <c r="U568" t="s">
        <v>834</v>
      </c>
      <c r="AA568" s="1057" t="s">
        <v>2483</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5" t="str">
        <f>C551</f>
        <v>City of Rancho Cordova Land Loan</v>
      </c>
      <c r="H571" s="1185"/>
      <c r="I571" s="1185"/>
      <c r="J571" s="1185"/>
      <c r="K571" s="1185"/>
      <c r="L571" s="1185"/>
      <c r="M571" s="1185"/>
      <c r="N571" s="1185"/>
      <c r="O571" s="1185"/>
      <c r="P571" s="1185"/>
      <c r="Q571" s="1185"/>
      <c r="R571" s="1185"/>
      <c r="T571" s="61" t="s">
        <v>431</v>
      </c>
      <c r="U571" t="s">
        <v>82</v>
      </c>
      <c r="Z571" s="1185" t="str">
        <f>C552</f>
        <v xml:space="preserve">City of Rancho Cordova </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7" t="s">
        <v>2438</v>
      </c>
      <c r="H572" s="1057"/>
      <c r="I572" s="1057"/>
      <c r="J572" s="1057"/>
      <c r="K572" s="1057"/>
      <c r="L572" s="1057"/>
      <c r="M572" s="1057"/>
      <c r="N572" s="1057"/>
      <c r="O572" s="1057"/>
      <c r="P572" s="1057"/>
      <c r="Q572" s="1057"/>
      <c r="R572" s="1057"/>
      <c r="T572" s="4"/>
      <c r="U572" t="s">
        <v>372</v>
      </c>
      <c r="Z572" s="1057" t="s">
        <v>2438</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5" t="s">
        <v>2408</v>
      </c>
      <c r="H573" s="1055"/>
      <c r="I573" s="1055"/>
      <c r="J573" s="1055"/>
      <c r="K573" s="1055"/>
      <c r="L573" s="1055"/>
      <c r="M573" s="1055"/>
      <c r="N573" s="1055"/>
      <c r="O573" s="1055"/>
      <c r="P573" s="1055"/>
      <c r="Q573" s="1055"/>
      <c r="R573" s="1055"/>
      <c r="T573" s="4"/>
      <c r="U573" t="s">
        <v>430</v>
      </c>
      <c r="Z573" s="1055" t="s">
        <v>2408</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5" t="s">
        <v>2405</v>
      </c>
      <c r="H574" s="1055"/>
      <c r="I574" s="1055"/>
      <c r="J574" s="1055"/>
      <c r="K574" s="1055"/>
      <c r="L574" s="1055"/>
      <c r="M574" s="1055"/>
      <c r="N574" s="1055"/>
      <c r="O574" s="1055"/>
      <c r="P574" s="1055"/>
      <c r="Q574" s="1055"/>
      <c r="R574" s="1055"/>
      <c r="T574" s="4"/>
      <c r="U574" t="s">
        <v>833</v>
      </c>
      <c r="Z574" s="1055" t="s">
        <v>2405</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9" t="s">
        <v>2411</v>
      </c>
      <c r="H575" s="1059"/>
      <c r="I575" s="1059"/>
      <c r="J575" s="1059"/>
      <c r="K575" s="1059"/>
      <c r="L575" s="1059"/>
      <c r="O575" s="42" t="s">
        <v>818</v>
      </c>
      <c r="P575" s="1316"/>
      <c r="Q575" s="1316"/>
      <c r="R575" s="1316"/>
      <c r="T575" s="4"/>
      <c r="U575" t="s">
        <v>650</v>
      </c>
      <c r="Z575" s="1059" t="s">
        <v>2411</v>
      </c>
      <c r="AA575" s="1059"/>
      <c r="AB575" s="1059"/>
      <c r="AC575" s="1059"/>
      <c r="AD575" s="1059"/>
      <c r="AE575" s="1059"/>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7" t="s">
        <v>2485</v>
      </c>
      <c r="I576" s="1057"/>
      <c r="J576" s="1057"/>
      <c r="K576" s="1057"/>
      <c r="L576" s="1057"/>
      <c r="M576" s="1057"/>
      <c r="N576" s="1057"/>
      <c r="O576" s="1057"/>
      <c r="P576" s="1057"/>
      <c r="Q576" s="1057"/>
      <c r="R576" s="1057"/>
      <c r="T576" s="4"/>
      <c r="U576" t="s">
        <v>834</v>
      </c>
      <c r="AA576" s="1057" t="s">
        <v>2486</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3" t="s">
        <v>108</v>
      </c>
      <c r="O577" s="1143"/>
      <c r="T577" s="4"/>
      <c r="U577" t="s">
        <v>836</v>
      </c>
      <c r="AG577" s="1143" t="s">
        <v>108</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5" t="str">
        <f>C553</f>
        <v>Rancho Cordova impact fee note</v>
      </c>
      <c r="H579" s="1185"/>
      <c r="I579" s="1185"/>
      <c r="J579" s="1185"/>
      <c r="K579" s="1185"/>
      <c r="L579" s="1185"/>
      <c r="M579" s="1185"/>
      <c r="N579" s="1185"/>
      <c r="O579" s="1185"/>
      <c r="P579" s="1185"/>
      <c r="Q579" s="1185"/>
      <c r="R579" s="1185"/>
      <c r="T579" s="61" t="s">
        <v>434</v>
      </c>
      <c r="U579" t="s">
        <v>82</v>
      </c>
      <c r="Z579" s="1185" t="str">
        <f>C554</f>
        <v>Ikaika Ohana</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7" t="s">
        <v>2438</v>
      </c>
      <c r="H580" s="1057"/>
      <c r="I580" s="1057"/>
      <c r="J580" s="1057"/>
      <c r="K580" s="1057"/>
      <c r="L580" s="1057"/>
      <c r="M580" s="1057"/>
      <c r="N580" s="1057"/>
      <c r="O580" s="1057"/>
      <c r="P580" s="1057"/>
      <c r="Q580" s="1057"/>
      <c r="R580" s="1057"/>
      <c r="T580" s="4"/>
      <c r="U580" t="s">
        <v>372</v>
      </c>
      <c r="Z580" s="1057" t="s">
        <v>2439</v>
      </c>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7" t="s">
        <v>2408</v>
      </c>
      <c r="H581" s="1057"/>
      <c r="I581" s="1057"/>
      <c r="J581" s="1057"/>
      <c r="K581" s="1057"/>
      <c r="L581" s="1057"/>
      <c r="M581" s="1057"/>
      <c r="N581" s="1057"/>
      <c r="O581" s="1057"/>
      <c r="P581" s="1057"/>
      <c r="Q581" s="1057"/>
      <c r="R581" s="1057"/>
      <c r="T581" s="4"/>
      <c r="U581" t="s">
        <v>430</v>
      </c>
      <c r="Z581" s="1055" t="s">
        <v>2384</v>
      </c>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7" t="s">
        <v>2405</v>
      </c>
      <c r="H582" s="1057"/>
      <c r="I582" s="1057"/>
      <c r="J582" s="1057"/>
      <c r="K582" s="1057"/>
      <c r="L582" s="1057"/>
      <c r="M582" s="1057"/>
      <c r="N582" s="1057"/>
      <c r="O582" s="1057"/>
      <c r="P582" s="1057"/>
      <c r="Q582" s="1057"/>
      <c r="R582" s="1057"/>
      <c r="T582" s="4"/>
      <c r="U582" t="s">
        <v>833</v>
      </c>
      <c r="Z582" s="1055" t="s">
        <v>2385</v>
      </c>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9" t="s">
        <v>2411</v>
      </c>
      <c r="H583" s="1059"/>
      <c r="I583" s="1059"/>
      <c r="J583" s="1059"/>
      <c r="K583" s="1059"/>
      <c r="L583" s="1059"/>
      <c r="O583" s="42" t="s">
        <v>818</v>
      </c>
      <c r="P583" s="1316"/>
      <c r="Q583" s="1316"/>
      <c r="R583" s="1316"/>
      <c r="T583" s="4"/>
      <c r="U583" t="s">
        <v>650</v>
      </c>
      <c r="Z583" s="1059" t="s">
        <v>2440</v>
      </c>
      <c r="AA583" s="1059"/>
      <c r="AB583" s="1059"/>
      <c r="AC583" s="1059"/>
      <c r="AD583" s="1059"/>
      <c r="AE583" s="1059"/>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7" t="s">
        <v>2487</v>
      </c>
      <c r="I584" s="1057"/>
      <c r="J584" s="1057"/>
      <c r="K584" s="1057"/>
      <c r="L584" s="1057"/>
      <c r="M584" s="1057"/>
      <c r="N584" s="1057"/>
      <c r="O584" s="1057"/>
      <c r="P584" s="1057"/>
      <c r="Q584" s="1057"/>
      <c r="R584" s="1057"/>
      <c r="T584" s="4"/>
      <c r="U584" t="s">
        <v>834</v>
      </c>
      <c r="AA584" s="1057" t="s">
        <v>2441</v>
      </c>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3" t="s">
        <v>108</v>
      </c>
      <c r="O585" s="1143"/>
      <c r="T585" s="4"/>
      <c r="U585" t="s">
        <v>836</v>
      </c>
      <c r="AG585" s="1143" t="s">
        <v>108</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5" t="str">
        <f>C555</f>
        <v>Red Stone Equity</v>
      </c>
      <c r="H587" s="1185"/>
      <c r="I587" s="1185"/>
      <c r="J587" s="1185"/>
      <c r="K587" s="1185"/>
      <c r="L587" s="1185"/>
      <c r="M587" s="1185"/>
      <c r="N587" s="1185"/>
      <c r="O587" s="1185"/>
      <c r="P587" s="1185"/>
      <c r="Q587" s="1185"/>
      <c r="R587" s="1185"/>
      <c r="T587" s="61" t="s">
        <v>743</v>
      </c>
      <c r="U587" t="s">
        <v>82</v>
      </c>
      <c r="Z587" s="1185" t="str">
        <f>C556</f>
        <v>A0575 Rancho Cordova Dev LLC</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7" t="s">
        <v>2502</v>
      </c>
      <c r="H588" s="1057"/>
      <c r="I588" s="1057"/>
      <c r="J588" s="1057"/>
      <c r="K588" s="1057"/>
      <c r="L588" s="1057"/>
      <c r="M588" s="1057"/>
      <c r="N588" s="1057"/>
      <c r="O588" s="1057"/>
      <c r="P588" s="1057"/>
      <c r="Q588" s="1057"/>
      <c r="R588" s="1057"/>
      <c r="T588" s="4"/>
      <c r="U588" t="s">
        <v>372</v>
      </c>
      <c r="Z588" s="1057" t="s">
        <v>2442</v>
      </c>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7" t="s">
        <v>2503</v>
      </c>
      <c r="H589" s="1057"/>
      <c r="I589" s="1057"/>
      <c r="J589" s="1057"/>
      <c r="K589" s="1057"/>
      <c r="L589" s="1057"/>
      <c r="M589" s="1057"/>
      <c r="N589" s="1057"/>
      <c r="O589" s="1057"/>
      <c r="P589" s="1057"/>
      <c r="Q589" s="1057"/>
      <c r="R589" s="1057"/>
      <c r="S589"/>
      <c r="T589" s="4"/>
      <c r="U589" t="s">
        <v>430</v>
      </c>
      <c r="V589"/>
      <c r="W589"/>
      <c r="X589"/>
      <c r="Y589"/>
      <c r="Z589" s="1055" t="s">
        <v>2357</v>
      </c>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7" t="s">
        <v>2500</v>
      </c>
      <c r="H590" s="1057"/>
      <c r="I590" s="1057"/>
      <c r="J590" s="1057"/>
      <c r="K590" s="1057"/>
      <c r="L590" s="1057"/>
      <c r="M590" s="1057"/>
      <c r="N590" s="1057"/>
      <c r="O590" s="1057"/>
      <c r="P590" s="1057"/>
      <c r="Q590" s="1057"/>
      <c r="R590" s="1057"/>
      <c r="S590"/>
      <c r="T590" s="4"/>
      <c r="U590" t="s">
        <v>833</v>
      </c>
      <c r="V590"/>
      <c r="W590"/>
      <c r="X590"/>
      <c r="Y590"/>
      <c r="Z590" s="1055" t="s">
        <v>2337</v>
      </c>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9">
        <v>8587522066</v>
      </c>
      <c r="H591" s="1059"/>
      <c r="I591" s="1059"/>
      <c r="J591" s="1059"/>
      <c r="K591" s="1059"/>
      <c r="L591" s="1059"/>
      <c r="M591"/>
      <c r="N591"/>
      <c r="O591" s="42" t="s">
        <v>818</v>
      </c>
      <c r="P591" s="1316">
        <v>106</v>
      </c>
      <c r="Q591" s="1316"/>
      <c r="R591" s="1316"/>
      <c r="S591"/>
      <c r="T591" s="4"/>
      <c r="U591" t="s">
        <v>650</v>
      </c>
      <c r="V591"/>
      <c r="W591"/>
      <c r="X591"/>
      <c r="Y591"/>
      <c r="Z591" s="1059" t="s">
        <v>2352</v>
      </c>
      <c r="AA591" s="1059"/>
      <c r="AB591" s="1059"/>
      <c r="AC591" s="1059"/>
      <c r="AD591" s="1059"/>
      <c r="AE591" s="1059"/>
      <c r="AF591"/>
      <c r="AG591"/>
      <c r="AH591" s="42" t="s">
        <v>818</v>
      </c>
      <c r="AI591" s="1316">
        <v>106</v>
      </c>
      <c r="AJ591" s="1316"/>
      <c r="AK591" s="1316"/>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0</v>
      </c>
      <c r="BT591" s="1070"/>
      <c r="BU591" s="1070"/>
      <c r="BV591" s="1070"/>
      <c r="BW591" s="1072"/>
      <c r="BX591" s="1069">
        <f t="shared" ref="BX591" si="3">IF(B695="2 Bedrooms",G695,0)</f>
        <v>2</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7" t="s">
        <v>2488</v>
      </c>
      <c r="I592" s="1057"/>
      <c r="J592" s="1057"/>
      <c r="K592" s="1057"/>
      <c r="L592" s="1057"/>
      <c r="M592" s="1057"/>
      <c r="N592" s="1057"/>
      <c r="O592" s="1057"/>
      <c r="P592" s="1057"/>
      <c r="Q592" s="1057"/>
      <c r="R592" s="1057"/>
      <c r="S592"/>
      <c r="T592" s="4"/>
      <c r="U592" t="s">
        <v>834</v>
      </c>
      <c r="V592"/>
      <c r="W592"/>
      <c r="X592"/>
      <c r="Y592"/>
      <c r="Z592"/>
      <c r="AA592" s="1057" t="s">
        <v>2443</v>
      </c>
      <c r="AB592" s="1057"/>
      <c r="AC592" s="1057"/>
      <c r="AD592" s="1057"/>
      <c r="AE592" s="1057"/>
      <c r="AF592" s="1057"/>
      <c r="AG592" s="1057"/>
      <c r="AH592" s="1057"/>
      <c r="AI592" s="1057"/>
      <c r="AJ592" s="1057"/>
      <c r="AK592" s="1057"/>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2</v>
      </c>
      <c r="BL592" s="1072"/>
      <c r="BN592" s="1069">
        <f t="shared" ref="BN592:BN625" si="9">IF(B696="SRO/Studio",G696,0)</f>
        <v>0</v>
      </c>
      <c r="BO592" s="1070"/>
      <c r="BP592" s="1070"/>
      <c r="BQ592" s="1070"/>
      <c r="BR592" s="1071"/>
      <c r="BS592" s="1069">
        <f t="shared" ref="BS592:BS625" si="10">IF(B696="1 Bedroom",G696,0)</f>
        <v>0</v>
      </c>
      <c r="BT592" s="1070"/>
      <c r="BU592" s="1070"/>
      <c r="BV592" s="1070"/>
      <c r="BW592" s="1072"/>
      <c r="BX592" s="1069">
        <f t="shared" ref="BX592:BX625" si="11">IF(B696="2 Bedrooms",G696,0)</f>
        <v>3</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0</v>
      </c>
      <c r="CY592" s="1067"/>
      <c r="CZ592" s="1067"/>
      <c r="DA592" s="1067"/>
      <c r="DB592" s="1068"/>
      <c r="DC592" s="1066">
        <f>IF(AND(B695="2 Bedrooms",AH695&lt;=0.3),G695,0)</f>
        <v>2</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5" customHeight="1">
      <c r="A593" s="4"/>
      <c r="B593" t="s">
        <v>836</v>
      </c>
      <c r="C593"/>
      <c r="D593"/>
      <c r="E593"/>
      <c r="F593"/>
      <c r="G593"/>
      <c r="H593"/>
      <c r="I593"/>
      <c r="J593"/>
      <c r="K593"/>
      <c r="L593"/>
      <c r="M593"/>
      <c r="N593" s="1143" t="s">
        <v>108</v>
      </c>
      <c r="O593" s="1143"/>
      <c r="P593"/>
      <c r="Q593"/>
      <c r="R593"/>
      <c r="S593"/>
      <c r="T593" s="4"/>
      <c r="U593" t="s">
        <v>836</v>
      </c>
      <c r="V593"/>
      <c r="W593"/>
      <c r="X593"/>
      <c r="Y593"/>
      <c r="Z593"/>
      <c r="AA593"/>
      <c r="AB593"/>
      <c r="AC593"/>
      <c r="AD593"/>
      <c r="AE593"/>
      <c r="AF593"/>
      <c r="AG593" s="1143" t="s">
        <v>108</v>
      </c>
      <c r="AH593" s="1143"/>
      <c r="AI593"/>
      <c r="AJ593"/>
      <c r="AK593"/>
      <c r="AL593"/>
      <c r="AZ593" s="5" t="s">
        <v>780</v>
      </c>
      <c r="BA593" s="41"/>
      <c r="BB593" s="41"/>
      <c r="BC593" s="41"/>
      <c r="BD593" s="41"/>
      <c r="BE593" s="1075">
        <f t="shared" ref="BE593:BE615" si="15">IF(AND(AH696&lt;=0.5,AH696&gt;=0.36),1,0)</f>
        <v>1</v>
      </c>
      <c r="BF593" s="1076"/>
      <c r="BG593" s="1069">
        <f t="shared" si="7"/>
        <v>3</v>
      </c>
      <c r="BH593" s="1072"/>
      <c r="BI593" s="1075">
        <f t="shared" ref="BI593:BI615" si="16">IF(AND(AH696&lt;=0.35,AH696&gt;0),1,0)</f>
        <v>0</v>
      </c>
      <c r="BJ593" s="1076"/>
      <c r="BK593" s="1069">
        <f t="shared" si="8"/>
        <v>0</v>
      </c>
      <c r="BL593" s="1072"/>
      <c r="BN593" s="1069">
        <f t="shared" si="9"/>
        <v>0</v>
      </c>
      <c r="BO593" s="1070"/>
      <c r="BP593" s="1070"/>
      <c r="BQ593" s="1070"/>
      <c r="BR593" s="1071"/>
      <c r="BS593" s="1069">
        <f t="shared" si="10"/>
        <v>0</v>
      </c>
      <c r="BT593" s="1070"/>
      <c r="BU593" s="1070"/>
      <c r="BV593" s="1070"/>
      <c r="BW593" s="1072"/>
      <c r="BX593" s="1069">
        <f t="shared" si="11"/>
        <v>8</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5" customHeight="1">
      <c r="AZ594" s="5" t="s">
        <v>781</v>
      </c>
      <c r="BA594" s="41"/>
      <c r="BB594" s="41"/>
      <c r="BC594" s="41"/>
      <c r="BD594" s="41"/>
      <c r="BE594" s="1075">
        <f t="shared" si="15"/>
        <v>1</v>
      </c>
      <c r="BF594" s="1076"/>
      <c r="BG594" s="1069">
        <f t="shared" si="7"/>
        <v>8</v>
      </c>
      <c r="BH594" s="1072"/>
      <c r="BI594" s="1075">
        <f t="shared" si="16"/>
        <v>0</v>
      </c>
      <c r="BJ594" s="1076"/>
      <c r="BK594" s="1069">
        <f t="shared" si="8"/>
        <v>0</v>
      </c>
      <c r="BL594" s="1072"/>
      <c r="BN594" s="1069">
        <f t="shared" si="9"/>
        <v>0</v>
      </c>
      <c r="BO594" s="1070"/>
      <c r="BP594" s="1070"/>
      <c r="BQ594" s="1070"/>
      <c r="BR594" s="1071"/>
      <c r="BS594" s="1069">
        <f t="shared" si="10"/>
        <v>0</v>
      </c>
      <c r="BT594" s="1070"/>
      <c r="BU594" s="1070"/>
      <c r="BV594" s="1070"/>
      <c r="BW594" s="1072"/>
      <c r="BX594" s="1069">
        <f t="shared" si="11"/>
        <v>4</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5" customHeight="1">
      <c r="A595" s="61" t="s">
        <v>546</v>
      </c>
      <c r="B595" t="s">
        <v>82</v>
      </c>
      <c r="G595" s="1185" t="str">
        <f>C557</f>
        <v>A0575 Rancho Cordova Dev LLC</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5" customHeight="1">
      <c r="A596" s="4"/>
      <c r="B596" t="s">
        <v>372</v>
      </c>
      <c r="G596" s="1057" t="s">
        <v>2489</v>
      </c>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2</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5" customHeight="1">
      <c r="A597" s="4"/>
      <c r="B597" t="s">
        <v>430</v>
      </c>
      <c r="G597" s="1057" t="s">
        <v>2490</v>
      </c>
      <c r="H597" s="1057"/>
      <c r="I597" s="1057"/>
      <c r="J597" s="1057"/>
      <c r="K597" s="1057"/>
      <c r="L597" s="1057"/>
      <c r="M597" s="1057"/>
      <c r="N597" s="1057"/>
      <c r="O597" s="1057"/>
      <c r="P597" s="1057"/>
      <c r="Q597" s="1057"/>
      <c r="R597" s="1057"/>
      <c r="T597" s="4"/>
      <c r="U597" t="s">
        <v>430</v>
      </c>
      <c r="Z597" s="1055"/>
      <c r="AA597" s="1055"/>
      <c r="AB597" s="1055"/>
      <c r="AC597" s="1055"/>
      <c r="AD597" s="1055"/>
      <c r="AE597" s="1055"/>
      <c r="AF597" s="1055"/>
      <c r="AG597" s="1055"/>
      <c r="AH597" s="1055"/>
      <c r="AI597" s="1055"/>
      <c r="AJ597" s="1055"/>
      <c r="AK597" s="1055"/>
      <c r="AZ597" s="41"/>
      <c r="BA597" s="41"/>
      <c r="BB597" s="41"/>
      <c r="BC597" s="41"/>
      <c r="BD597" s="41"/>
      <c r="BE597" s="1075">
        <f t="shared" si="15"/>
        <v>0</v>
      </c>
      <c r="BF597" s="1076"/>
      <c r="BG597" s="1069">
        <f t="shared" si="7"/>
        <v>0</v>
      </c>
      <c r="BH597" s="1072"/>
      <c r="BI597" s="1075">
        <f t="shared" si="16"/>
        <v>1</v>
      </c>
      <c r="BJ597" s="1076"/>
      <c r="BK597" s="1069">
        <f t="shared" si="8"/>
        <v>2</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2</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2</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5" customHeight="1">
      <c r="A598" s="4"/>
      <c r="B598" t="s">
        <v>833</v>
      </c>
      <c r="G598" s="1057" t="s">
        <v>2337</v>
      </c>
      <c r="H598" s="1057"/>
      <c r="I598" s="1057"/>
      <c r="J598" s="1057"/>
      <c r="K598" s="1057"/>
      <c r="L598" s="1057"/>
      <c r="M598" s="1057"/>
      <c r="N598" s="1057"/>
      <c r="O598" s="1057"/>
      <c r="P598" s="1057"/>
      <c r="Q598" s="1057"/>
      <c r="R598" s="1057"/>
      <c r="T598" s="4"/>
      <c r="U598" t="s">
        <v>833</v>
      </c>
      <c r="Z598" s="1055"/>
      <c r="AA598" s="1055"/>
      <c r="AB598" s="1055"/>
      <c r="AC598" s="1055"/>
      <c r="AD598" s="1055"/>
      <c r="AE598" s="1055"/>
      <c r="AF598" s="1055"/>
      <c r="AG598" s="1055"/>
      <c r="AH598" s="1055"/>
      <c r="AI598" s="1055"/>
      <c r="AJ598" s="1055"/>
      <c r="AK598" s="1055"/>
      <c r="AZ598" s="41"/>
      <c r="BA598" s="41"/>
      <c r="BB598" s="41"/>
      <c r="BC598" s="41"/>
      <c r="BD598" s="41"/>
      <c r="BE598" s="1075">
        <f t="shared" si="15"/>
        <v>1</v>
      </c>
      <c r="BF598" s="1076"/>
      <c r="BG598" s="1069">
        <f t="shared" si="7"/>
        <v>2</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3</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5" customHeight="1">
      <c r="A599" s="4"/>
      <c r="B599" t="s">
        <v>650</v>
      </c>
      <c r="G599" s="1059">
        <v>7148353955</v>
      </c>
      <c r="H599" s="1059"/>
      <c r="I599" s="1059"/>
      <c r="J599" s="1059"/>
      <c r="K599" s="1059"/>
      <c r="L599" s="1059"/>
      <c r="O599" s="42" t="s">
        <v>818</v>
      </c>
      <c r="P599" s="1316"/>
      <c r="Q599" s="1316"/>
      <c r="R599" s="1316"/>
      <c r="T599" s="4"/>
      <c r="U599" t="s">
        <v>650</v>
      </c>
      <c r="Z599" s="1059"/>
      <c r="AA599" s="1059"/>
      <c r="AB599" s="1059"/>
      <c r="AC599" s="1059"/>
      <c r="AD599" s="1059"/>
      <c r="AE599" s="1059"/>
      <c r="AH599" s="42" t="s">
        <v>818</v>
      </c>
      <c r="AI599" s="1316"/>
      <c r="AJ599" s="1316"/>
      <c r="AK599" s="1316"/>
      <c r="AZ599" s="41"/>
      <c r="BA599" s="41"/>
      <c r="BB599" s="41"/>
      <c r="BC599" s="41"/>
      <c r="BD599" s="41"/>
      <c r="BE599" s="1075">
        <f t="shared" si="15"/>
        <v>1</v>
      </c>
      <c r="BF599" s="1076"/>
      <c r="BG599" s="1069">
        <f t="shared" si="7"/>
        <v>3</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3</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5" customHeight="1">
      <c r="A600" s="4"/>
      <c r="B600" t="s">
        <v>834</v>
      </c>
      <c r="C600"/>
      <c r="D600"/>
      <c r="E600"/>
      <c r="F600"/>
      <c r="G600"/>
      <c r="H600" s="1057" t="s">
        <v>2491</v>
      </c>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5" customHeight="1">
      <c r="A601" s="4"/>
      <c r="B601" t="s">
        <v>836</v>
      </c>
      <c r="C601"/>
      <c r="D601"/>
      <c r="E601"/>
      <c r="F601"/>
      <c r="G601"/>
      <c r="H601"/>
      <c r="I601"/>
      <c r="J601"/>
      <c r="K601"/>
      <c r="L601"/>
      <c r="M601"/>
      <c r="N601" s="1143" t="s">
        <v>108</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5"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5"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5" customHeight="1">
      <c r="B605" t="s">
        <v>430</v>
      </c>
      <c r="G605" s="1057"/>
      <c r="H605" s="1057"/>
      <c r="I605" s="1057"/>
      <c r="J605" s="1057"/>
      <c r="K605" s="1057"/>
      <c r="L605" s="1057"/>
      <c r="M605" s="1057"/>
      <c r="N605" s="1057"/>
      <c r="O605" s="1057"/>
      <c r="P605" s="1057"/>
      <c r="Q605" s="1057"/>
      <c r="R605" s="1057"/>
      <c r="U605" t="s">
        <v>430</v>
      </c>
      <c r="Z605" s="1055"/>
      <c r="AA605" s="1055"/>
      <c r="AB605" s="1055"/>
      <c r="AC605" s="1055"/>
      <c r="AD605" s="1055"/>
      <c r="AE605" s="1055"/>
      <c r="AF605" s="1055"/>
      <c r="AG605" s="1055"/>
      <c r="AH605" s="1055"/>
      <c r="AI605" s="1055"/>
      <c r="AJ605" s="1055"/>
      <c r="AK605" s="1055"/>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5" customHeight="1">
      <c r="B606" t="s">
        <v>833</v>
      </c>
      <c r="G606" s="1057"/>
      <c r="H606" s="1057"/>
      <c r="I606" s="1057"/>
      <c r="J606" s="1057"/>
      <c r="K606" s="1057"/>
      <c r="L606" s="1057"/>
      <c r="M606" s="1057"/>
      <c r="N606" s="1057"/>
      <c r="O606" s="1057"/>
      <c r="P606" s="1057"/>
      <c r="Q606" s="1057"/>
      <c r="R606" s="1057"/>
      <c r="U606" t="s">
        <v>833</v>
      </c>
      <c r="Z606" s="1055"/>
      <c r="AA606" s="1055"/>
      <c r="AB606" s="1055"/>
      <c r="AC606" s="1055"/>
      <c r="AD606" s="1055"/>
      <c r="AE606" s="1055"/>
      <c r="AF606" s="1055"/>
      <c r="AG606" s="1055"/>
      <c r="AH606" s="1055"/>
      <c r="AI606" s="1055"/>
      <c r="AJ606" s="1055"/>
      <c r="AK606" s="1055"/>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5" customHeight="1">
      <c r="B607" t="s">
        <v>650</v>
      </c>
      <c r="G607" s="1059"/>
      <c r="H607" s="1059"/>
      <c r="I607" s="1059"/>
      <c r="J607" s="1059"/>
      <c r="K607" s="1059"/>
      <c r="L607" s="1059"/>
      <c r="O607" s="42" t="s">
        <v>818</v>
      </c>
      <c r="P607" s="1316"/>
      <c r="Q607" s="1316"/>
      <c r="R607" s="1316"/>
      <c r="U607" t="s">
        <v>650</v>
      </c>
      <c r="Z607" s="1059"/>
      <c r="AA607" s="1059"/>
      <c r="AB607" s="1059"/>
      <c r="AC607" s="1059"/>
      <c r="AD607" s="1059"/>
      <c r="AE607" s="1059"/>
      <c r="AH607" s="42" t="s">
        <v>818</v>
      </c>
      <c r="AI607" s="1316"/>
      <c r="AJ607" s="1316"/>
      <c r="AK607" s="1316"/>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5"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5"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5"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5" customHeight="1">
      <c r="A611" s="969" t="s">
        <v>126</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5"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5"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5"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5"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5" customHeight="1">
      <c r="C616" s="3" t="s">
        <v>2128</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5"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5" customHeight="1">
      <c r="B618" s="1107" t="s">
        <v>2197</v>
      </c>
      <c r="C618" s="1108"/>
      <c r="D618" s="1108"/>
      <c r="E618" s="1108"/>
      <c r="F618" s="1108"/>
      <c r="G618" s="1108"/>
      <c r="H618" s="1108"/>
      <c r="I618" s="1108"/>
      <c r="J618" s="1108"/>
      <c r="K618" s="1108"/>
      <c r="L618" s="1108"/>
      <c r="M618" s="1146" t="s">
        <v>2171</v>
      </c>
      <c r="N618" s="1146"/>
      <c r="O618" s="1146"/>
      <c r="P618" s="1146"/>
      <c r="Q618" s="1132" t="s">
        <v>2201</v>
      </c>
      <c r="R618" s="1133"/>
      <c r="S618" s="1134"/>
      <c r="T618" s="1132" t="s">
        <v>2200</v>
      </c>
      <c r="U618" s="1133"/>
      <c r="V618" s="1134"/>
      <c r="W618" s="1408" t="s">
        <v>740</v>
      </c>
      <c r="X618" s="1408"/>
      <c r="Y618" s="1409"/>
      <c r="Z618" s="1146" t="s">
        <v>2198</v>
      </c>
      <c r="AA618" s="1146"/>
      <c r="AB618" s="1146"/>
      <c r="AC618" s="1399" t="s">
        <v>1993</v>
      </c>
      <c r="AD618" s="1400"/>
      <c r="AE618" s="1401"/>
      <c r="AF618" s="1132" t="s">
        <v>2129</v>
      </c>
      <c r="AG618" s="1133"/>
      <c r="AH618" s="1133"/>
      <c r="AI618" s="1133"/>
      <c r="AJ618" s="1134"/>
      <c r="AK618" s="1283" t="s">
        <v>2130</v>
      </c>
      <c r="AL618" s="1284"/>
      <c r="AM618" s="1284"/>
      <c r="AN618" s="1285"/>
      <c r="AO618" s="1146" t="s">
        <v>741</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5"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0"/>
      <c r="X619" s="1410"/>
      <c r="Y619" s="1411"/>
      <c r="Z619" s="1146"/>
      <c r="AA619" s="1146"/>
      <c r="AB619" s="1146"/>
      <c r="AC619" s="1402"/>
      <c r="AD619" s="1403"/>
      <c r="AE619" s="1404"/>
      <c r="AF619" s="1135"/>
      <c r="AG619" s="1136"/>
      <c r="AH619" s="1136"/>
      <c r="AI619" s="1136"/>
      <c r="AJ619" s="1137"/>
      <c r="AK619" s="1286"/>
      <c r="AL619" s="1287"/>
      <c r="AM619" s="1287"/>
      <c r="AN619" s="1288"/>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5"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2"/>
      <c r="X620" s="1412"/>
      <c r="Y620" s="1413"/>
      <c r="Z620" s="1146"/>
      <c r="AA620" s="1146"/>
      <c r="AB620" s="1146"/>
      <c r="AC620" s="1405"/>
      <c r="AD620" s="1406"/>
      <c r="AE620" s="1407"/>
      <c r="AF620" s="1138"/>
      <c r="AG620" s="1139"/>
      <c r="AH620" s="1139"/>
      <c r="AI620" s="1139"/>
      <c r="AJ620" s="1140"/>
      <c r="AK620" s="1289"/>
      <c r="AL620" s="1290"/>
      <c r="AM620" s="1290"/>
      <c r="AN620" s="1291"/>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5" customHeight="1">
      <c r="B621" s="57" t="s">
        <v>900</v>
      </c>
      <c r="C621" s="1098" t="s">
        <v>2424</v>
      </c>
      <c r="D621" s="1098"/>
      <c r="E621" s="1098"/>
      <c r="F621" s="1098"/>
      <c r="G621" s="1098"/>
      <c r="H621" s="1098"/>
      <c r="I621" s="1098"/>
      <c r="J621" s="1098"/>
      <c r="K621" s="1098"/>
      <c r="L621" s="1098"/>
      <c r="M621" s="1279" t="s">
        <v>2181</v>
      </c>
      <c r="N621" s="1279"/>
      <c r="O621" s="1279"/>
      <c r="P621" s="1279"/>
      <c r="Q621" s="1352">
        <v>120</v>
      </c>
      <c r="R621" s="1353"/>
      <c r="S621" s="1354"/>
      <c r="T621" s="1378">
        <v>120</v>
      </c>
      <c r="U621" s="1379"/>
      <c r="V621" s="1380"/>
      <c r="W621" s="1292">
        <v>6.8500000000000005E-2</v>
      </c>
      <c r="X621" s="1293"/>
      <c r="Y621" s="1294"/>
      <c r="Z621" s="1355" t="s">
        <v>2199</v>
      </c>
      <c r="AA621" s="1356"/>
      <c r="AB621" s="1357"/>
      <c r="AC621" s="1338">
        <v>1</v>
      </c>
      <c r="AD621" s="1145"/>
      <c r="AE621" s="1339"/>
      <c r="AF621" s="1164">
        <v>61590</v>
      </c>
      <c r="AG621" s="1165"/>
      <c r="AH621" s="1165"/>
      <c r="AI621" s="1165"/>
      <c r="AJ621" s="1166"/>
      <c r="AK621" s="1280"/>
      <c r="AL621" s="1281"/>
      <c r="AM621" s="1281"/>
      <c r="AN621" s="1282"/>
      <c r="AO621" s="1219">
        <v>445000</v>
      </c>
      <c r="AP621" s="1219"/>
      <c r="AQ621" s="1219"/>
      <c r="AR621" s="1219"/>
      <c r="AS621" s="1219"/>
      <c r="AT621" s="946" t="str">
        <f t="shared" ref="AT621:AT632" si="33">IF(AND(NOT(C620=""),C621="",NOT(C622="")),"!","")</f>
        <v/>
      </c>
      <c r="AU621" s="43"/>
      <c r="AV621" s="43"/>
      <c r="AW621" s="43"/>
      <c r="AX621" s="43"/>
      <c r="AY621" s="43"/>
      <c r="BA621" s="41" t="s">
        <v>1980</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5" customHeight="1">
      <c r="B622" s="58" t="s">
        <v>901</v>
      </c>
      <c r="C622" s="1098" t="s">
        <v>2482</v>
      </c>
      <c r="D622" s="1098"/>
      <c r="E622" s="1098"/>
      <c r="F622" s="1098"/>
      <c r="G622" s="1098"/>
      <c r="H622" s="1098"/>
      <c r="I622" s="1098"/>
      <c r="J622" s="1098"/>
      <c r="K622" s="1098"/>
      <c r="L622" s="1098"/>
      <c r="M622" s="1279" t="s">
        <v>2183</v>
      </c>
      <c r="N622" s="1279"/>
      <c r="O622" s="1279"/>
      <c r="P622" s="1279"/>
      <c r="Q622" s="1352">
        <v>480</v>
      </c>
      <c r="R622" s="1353"/>
      <c r="S622" s="1354"/>
      <c r="T622" s="1378"/>
      <c r="U622" s="1379"/>
      <c r="V622" s="1380"/>
      <c r="W622" s="1292">
        <v>0.03</v>
      </c>
      <c r="X622" s="1293"/>
      <c r="Y622" s="1294"/>
      <c r="Z622" s="1355" t="s">
        <v>788</v>
      </c>
      <c r="AA622" s="1356"/>
      <c r="AB622" s="1357"/>
      <c r="AC622" s="1338">
        <v>2</v>
      </c>
      <c r="AD622" s="1145"/>
      <c r="AE622" s="1339"/>
      <c r="AF622" s="1164"/>
      <c r="AG622" s="1165"/>
      <c r="AH622" s="1165"/>
      <c r="AI622" s="1165"/>
      <c r="AJ622" s="1166"/>
      <c r="AK622" s="1280"/>
      <c r="AL622" s="1281"/>
      <c r="AM622" s="1281"/>
      <c r="AN622" s="1282"/>
      <c r="AO622" s="1219">
        <v>2000000</v>
      </c>
      <c r="AP622" s="1219"/>
      <c r="AQ622" s="1219"/>
      <c r="AR622" s="1219"/>
      <c r="AS622" s="1219"/>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5" customHeight="1">
      <c r="B623" s="58" t="s">
        <v>907</v>
      </c>
      <c r="C623" s="1098" t="s">
        <v>2425</v>
      </c>
      <c r="D623" s="1098"/>
      <c r="E623" s="1098"/>
      <c r="F623" s="1098"/>
      <c r="G623" s="1098"/>
      <c r="H623" s="1098"/>
      <c r="I623" s="1098"/>
      <c r="J623" s="1098"/>
      <c r="K623" s="1098"/>
      <c r="L623" s="1098"/>
      <c r="M623" s="1279" t="s">
        <v>2183</v>
      </c>
      <c r="N623" s="1279"/>
      <c r="O623" s="1279"/>
      <c r="P623" s="1279"/>
      <c r="Q623" s="1352">
        <v>660</v>
      </c>
      <c r="R623" s="1353"/>
      <c r="S623" s="1354"/>
      <c r="T623" s="1378"/>
      <c r="U623" s="1379"/>
      <c r="V623" s="1380"/>
      <c r="W623" s="1292">
        <v>0</v>
      </c>
      <c r="X623" s="1293"/>
      <c r="Y623" s="1294"/>
      <c r="Z623" s="1355" t="s">
        <v>788</v>
      </c>
      <c r="AA623" s="1356"/>
      <c r="AB623" s="1357"/>
      <c r="AC623" s="1338">
        <v>3</v>
      </c>
      <c r="AD623" s="1145"/>
      <c r="AE623" s="1339"/>
      <c r="AF623" s="1164"/>
      <c r="AG623" s="1165"/>
      <c r="AH623" s="1165"/>
      <c r="AI623" s="1165"/>
      <c r="AJ623" s="1166"/>
      <c r="AK623" s="1280"/>
      <c r="AL623" s="1281"/>
      <c r="AM623" s="1281"/>
      <c r="AN623" s="1282"/>
      <c r="AO623" s="1219">
        <v>660000</v>
      </c>
      <c r="AP623" s="1219"/>
      <c r="AQ623" s="1219"/>
      <c r="AR623" s="1219"/>
      <c r="AS623" s="1219"/>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5" customHeight="1">
      <c r="B624" s="58" t="s">
        <v>431</v>
      </c>
      <c r="C624" s="1098" t="s">
        <v>2426</v>
      </c>
      <c r="D624" s="1098"/>
      <c r="E624" s="1098"/>
      <c r="F624" s="1098"/>
      <c r="G624" s="1098"/>
      <c r="H624" s="1098"/>
      <c r="I624" s="1098"/>
      <c r="J624" s="1098"/>
      <c r="K624" s="1098"/>
      <c r="L624" s="1098"/>
      <c r="M624" s="1279" t="s">
        <v>2183</v>
      </c>
      <c r="N624" s="1279"/>
      <c r="O624" s="1279"/>
      <c r="P624" s="1279"/>
      <c r="Q624" s="1352">
        <v>660</v>
      </c>
      <c r="R624" s="1353"/>
      <c r="S624" s="1354"/>
      <c r="T624" s="1378"/>
      <c r="U624" s="1379"/>
      <c r="V624" s="1380"/>
      <c r="W624" s="1292">
        <v>0</v>
      </c>
      <c r="X624" s="1293"/>
      <c r="Y624" s="1294"/>
      <c r="Z624" s="1355" t="s">
        <v>788</v>
      </c>
      <c r="AA624" s="1356"/>
      <c r="AB624" s="1357"/>
      <c r="AC624" s="1338">
        <v>4</v>
      </c>
      <c r="AD624" s="1145"/>
      <c r="AE624" s="1339"/>
      <c r="AF624" s="1164"/>
      <c r="AG624" s="1165"/>
      <c r="AH624" s="1165"/>
      <c r="AI624" s="1165"/>
      <c r="AJ624" s="1166"/>
      <c r="AK624" s="1280"/>
      <c r="AL624" s="1281"/>
      <c r="AM624" s="1281"/>
      <c r="AN624" s="1282"/>
      <c r="AO624" s="1219">
        <v>692000</v>
      </c>
      <c r="AP624" s="1219"/>
      <c r="AQ624" s="1219"/>
      <c r="AR624" s="1219"/>
      <c r="AS624" s="1219"/>
      <c r="AT624" s="946" t="str">
        <f t="shared" si="33"/>
        <v/>
      </c>
      <c r="AU624" s="43"/>
      <c r="AV624" s="43"/>
      <c r="AW624" s="43"/>
      <c r="AX624" s="43"/>
      <c r="AY624" s="43"/>
      <c r="AZ624" s="43"/>
      <c r="BA624" s="41" t="s">
        <v>2199</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5" customHeight="1">
      <c r="B625" s="58" t="s">
        <v>171</v>
      </c>
      <c r="C625" s="1098" t="s">
        <v>2427</v>
      </c>
      <c r="D625" s="1098"/>
      <c r="E625" s="1098"/>
      <c r="F625" s="1098"/>
      <c r="G625" s="1098"/>
      <c r="H625" s="1098"/>
      <c r="I625" s="1098"/>
      <c r="J625" s="1098"/>
      <c r="K625" s="1098"/>
      <c r="L625" s="1098"/>
      <c r="M625" s="1279" t="s">
        <v>2183</v>
      </c>
      <c r="N625" s="1279"/>
      <c r="O625" s="1279"/>
      <c r="P625" s="1279"/>
      <c r="Q625" s="1352">
        <v>660</v>
      </c>
      <c r="R625" s="1353"/>
      <c r="S625" s="1354"/>
      <c r="T625" s="1378"/>
      <c r="U625" s="1379"/>
      <c r="V625" s="1380"/>
      <c r="W625" s="1292">
        <v>0</v>
      </c>
      <c r="X625" s="1293"/>
      <c r="Y625" s="1294"/>
      <c r="Z625" s="1355" t="s">
        <v>788</v>
      </c>
      <c r="AA625" s="1356"/>
      <c r="AB625" s="1357"/>
      <c r="AC625" s="1338">
        <v>5</v>
      </c>
      <c r="AD625" s="1145"/>
      <c r="AE625" s="1339"/>
      <c r="AF625" s="1164"/>
      <c r="AG625" s="1165"/>
      <c r="AH625" s="1165"/>
      <c r="AI625" s="1165"/>
      <c r="AJ625" s="1166"/>
      <c r="AK625" s="1280"/>
      <c r="AL625" s="1281"/>
      <c r="AM625" s="1281"/>
      <c r="AN625" s="1282"/>
      <c r="AO625" s="1219">
        <v>288000</v>
      </c>
      <c r="AP625" s="1219"/>
      <c r="AQ625" s="1219"/>
      <c r="AR625" s="1219"/>
      <c r="AS625" s="1219"/>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5" customHeight="1">
      <c r="B626" s="58" t="s">
        <v>434</v>
      </c>
      <c r="C626" s="1098" t="s">
        <v>2345</v>
      </c>
      <c r="D626" s="1098"/>
      <c r="E626" s="1098"/>
      <c r="F626" s="1098"/>
      <c r="G626" s="1098"/>
      <c r="H626" s="1098"/>
      <c r="I626" s="1098"/>
      <c r="J626" s="1098"/>
      <c r="K626" s="1098"/>
      <c r="L626" s="1098"/>
      <c r="M626" s="1279" t="s">
        <v>2183</v>
      </c>
      <c r="N626" s="1279"/>
      <c r="O626" s="1279"/>
      <c r="P626" s="1279"/>
      <c r="Q626" s="1352">
        <v>660</v>
      </c>
      <c r="R626" s="1353"/>
      <c r="S626" s="1354"/>
      <c r="T626" s="1378"/>
      <c r="U626" s="1379"/>
      <c r="V626" s="1380"/>
      <c r="W626" s="1292">
        <v>0</v>
      </c>
      <c r="X626" s="1293"/>
      <c r="Y626" s="1294"/>
      <c r="Z626" s="1355" t="s">
        <v>788</v>
      </c>
      <c r="AA626" s="1356"/>
      <c r="AB626" s="1357"/>
      <c r="AC626" s="1338">
        <v>6</v>
      </c>
      <c r="AD626" s="1145"/>
      <c r="AE626" s="1339"/>
      <c r="AF626" s="1164"/>
      <c r="AG626" s="1165"/>
      <c r="AH626" s="1165"/>
      <c r="AI626" s="1165"/>
      <c r="AJ626" s="1166"/>
      <c r="AK626" s="1280"/>
      <c r="AL626" s="1281"/>
      <c r="AM626" s="1281"/>
      <c r="AN626" s="1282"/>
      <c r="AO626" s="1219">
        <v>1960000</v>
      </c>
      <c r="AP626" s="1219"/>
      <c r="AQ626" s="1219"/>
      <c r="AR626" s="1219"/>
      <c r="AS626" s="1219"/>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4"/>
      <c r="BP626" s="1304"/>
      <c r="BQ626" s="1304"/>
      <c r="BR626" s="1076"/>
      <c r="BS626" s="1075">
        <f t="shared" ref="BS626" si="34">SUM(BS591:BW625)</f>
        <v>0</v>
      </c>
      <c r="BT626" s="1304"/>
      <c r="BU626" s="1304"/>
      <c r="BV626" s="1304"/>
      <c r="BW626" s="1076"/>
      <c r="BX626" s="1075">
        <f t="shared" ref="BX626" si="35">SUM(BX591:CB625)</f>
        <v>17</v>
      </c>
      <c r="BY626" s="1304"/>
      <c r="BZ626" s="1304"/>
      <c r="CA626" s="1304"/>
      <c r="CB626" s="1076"/>
      <c r="CC626" s="1075">
        <f t="shared" ref="CC626" si="36">SUM(CC591:CG625)</f>
        <v>10</v>
      </c>
      <c r="CD626" s="1304"/>
      <c r="CE626" s="1304"/>
      <c r="CF626" s="1304"/>
      <c r="CG626" s="1076"/>
      <c r="CH626" s="1075">
        <f t="shared" ref="CH626" si="37">SUM(CH591:CL625)</f>
        <v>0</v>
      </c>
      <c r="CI626" s="1304"/>
      <c r="CJ626" s="1304"/>
      <c r="CK626" s="1304"/>
      <c r="CL626" s="1076"/>
      <c r="CM626" s="1075">
        <f t="shared" ref="CM626" si="38">SUM(CM591:CQ625)</f>
        <v>0</v>
      </c>
      <c r="CN626" s="1304"/>
      <c r="CO626" s="1304"/>
      <c r="CP626" s="1304"/>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5" customHeight="1" thickBot="1">
      <c r="B627" s="58" t="s">
        <v>742</v>
      </c>
      <c r="C627" s="1098" t="s">
        <v>2428</v>
      </c>
      <c r="D627" s="1098"/>
      <c r="E627" s="1098"/>
      <c r="F627" s="1098"/>
      <c r="G627" s="1098"/>
      <c r="H627" s="1098"/>
      <c r="I627" s="1098"/>
      <c r="J627" s="1098"/>
      <c r="K627" s="1098"/>
      <c r="L627" s="1098"/>
      <c r="M627" s="1279" t="s">
        <v>2174</v>
      </c>
      <c r="N627" s="1279"/>
      <c r="O627" s="1279"/>
      <c r="P627" s="1279"/>
      <c r="Q627" s="1352"/>
      <c r="R627" s="1353"/>
      <c r="S627" s="1354"/>
      <c r="T627" s="1378"/>
      <c r="U627" s="1379"/>
      <c r="V627" s="1380"/>
      <c r="W627" s="1292"/>
      <c r="X627" s="1293"/>
      <c r="Y627" s="1294"/>
      <c r="Z627" s="1355" t="s">
        <v>1980</v>
      </c>
      <c r="AA627" s="1356"/>
      <c r="AB627" s="1357"/>
      <c r="AC627" s="1338"/>
      <c r="AD627" s="1145"/>
      <c r="AE627" s="1339"/>
      <c r="AF627" s="1164"/>
      <c r="AG627" s="1165"/>
      <c r="AH627" s="1165"/>
      <c r="AI627" s="1165"/>
      <c r="AJ627" s="1166"/>
      <c r="AK627" s="1280"/>
      <c r="AL627" s="1281"/>
      <c r="AM627" s="1281"/>
      <c r="AN627" s="1282"/>
      <c r="AO627" s="1219">
        <v>147000</v>
      </c>
      <c r="AP627" s="1219"/>
      <c r="AQ627" s="1219"/>
      <c r="AR627" s="1219"/>
      <c r="AS627" s="1219"/>
      <c r="AT627" s="946" t="str">
        <f t="shared" si="33"/>
        <v/>
      </c>
      <c r="AU627" s="43"/>
      <c r="AV627" s="43"/>
      <c r="AW627" s="43"/>
      <c r="AX627" s="43"/>
      <c r="AY627" s="43"/>
      <c r="AZ627" s="43"/>
      <c r="BE627" s="41"/>
      <c r="BF627" s="41"/>
      <c r="BG627" s="1075">
        <f>SUM(BG592:BH626)</f>
        <v>16</v>
      </c>
      <c r="BH627" s="1076"/>
      <c r="BI627" s="41"/>
      <c r="BJ627" s="41"/>
      <c r="BK627" s="1075">
        <f>SUM(BK592:BL626)</f>
        <v>4</v>
      </c>
      <c r="BL627" s="1076"/>
      <c r="BN627" s="41" t="s">
        <v>1724</v>
      </c>
      <c r="BO627" s="41"/>
      <c r="BP627" s="41"/>
      <c r="BQ627" s="41"/>
      <c r="BR627" s="467">
        <f>BN626*1</f>
        <v>0</v>
      </c>
      <c r="BS627" s="41"/>
      <c r="BT627" s="41"/>
      <c r="BU627" s="41"/>
      <c r="BV627" s="41"/>
      <c r="BW627" s="467">
        <f>BS626*1</f>
        <v>0</v>
      </c>
      <c r="BX627" s="41"/>
      <c r="BY627" s="41"/>
      <c r="BZ627" s="41"/>
      <c r="CA627" s="41"/>
      <c r="CB627" s="467">
        <f>BX626*2</f>
        <v>34</v>
      </c>
      <c r="CC627" s="41"/>
      <c r="CD627" s="41"/>
      <c r="CE627" s="41"/>
      <c r="CF627" s="41"/>
      <c r="CG627" s="467">
        <f>CC626*3</f>
        <v>30</v>
      </c>
      <c r="CH627" s="41"/>
      <c r="CI627" s="41"/>
      <c r="CJ627" s="41"/>
      <c r="CK627" s="41"/>
      <c r="CL627" s="467">
        <f>CH626*4</f>
        <v>0</v>
      </c>
      <c r="CM627" s="41"/>
      <c r="CN627" s="41"/>
      <c r="CO627" s="41"/>
      <c r="CP627" s="41"/>
      <c r="CQ627" s="466">
        <f>CM626*5</f>
        <v>0</v>
      </c>
      <c r="CS627" s="1075">
        <f>SUM(CS592:CW626)</f>
        <v>0</v>
      </c>
      <c r="CT627" s="1304"/>
      <c r="CU627" s="1304"/>
      <c r="CV627" s="1304"/>
      <c r="CW627" s="1076"/>
      <c r="CX627" s="1075">
        <f>SUM(CX592:DB626)</f>
        <v>0</v>
      </c>
      <c r="CY627" s="1304"/>
      <c r="CZ627" s="1304"/>
      <c r="DA627" s="1304"/>
      <c r="DB627" s="1076"/>
      <c r="DC627" s="1075">
        <f>SUM(DC592:DG626)</f>
        <v>2</v>
      </c>
      <c r="DD627" s="1304"/>
      <c r="DE627" s="1304"/>
      <c r="DF627" s="1304"/>
      <c r="DG627" s="1076"/>
      <c r="DH627" s="1075">
        <f>SUM(DH592:DL626)</f>
        <v>2</v>
      </c>
      <c r="DI627" s="1304"/>
      <c r="DJ627" s="1304"/>
      <c r="DK627" s="1304"/>
      <c r="DL627" s="1076"/>
      <c r="DM627" s="1075">
        <f>SUM(DM592:DQ626)</f>
        <v>0</v>
      </c>
      <c r="DN627" s="1304"/>
      <c r="DO627" s="1304"/>
      <c r="DP627" s="1304"/>
      <c r="DQ627" s="1076"/>
      <c r="DR627" s="1075">
        <f>SUM(DR592:DV626)</f>
        <v>0</v>
      </c>
      <c r="DS627" s="1304"/>
      <c r="DT627" s="1304"/>
      <c r="DU627" s="1304"/>
      <c r="DV627" s="1076"/>
    </row>
    <row r="628" spans="1:126" ht="12.95" customHeight="1" thickBot="1">
      <c r="B628" s="58" t="s">
        <v>743</v>
      </c>
      <c r="C628" s="1098" t="s">
        <v>2428</v>
      </c>
      <c r="D628" s="1098"/>
      <c r="E628" s="1098"/>
      <c r="F628" s="1098"/>
      <c r="G628" s="1098"/>
      <c r="H628" s="1098"/>
      <c r="I628" s="1098"/>
      <c r="J628" s="1098"/>
      <c r="K628" s="1098"/>
      <c r="L628" s="1098"/>
      <c r="M628" s="1279" t="s">
        <v>2189</v>
      </c>
      <c r="N628" s="1279"/>
      <c r="O628" s="1279"/>
      <c r="P628" s="1279"/>
      <c r="Q628" s="1352"/>
      <c r="R628" s="1353"/>
      <c r="S628" s="1354"/>
      <c r="T628" s="1378"/>
      <c r="U628" s="1379"/>
      <c r="V628" s="1380"/>
      <c r="W628" s="1292"/>
      <c r="X628" s="1293"/>
      <c r="Y628" s="1294"/>
      <c r="Z628" s="1355" t="s">
        <v>1980</v>
      </c>
      <c r="AA628" s="1356"/>
      <c r="AB628" s="1357"/>
      <c r="AC628" s="1338"/>
      <c r="AD628" s="1145"/>
      <c r="AE628" s="1339"/>
      <c r="AF628" s="1164"/>
      <c r="AG628" s="1165"/>
      <c r="AH628" s="1165"/>
      <c r="AI628" s="1165"/>
      <c r="AJ628" s="1166"/>
      <c r="AK628" s="1280"/>
      <c r="AL628" s="1281"/>
      <c r="AM628" s="1281"/>
      <c r="AN628" s="1282"/>
      <c r="AO628" s="1219">
        <v>25709</v>
      </c>
      <c r="AP628" s="1219"/>
      <c r="AQ628" s="1219"/>
      <c r="AR628" s="1219"/>
      <c r="AS628" s="1219"/>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64</v>
      </c>
      <c r="CR628" s="41"/>
      <c r="CS628" s="41"/>
    </row>
    <row r="629" spans="1:126" ht="12.95" customHeight="1">
      <c r="B629" s="58" t="s">
        <v>546</v>
      </c>
      <c r="C629" s="1098"/>
      <c r="D629" s="1098"/>
      <c r="E629" s="1098"/>
      <c r="F629" s="1098"/>
      <c r="G629" s="1098"/>
      <c r="H629" s="1098"/>
      <c r="I629" s="1098"/>
      <c r="J629" s="1098"/>
      <c r="K629" s="1098"/>
      <c r="L629" s="1098"/>
      <c r="M629" s="1279" t="s">
        <v>1980</v>
      </c>
      <c r="N629" s="1279"/>
      <c r="O629" s="1279"/>
      <c r="P629" s="1279"/>
      <c r="Q629" s="1352"/>
      <c r="R629" s="1353"/>
      <c r="S629" s="1354"/>
      <c r="T629" s="1378"/>
      <c r="U629" s="1379"/>
      <c r="V629" s="1380"/>
      <c r="W629" s="1292"/>
      <c r="X629" s="1293"/>
      <c r="Y629" s="1294"/>
      <c r="Z629" s="1355" t="s">
        <v>1980</v>
      </c>
      <c r="AA629" s="1356"/>
      <c r="AB629" s="1357"/>
      <c r="AC629" s="1338"/>
      <c r="AD629" s="1145"/>
      <c r="AE629" s="1339"/>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1</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5" customHeight="1">
      <c r="B630" s="58" t="s">
        <v>174</v>
      </c>
      <c r="C630" s="1098"/>
      <c r="D630" s="1098"/>
      <c r="E630" s="1098"/>
      <c r="F630" s="1098"/>
      <c r="G630" s="1098"/>
      <c r="H630" s="1098"/>
      <c r="I630" s="1098"/>
      <c r="J630" s="1098"/>
      <c r="K630" s="1098"/>
      <c r="L630" s="1098"/>
      <c r="M630" s="1279" t="s">
        <v>1980</v>
      </c>
      <c r="N630" s="1279"/>
      <c r="O630" s="1279"/>
      <c r="P630" s="1279"/>
      <c r="Q630" s="1352"/>
      <c r="R630" s="1353"/>
      <c r="S630" s="1354"/>
      <c r="T630" s="1378"/>
      <c r="U630" s="1379"/>
      <c r="V630" s="1380"/>
      <c r="W630" s="1292"/>
      <c r="X630" s="1293"/>
      <c r="Y630" s="1294"/>
      <c r="Z630" s="1355" t="s">
        <v>1980</v>
      </c>
      <c r="AA630" s="1356"/>
      <c r="AB630" s="1357"/>
      <c r="AC630" s="1338"/>
      <c r="AD630" s="1145"/>
      <c r="AE630" s="1339"/>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5" customHeight="1">
      <c r="B631" s="58" t="s">
        <v>32</v>
      </c>
      <c r="C631" s="1098"/>
      <c r="D631" s="1098"/>
      <c r="E631" s="1098"/>
      <c r="F631" s="1098"/>
      <c r="G631" s="1098"/>
      <c r="H631" s="1098"/>
      <c r="I631" s="1098"/>
      <c r="J631" s="1098"/>
      <c r="K631" s="1098"/>
      <c r="L631" s="1098"/>
      <c r="M631" s="1279" t="s">
        <v>1980</v>
      </c>
      <c r="N631" s="1279"/>
      <c r="O631" s="1279"/>
      <c r="P631" s="1279"/>
      <c r="Q631" s="1352"/>
      <c r="R631" s="1353"/>
      <c r="S631" s="1354"/>
      <c r="T631" s="1378"/>
      <c r="U631" s="1379"/>
      <c r="V631" s="1380"/>
      <c r="W631" s="1292"/>
      <c r="X631" s="1293"/>
      <c r="Y631" s="1294"/>
      <c r="Z631" s="1355" t="s">
        <v>1980</v>
      </c>
      <c r="AA631" s="1356"/>
      <c r="AB631" s="1357"/>
      <c r="AC631" s="1338"/>
      <c r="AD631" s="1145"/>
      <c r="AE631" s="1339"/>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5" customHeight="1">
      <c r="B632" s="58" t="s">
        <v>33</v>
      </c>
      <c r="C632" s="1098"/>
      <c r="D632" s="1098"/>
      <c r="E632" s="1098"/>
      <c r="F632" s="1098"/>
      <c r="G632" s="1098"/>
      <c r="H632" s="1098"/>
      <c r="I632" s="1098"/>
      <c r="J632" s="1098"/>
      <c r="K632" s="1098"/>
      <c r="L632" s="1098"/>
      <c r="M632" s="1279" t="s">
        <v>1980</v>
      </c>
      <c r="N632" s="1279"/>
      <c r="O632" s="1279"/>
      <c r="P632" s="1279"/>
      <c r="Q632" s="1352"/>
      <c r="R632" s="1353"/>
      <c r="S632" s="1354"/>
      <c r="T632" s="1378"/>
      <c r="U632" s="1379"/>
      <c r="V632" s="1380"/>
      <c r="W632" s="1292"/>
      <c r="X632" s="1293"/>
      <c r="Y632" s="1294"/>
      <c r="Z632" s="1355" t="s">
        <v>1980</v>
      </c>
      <c r="AA632" s="1356"/>
      <c r="AB632" s="1357"/>
      <c r="AC632" s="1338"/>
      <c r="AD632" s="1145"/>
      <c r="AE632" s="1339"/>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5"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7">
        <f>SUM(AO621:AS632)</f>
        <v>6217709</v>
      </c>
      <c r="AP633" s="1228"/>
      <c r="AQ633" s="1228"/>
      <c r="AR633" s="1228"/>
      <c r="AS633" s="1229"/>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1</v>
      </c>
      <c r="BY633" s="1503"/>
      <c r="BZ633" s="1503"/>
      <c r="CA633" s="1503"/>
      <c r="CB633" s="1504"/>
      <c r="CC633" s="1502">
        <f>SUM(CC629:CG632)</f>
        <v>0</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1984</v>
      </c>
      <c r="CU633" s="41"/>
    </row>
    <row r="634" spans="1:126" ht="12.95"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6">
        <v>16212089</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7"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8"/>
      <c r="AO635" s="1227">
        <f>AO633+AO634</f>
        <v>22429798</v>
      </c>
      <c r="AP635" s="1228"/>
      <c r="AQ635" s="1228"/>
      <c r="AR635" s="1228"/>
      <c r="AS635" s="1229"/>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5" customHeight="1">
      <c r="A637" s="61" t="s">
        <v>900</v>
      </c>
      <c r="B637" t="s">
        <v>82</v>
      </c>
      <c r="G637" s="1185" t="str">
        <f>C621</f>
        <v>Citibank N.A.</v>
      </c>
      <c r="H637" s="1185"/>
      <c r="I637" s="1185"/>
      <c r="J637" s="1185"/>
      <c r="K637" s="1185"/>
      <c r="L637" s="1185"/>
      <c r="M637" s="1185"/>
      <c r="N637" s="1185"/>
      <c r="O637" s="1185"/>
      <c r="P637" s="1185"/>
      <c r="Q637" s="1185"/>
      <c r="R637" s="1185"/>
      <c r="S637" s="12"/>
      <c r="T637" s="61" t="s">
        <v>901</v>
      </c>
      <c r="U637" t="s">
        <v>82</v>
      </c>
      <c r="Z637" s="1185" t="str">
        <f>C622</f>
        <v>Sacramento Housing and Redevelopment Agency</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5" customHeight="1">
      <c r="A638" s="4"/>
      <c r="B638" t="s">
        <v>372</v>
      </c>
      <c r="G638" s="1057" t="s">
        <v>2431</v>
      </c>
      <c r="H638" s="1057"/>
      <c r="I638" s="1057"/>
      <c r="J638" s="1057"/>
      <c r="K638" s="1057"/>
      <c r="L638" s="1057"/>
      <c r="M638" s="1057"/>
      <c r="N638" s="1057"/>
      <c r="O638" s="1057"/>
      <c r="P638" s="1057"/>
      <c r="Q638" s="1057"/>
      <c r="R638" s="1057"/>
      <c r="S638" s="12"/>
      <c r="T638" s="4"/>
      <c r="U638" t="s">
        <v>372</v>
      </c>
      <c r="Z638" s="1057" t="s">
        <v>2434</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5" customHeight="1">
      <c r="A639" s="4"/>
      <c r="B639" t="s">
        <v>430</v>
      </c>
      <c r="G639" s="1057" t="s">
        <v>2432</v>
      </c>
      <c r="H639" s="1057"/>
      <c r="I639" s="1057"/>
      <c r="J639" s="1057"/>
      <c r="K639" s="1057"/>
      <c r="L639" s="1057"/>
      <c r="M639" s="1057"/>
      <c r="N639" s="1057"/>
      <c r="O639" s="1057"/>
      <c r="P639" s="1057"/>
      <c r="Q639" s="1057"/>
      <c r="R639" s="1057"/>
      <c r="T639" s="4"/>
      <c r="U639" t="s">
        <v>430</v>
      </c>
      <c r="Z639" s="1055" t="s">
        <v>2435</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5" customHeight="1">
      <c r="A640" s="4"/>
      <c r="B640" t="s">
        <v>833</v>
      </c>
      <c r="G640" s="1057" t="s">
        <v>2481</v>
      </c>
      <c r="H640" s="1057"/>
      <c r="I640" s="1057"/>
      <c r="J640" s="1057"/>
      <c r="K640" s="1057"/>
      <c r="L640" s="1057"/>
      <c r="M640" s="1057"/>
      <c r="N640" s="1057"/>
      <c r="O640" s="1057"/>
      <c r="P640" s="1057"/>
      <c r="Q640" s="1057"/>
      <c r="R640" s="1057"/>
      <c r="S640" s="12"/>
      <c r="T640" s="4"/>
      <c r="U640" t="s">
        <v>833</v>
      </c>
      <c r="Z640" s="1055" t="s">
        <v>2436</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5" customHeight="1">
      <c r="A641" s="4"/>
      <c r="B641" t="s">
        <v>650</v>
      </c>
      <c r="G641" s="1059" t="s">
        <v>2433</v>
      </c>
      <c r="H641" s="1059"/>
      <c r="I641" s="1059"/>
      <c r="J641" s="1059"/>
      <c r="K641" s="1059"/>
      <c r="L641" s="1059"/>
      <c r="O641" s="42" t="s">
        <v>818</v>
      </c>
      <c r="P641" s="1316"/>
      <c r="Q641" s="1316"/>
      <c r="R641" s="1316"/>
      <c r="S641" s="14"/>
      <c r="T641" s="4"/>
      <c r="U641" t="s">
        <v>650</v>
      </c>
      <c r="Z641" s="1059" t="s">
        <v>2437</v>
      </c>
      <c r="AA641" s="1059"/>
      <c r="AB641" s="1059"/>
      <c r="AC641" s="1059"/>
      <c r="AD641" s="1059"/>
      <c r="AE641" s="1059"/>
      <c r="AH641" s="42" t="s">
        <v>818</v>
      </c>
      <c r="AI641" s="1316"/>
      <c r="AJ641" s="1316"/>
      <c r="AK641" s="1316"/>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5" customHeight="1">
      <c r="A642" s="4"/>
      <c r="B642" t="s">
        <v>834</v>
      </c>
      <c r="H642" s="1057" t="s">
        <v>2445</v>
      </c>
      <c r="I642" s="1057"/>
      <c r="J642" s="1057"/>
      <c r="K642" s="1057"/>
      <c r="L642" s="1057"/>
      <c r="M642" s="1057"/>
      <c r="N642" s="1057"/>
      <c r="O642" s="1057"/>
      <c r="P642" s="1057"/>
      <c r="Q642" s="1057"/>
      <c r="R642" s="1057"/>
      <c r="S642" s="12"/>
      <c r="T642" s="4"/>
      <c r="U642" t="s">
        <v>834</v>
      </c>
      <c r="AA642" s="1057" t="s">
        <v>2483</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5"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5" customHeight="1">
      <c r="A645" s="61" t="s">
        <v>907</v>
      </c>
      <c r="B645" t="s">
        <v>82</v>
      </c>
      <c r="G645" s="1185" t="str">
        <f>C623</f>
        <v>City of Rancho Cordova Land Loan</v>
      </c>
      <c r="H645" s="1185"/>
      <c r="I645" s="1185"/>
      <c r="J645" s="1185"/>
      <c r="K645" s="1185"/>
      <c r="L645" s="1185"/>
      <c r="M645" s="1185"/>
      <c r="N645" s="1185"/>
      <c r="O645" s="1185"/>
      <c r="P645" s="1185"/>
      <c r="Q645" s="1185"/>
      <c r="R645" s="1185"/>
      <c r="T645" s="61" t="s">
        <v>431</v>
      </c>
      <c r="U645" t="s">
        <v>82</v>
      </c>
      <c r="Z645" s="1185" t="str">
        <f>C624</f>
        <v xml:space="preserve">City of Rancho Cordova </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5" customHeight="1" thickBot="1">
      <c r="A646" s="4"/>
      <c r="B646" t="s">
        <v>372</v>
      </c>
      <c r="G646" s="1057" t="s">
        <v>2438</v>
      </c>
      <c r="H646" s="1057"/>
      <c r="I646" s="1057"/>
      <c r="J646" s="1057"/>
      <c r="K646" s="1057"/>
      <c r="L646" s="1057"/>
      <c r="M646" s="1057"/>
      <c r="N646" s="1057"/>
      <c r="O646" s="1057"/>
      <c r="P646" s="1057"/>
      <c r="Q646" s="1057"/>
      <c r="R646" s="1057"/>
      <c r="T646" s="4"/>
      <c r="U646" t="s">
        <v>372</v>
      </c>
      <c r="Z646" s="1057" t="s">
        <v>2438</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5" t="s">
        <v>2408</v>
      </c>
      <c r="H647" s="1055"/>
      <c r="I647" s="1055"/>
      <c r="J647" s="1055"/>
      <c r="K647" s="1055"/>
      <c r="L647" s="1055"/>
      <c r="M647" s="1055"/>
      <c r="N647" s="1055"/>
      <c r="O647" s="1055"/>
      <c r="P647" s="1055"/>
      <c r="Q647" s="1055"/>
      <c r="R647" s="1055"/>
      <c r="T647" s="4"/>
      <c r="U647" t="s">
        <v>430</v>
      </c>
      <c r="Z647" s="1055" t="s">
        <v>2408</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055" t="s">
        <v>2405</v>
      </c>
      <c r="H648" s="1055"/>
      <c r="I648" s="1055"/>
      <c r="J648" s="1055"/>
      <c r="K648" s="1055"/>
      <c r="L648" s="1055"/>
      <c r="M648" s="1055"/>
      <c r="N648" s="1055"/>
      <c r="O648" s="1055"/>
      <c r="P648" s="1055"/>
      <c r="Q648" s="1055"/>
      <c r="R648" s="1055"/>
      <c r="T648" s="4"/>
      <c r="U648" t="s">
        <v>833</v>
      </c>
      <c r="Z648" s="1055" t="s">
        <v>2405</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9" t="s">
        <v>2411</v>
      </c>
      <c r="H649" s="1059"/>
      <c r="I649" s="1059"/>
      <c r="J649" s="1059"/>
      <c r="K649" s="1059"/>
      <c r="L649" s="1059"/>
      <c r="O649" s="42" t="s">
        <v>818</v>
      </c>
      <c r="P649" s="1316"/>
      <c r="Q649" s="1316"/>
      <c r="R649" s="1316"/>
      <c r="T649" s="4"/>
      <c r="U649" t="s">
        <v>650</v>
      </c>
      <c r="Z649" s="1059" t="s">
        <v>2411</v>
      </c>
      <c r="AA649" s="1059"/>
      <c r="AB649" s="1059"/>
      <c r="AC649" s="1059"/>
      <c r="AD649" s="1059"/>
      <c r="AE649" s="1059"/>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64</v>
      </c>
      <c r="CR649" s="41"/>
      <c r="CS649" s="41"/>
    </row>
    <row r="650" spans="1:97" ht="12.95" customHeight="1">
      <c r="A650" s="4"/>
      <c r="B650" t="s">
        <v>834</v>
      </c>
      <c r="H650" s="1057" t="s">
        <v>2485</v>
      </c>
      <c r="I650" s="1057"/>
      <c r="J650" s="1057"/>
      <c r="K650" s="1057"/>
      <c r="L650" s="1057"/>
      <c r="M650" s="1057"/>
      <c r="N650" s="1057"/>
      <c r="O650" s="1057"/>
      <c r="P650" s="1057"/>
      <c r="Q650" s="1057"/>
      <c r="R650" s="1057"/>
      <c r="T650" s="4"/>
      <c r="U650" t="s">
        <v>834</v>
      </c>
      <c r="AA650" s="1057" t="s">
        <v>2486</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6" t="s">
        <v>108</v>
      </c>
      <c r="O651" s="1116"/>
      <c r="T651" s="4"/>
      <c r="U651" t="s">
        <v>836</v>
      </c>
      <c r="AG651" s="1116" t="s">
        <v>108</v>
      </c>
      <c r="AH651" s="1116"/>
      <c r="AM651" s="41"/>
      <c r="AN651" s="41"/>
      <c r="AO651" s="41"/>
      <c r="AP651" s="41"/>
      <c r="AQ651" s="41"/>
      <c r="AR651" s="41"/>
      <c r="AS651" s="41"/>
      <c r="AT651" s="41"/>
      <c r="AU651" s="41"/>
      <c r="AV651" s="41"/>
      <c r="AW651" s="41"/>
      <c r="AX651" s="41"/>
      <c r="AY651" s="41"/>
      <c r="AZ651" s="41"/>
      <c r="BA651" s="41"/>
      <c r="BB651" s="41"/>
      <c r="BC651" s="41"/>
      <c r="BD651" s="41"/>
      <c r="BN651" s="1502">
        <f>BN626+BN633+BN645</f>
        <v>0</v>
      </c>
      <c r="BO651" s="1503"/>
      <c r="BP651" s="1503"/>
      <c r="BQ651" s="1503"/>
      <c r="BR651" s="1504"/>
      <c r="BS651" s="1502">
        <f>BS626+BS633+BS645</f>
        <v>0</v>
      </c>
      <c r="BT651" s="1503"/>
      <c r="BU651" s="1503"/>
      <c r="BV651" s="1503"/>
      <c r="BW651" s="1504"/>
      <c r="BX651" s="1502">
        <f>BX626+BX633+BX645</f>
        <v>18</v>
      </c>
      <c r="BY651" s="1503"/>
      <c r="BZ651" s="1503"/>
      <c r="CA651" s="1503"/>
      <c r="CB651" s="1504"/>
      <c r="CC651" s="1502">
        <f>CC626+CC633+CC645</f>
        <v>10</v>
      </c>
      <c r="CD651" s="1503"/>
      <c r="CE651" s="1503"/>
      <c r="CF651" s="1503"/>
      <c r="CG651" s="1504"/>
      <c r="CH651" s="1502">
        <f>CH626+CH633+CH645</f>
        <v>0</v>
      </c>
      <c r="CI651" s="1503"/>
      <c r="CJ651" s="1503"/>
      <c r="CK651" s="1503"/>
      <c r="CL651" s="1504"/>
      <c r="CM651" s="1075">
        <f>CM645+CM633+CM626</f>
        <v>0</v>
      </c>
      <c r="CN651" s="1304"/>
      <c r="CO651" s="1304"/>
      <c r="CP651" s="1304"/>
      <c r="CQ651" s="10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5" t="str">
        <f>C625</f>
        <v>Rancho Cordova impact fee note</v>
      </c>
      <c r="H653" s="1185"/>
      <c r="I653" s="1185"/>
      <c r="J653" s="1185"/>
      <c r="K653" s="1185"/>
      <c r="L653" s="1185"/>
      <c r="M653" s="1185"/>
      <c r="N653" s="1185"/>
      <c r="O653" s="1185"/>
      <c r="P653" s="1185"/>
      <c r="Q653" s="1185"/>
      <c r="R653" s="1185"/>
      <c r="T653" s="61" t="s">
        <v>434</v>
      </c>
      <c r="U653" t="s">
        <v>82</v>
      </c>
      <c r="Z653" s="1185" t="str">
        <f>C626</f>
        <v>Ikaika Ohana</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7" t="s">
        <v>2438</v>
      </c>
      <c r="H654" s="1057"/>
      <c r="I654" s="1057"/>
      <c r="J654" s="1057"/>
      <c r="K654" s="1057"/>
      <c r="L654" s="1057"/>
      <c r="M654" s="1057"/>
      <c r="N654" s="1057"/>
      <c r="O654" s="1057"/>
      <c r="P654" s="1057"/>
      <c r="Q654" s="1057"/>
      <c r="R654" s="1057"/>
      <c r="T654" s="4"/>
      <c r="U654" t="s">
        <v>372</v>
      </c>
      <c r="Z654" s="1057" t="s">
        <v>2442</v>
      </c>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7" t="s">
        <v>2408</v>
      </c>
      <c r="H655" s="1057"/>
      <c r="I655" s="1057"/>
      <c r="J655" s="1057"/>
      <c r="K655" s="1057"/>
      <c r="L655" s="1057"/>
      <c r="M655" s="1057"/>
      <c r="N655" s="1057"/>
      <c r="O655" s="1057"/>
      <c r="P655" s="1057"/>
      <c r="Q655" s="1057"/>
      <c r="R655" s="1057"/>
      <c r="T655" s="4"/>
      <c r="U655" t="s">
        <v>430</v>
      </c>
      <c r="Z655" s="1055" t="s">
        <v>2357</v>
      </c>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7" t="s">
        <v>2405</v>
      </c>
      <c r="H656" s="1057"/>
      <c r="I656" s="1057"/>
      <c r="J656" s="1057"/>
      <c r="K656" s="1057"/>
      <c r="L656" s="1057"/>
      <c r="M656" s="1057"/>
      <c r="N656" s="1057"/>
      <c r="O656" s="1057"/>
      <c r="P656" s="1057"/>
      <c r="Q656" s="1057"/>
      <c r="R656" s="1057"/>
      <c r="T656" s="4"/>
      <c r="U656" t="s">
        <v>833</v>
      </c>
      <c r="Z656" s="1055" t="s">
        <v>2337</v>
      </c>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9" t="s">
        <v>2411</v>
      </c>
      <c r="H657" s="1059"/>
      <c r="I657" s="1059"/>
      <c r="J657" s="1059"/>
      <c r="K657" s="1059"/>
      <c r="L657" s="1059"/>
      <c r="O657" s="42" t="s">
        <v>818</v>
      </c>
      <c r="P657" s="1316"/>
      <c r="Q657" s="1316"/>
      <c r="R657" s="1316"/>
      <c r="T657" s="4"/>
      <c r="U657" t="s">
        <v>650</v>
      </c>
      <c r="Z657" s="1059" t="s">
        <v>2358</v>
      </c>
      <c r="AA657" s="1059"/>
      <c r="AB657" s="1059"/>
      <c r="AC657" s="1059"/>
      <c r="AD657" s="1059"/>
      <c r="AE657" s="1059"/>
      <c r="AH657" s="42" t="s">
        <v>818</v>
      </c>
      <c r="AI657" s="1316">
        <v>106</v>
      </c>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7" t="s">
        <v>2492</v>
      </c>
      <c r="I658" s="1057"/>
      <c r="J658" s="1057"/>
      <c r="K658" s="1057"/>
      <c r="L658" s="1057"/>
      <c r="M658" s="1057"/>
      <c r="N658" s="1057"/>
      <c r="O658" s="1057"/>
      <c r="P658" s="1057"/>
      <c r="Q658" s="1057"/>
      <c r="R658" s="1057"/>
      <c r="T658" s="4"/>
      <c r="U658" t="s">
        <v>834</v>
      </c>
      <c r="AA658" s="1057" t="s">
        <v>2491</v>
      </c>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6" t="s">
        <v>108</v>
      </c>
      <c r="O659" s="1116"/>
      <c r="T659" s="4"/>
      <c r="U659" t="s">
        <v>836</v>
      </c>
      <c r="AG659" s="1116" t="s">
        <v>108</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5" t="str">
        <f>C627</f>
        <v>A0575 Rancho Cordova Dev LLC</v>
      </c>
      <c r="H661" s="1185"/>
      <c r="I661" s="1185"/>
      <c r="J661" s="1185"/>
      <c r="K661" s="1185"/>
      <c r="L661" s="1185"/>
      <c r="M661" s="1185"/>
      <c r="N661" s="1185"/>
      <c r="O661" s="1185"/>
      <c r="P661" s="1185"/>
      <c r="Q661" s="1185"/>
      <c r="R661" s="1185"/>
      <c r="T661" s="61" t="s">
        <v>743</v>
      </c>
      <c r="U661" t="s">
        <v>82</v>
      </c>
      <c r="Z661" s="1185" t="str">
        <f>C628</f>
        <v>A0575 Rancho Cordova Dev LLC</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7" t="s">
        <v>2442</v>
      </c>
      <c r="H662" s="1057"/>
      <c r="I662" s="1057"/>
      <c r="J662" s="1057"/>
      <c r="K662" s="1057"/>
      <c r="L662" s="1057"/>
      <c r="M662" s="1057"/>
      <c r="N662" s="1057"/>
      <c r="O662" s="1057"/>
      <c r="P662" s="1057"/>
      <c r="Q662" s="1057"/>
      <c r="R662" s="1057"/>
      <c r="T662" s="4"/>
      <c r="U662" t="s">
        <v>372</v>
      </c>
      <c r="Z662" s="1057" t="s">
        <v>2438</v>
      </c>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7" t="s">
        <v>2357</v>
      </c>
      <c r="H663" s="1057"/>
      <c r="I663" s="1057"/>
      <c r="J663" s="1057"/>
      <c r="K663" s="1057"/>
      <c r="L663" s="1057"/>
      <c r="M663" s="1057"/>
      <c r="N663" s="1057"/>
      <c r="O663" s="1057"/>
      <c r="P663" s="1057"/>
      <c r="Q663" s="1057"/>
      <c r="R663" s="1057"/>
      <c r="T663" s="4"/>
      <c r="U663" t="s">
        <v>430</v>
      </c>
      <c r="Z663" s="1055" t="s">
        <v>2408</v>
      </c>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7" t="s">
        <v>2337</v>
      </c>
      <c r="H664" s="1057"/>
      <c r="I664" s="1057"/>
      <c r="J664" s="1057"/>
      <c r="K664" s="1057"/>
      <c r="L664" s="1057"/>
      <c r="M664" s="1057"/>
      <c r="N664" s="1057"/>
      <c r="O664" s="1057"/>
      <c r="P664" s="1057"/>
      <c r="Q664" s="1057"/>
      <c r="R664" s="1057"/>
      <c r="T664" s="4"/>
      <c r="U664" t="s">
        <v>833</v>
      </c>
      <c r="Z664" s="1055" t="s">
        <v>2405</v>
      </c>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9" t="s">
        <v>2358</v>
      </c>
      <c r="H665" s="1059"/>
      <c r="I665" s="1059"/>
      <c r="J665" s="1059"/>
      <c r="K665" s="1059"/>
      <c r="L665" s="1059"/>
      <c r="O665" s="42" t="s">
        <v>818</v>
      </c>
      <c r="P665" s="1316">
        <v>106</v>
      </c>
      <c r="Q665" s="1316"/>
      <c r="R665" s="1316"/>
      <c r="T665" s="4"/>
      <c r="U665" t="s">
        <v>650</v>
      </c>
      <c r="Z665" s="1059" t="s">
        <v>2411</v>
      </c>
      <c r="AA665" s="1059"/>
      <c r="AB665" s="1059"/>
      <c r="AC665" s="1059"/>
      <c r="AD665" s="1059"/>
      <c r="AE665" s="1059"/>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7" t="s">
        <v>2443</v>
      </c>
      <c r="I666" s="1057"/>
      <c r="J666" s="1057"/>
      <c r="K666" s="1057"/>
      <c r="L666" s="1057"/>
      <c r="M666" s="1057"/>
      <c r="N666" s="1057"/>
      <c r="O666" s="1057"/>
      <c r="P666" s="1057"/>
      <c r="Q666" s="1057"/>
      <c r="R666" s="1057"/>
      <c r="T666" s="4"/>
      <c r="U666" t="s">
        <v>834</v>
      </c>
      <c r="AA666" s="1057" t="s">
        <v>2444</v>
      </c>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6" t="s">
        <v>108</v>
      </c>
      <c r="O667" s="1116"/>
      <c r="T667" s="4"/>
      <c r="U667" t="s">
        <v>836</v>
      </c>
      <c r="AG667" s="1116" t="s">
        <v>108</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7"/>
      <c r="H671" s="1057"/>
      <c r="I671" s="1057"/>
      <c r="J671" s="1057"/>
      <c r="K671" s="1057"/>
      <c r="L671" s="1057"/>
      <c r="M671" s="1057"/>
      <c r="N671" s="1057"/>
      <c r="O671" s="1057"/>
      <c r="P671" s="1057"/>
      <c r="Q671" s="1057"/>
      <c r="R671" s="1057"/>
      <c r="T671" s="4"/>
      <c r="U671" t="s">
        <v>430</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7"/>
      <c r="H672" s="1057"/>
      <c r="I672" s="1057"/>
      <c r="J672" s="1057"/>
      <c r="K672" s="1057"/>
      <c r="L672" s="1057"/>
      <c r="M672" s="1057"/>
      <c r="N672" s="1057"/>
      <c r="O672" s="1057"/>
      <c r="P672" s="1057"/>
      <c r="Q672" s="1057"/>
      <c r="R672" s="1057"/>
      <c r="T672" s="4"/>
      <c r="U672" t="s">
        <v>833</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9"/>
      <c r="H673" s="1059"/>
      <c r="I673" s="1059"/>
      <c r="J673" s="1059"/>
      <c r="K673" s="1059"/>
      <c r="L673" s="1059"/>
      <c r="O673" s="42" t="s">
        <v>818</v>
      </c>
      <c r="P673" s="1316"/>
      <c r="Q673" s="1316"/>
      <c r="R673" s="1316"/>
      <c r="T673" s="4"/>
      <c r="U673" t="s">
        <v>650</v>
      </c>
      <c r="Z673" s="1059"/>
      <c r="AA673" s="1059"/>
      <c r="AB673" s="1059"/>
      <c r="AC673" s="1059"/>
      <c r="AD673" s="1059"/>
      <c r="AE673" s="1059"/>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7"/>
      <c r="H679" s="1057"/>
      <c r="I679" s="1057"/>
      <c r="J679" s="1057"/>
      <c r="K679" s="1057"/>
      <c r="L679" s="1057"/>
      <c r="M679" s="1057"/>
      <c r="N679" s="1057"/>
      <c r="O679" s="1057"/>
      <c r="P679" s="1057"/>
      <c r="Q679" s="1057"/>
      <c r="R679" s="1057"/>
      <c r="U679" t="s">
        <v>430</v>
      </c>
      <c r="Z679" s="1055"/>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7"/>
      <c r="H680" s="1057"/>
      <c r="I680" s="1057"/>
      <c r="J680" s="1057"/>
      <c r="K680" s="1057"/>
      <c r="L680" s="1057"/>
      <c r="M680" s="1057"/>
      <c r="N680" s="1057"/>
      <c r="O680" s="1057"/>
      <c r="P680" s="1057"/>
      <c r="Q680" s="1057"/>
      <c r="R680" s="1057"/>
      <c r="U680" t="s">
        <v>833</v>
      </c>
      <c r="Z680" s="1055"/>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9"/>
      <c r="H681" s="1059"/>
      <c r="I681" s="1059"/>
      <c r="J681" s="1059"/>
      <c r="K681" s="1059"/>
      <c r="L681" s="1059"/>
      <c r="O681" s="42" t="s">
        <v>818</v>
      </c>
      <c r="P681" s="1316"/>
      <c r="Q681" s="1316"/>
      <c r="R681" s="1316"/>
      <c r="U681" t="s">
        <v>650</v>
      </c>
      <c r="Z681" s="1059"/>
      <c r="AA681" s="1059"/>
      <c r="AB681" s="1059"/>
      <c r="AC681" s="1059"/>
      <c r="AD681" s="1059"/>
      <c r="AE681" s="1059"/>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7" t="s">
        <v>54</v>
      </c>
      <c r="C691" s="1268"/>
      <c r="D691" s="1268"/>
      <c r="E691" s="1268"/>
      <c r="F691" s="1269"/>
      <c r="G691" s="1267" t="s">
        <v>256</v>
      </c>
      <c r="H691" s="1268"/>
      <c r="I691" s="1268"/>
      <c r="J691" s="1269"/>
      <c r="K691" s="1454" t="s">
        <v>1996</v>
      </c>
      <c r="L691" s="1455"/>
      <c r="M691" s="1455"/>
      <c r="N691" s="1456"/>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1997</v>
      </c>
      <c r="AI691" s="1268"/>
      <c r="AJ691" s="1268"/>
      <c r="AK691" s="1268"/>
      <c r="AL691" s="1269"/>
      <c r="AM691" s="1267" t="s">
        <v>1998</v>
      </c>
      <c r="AN691" s="1268"/>
      <c r="AO691" s="1269"/>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0"/>
      <c r="C692" s="1271"/>
      <c r="D692" s="1271"/>
      <c r="E692" s="1271"/>
      <c r="F692" s="1272"/>
      <c r="G692" s="1270"/>
      <c r="H692" s="1271"/>
      <c r="I692" s="1271"/>
      <c r="J692" s="1272"/>
      <c r="K692" s="1457"/>
      <c r="L692" s="1458"/>
      <c r="M692" s="1458"/>
      <c r="N692" s="1459"/>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0"/>
      <c r="C693" s="1271"/>
      <c r="D693" s="1271"/>
      <c r="E693" s="1271"/>
      <c r="F693" s="1272"/>
      <c r="G693" s="1270"/>
      <c r="H693" s="1271"/>
      <c r="I693" s="1271"/>
      <c r="J693" s="1272"/>
      <c r="K693" s="1457"/>
      <c r="L693" s="1458"/>
      <c r="M693" s="1458"/>
      <c r="N693" s="1459"/>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3"/>
      <c r="C694" s="1274"/>
      <c r="D694" s="1274"/>
      <c r="E694" s="1274"/>
      <c r="F694" s="1275"/>
      <c r="G694" s="1273"/>
      <c r="H694" s="1274"/>
      <c r="I694" s="1274"/>
      <c r="J694" s="1275"/>
      <c r="K694" s="1457"/>
      <c r="L694" s="1458"/>
      <c r="M694" s="1458"/>
      <c r="N694" s="1459"/>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2319</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0" t="s">
        <v>780</v>
      </c>
      <c r="C695" s="1081"/>
      <c r="D695" s="1081"/>
      <c r="E695" s="1081"/>
      <c r="F695" s="1082"/>
      <c r="G695" s="1083">
        <v>2</v>
      </c>
      <c r="H695" s="1084"/>
      <c r="I695" s="1084"/>
      <c r="J695" s="1085"/>
      <c r="K695" s="1086">
        <v>843</v>
      </c>
      <c r="L695" s="1087"/>
      <c r="M695" s="1087"/>
      <c r="N695" s="1088"/>
      <c r="O695" s="1089">
        <v>600</v>
      </c>
      <c r="P695" s="1090"/>
      <c r="Q695" s="1090"/>
      <c r="R695" s="1090"/>
      <c r="S695" s="1091"/>
      <c r="T695" s="1092">
        <f t="shared" ref="T695:T729" si="45">G695*O695</f>
        <v>1200</v>
      </c>
      <c r="U695" s="1093"/>
      <c r="V695" s="1093"/>
      <c r="W695" s="1093"/>
      <c r="X695" s="1094"/>
      <c r="Y695" s="1089">
        <v>123</v>
      </c>
      <c r="Z695" s="1090"/>
      <c r="AA695" s="1090"/>
      <c r="AB695" s="1091"/>
      <c r="AC695" s="1092">
        <f t="shared" ref="AC695:AC729" si="46">O695+Y695</f>
        <v>723</v>
      </c>
      <c r="AD695" s="1093"/>
      <c r="AE695" s="1093"/>
      <c r="AF695" s="1093"/>
      <c r="AG695" s="1094"/>
      <c r="AH695" s="1346">
        <v>0.3</v>
      </c>
      <c r="AI695" s="1347"/>
      <c r="AJ695" s="1347"/>
      <c r="AK695" s="1347"/>
      <c r="AL695" s="1348"/>
      <c r="AM695" s="1077">
        <f>IF($AH695&gt;0,($AC695/$AV695),"")</f>
        <v>0.29975124378109452</v>
      </c>
      <c r="AN695" s="1078"/>
      <c r="AO695" s="1079"/>
      <c r="AV695" s="43">
        <f t="shared" ref="AV695:AV729" si="47">IF($G695=0,"N/A",VLOOKUP($T$189,TC_Rent,(MATCH($B695,bedrooms,FALSE))))</f>
        <v>2412</v>
      </c>
      <c r="AX695" s="43"/>
      <c r="AY695" s="445">
        <f t="shared" ref="AY695:AY718" si="48">G695</f>
        <v>2</v>
      </c>
      <c r="AZ695" s="452">
        <f t="shared" ref="AZ695:AZ718" si="49">IF($AY$730=0,"",AY695/$AY$730)</f>
        <v>7.407407407407407E-2</v>
      </c>
      <c r="BA695" s="453">
        <f t="shared" ref="BA695:BA718" si="50">IF(AZ695="","",AZ695*AH695)</f>
        <v>2.222222222222222E-2</v>
      </c>
      <c r="BB695" s="41"/>
      <c r="BC695" s="41"/>
      <c r="BD695" s="41"/>
      <c r="BE695" s="851">
        <f t="shared" ref="BE695:BE718" si="51">G695</f>
        <v>2</v>
      </c>
      <c r="BF695" s="855">
        <f t="shared" ref="BF695:BF718" si="52">IF(BE695=0,"",BE695/$BE$730)</f>
        <v>7.407407407407407E-2</v>
      </c>
      <c r="BG695" s="856">
        <f t="shared" ref="BG695:BG718" si="53">IF(BF695="","",BF695*AM695)</f>
        <v>2.2203795835636631E-2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0" t="s">
        <v>780</v>
      </c>
      <c r="C696" s="1081"/>
      <c r="D696" s="1081"/>
      <c r="E696" s="1081"/>
      <c r="F696" s="1082"/>
      <c r="G696" s="1083">
        <v>3</v>
      </c>
      <c r="H696" s="1084"/>
      <c r="I696" s="1084"/>
      <c r="J696" s="1085"/>
      <c r="K696" s="1086">
        <v>843</v>
      </c>
      <c r="L696" s="1087"/>
      <c r="M696" s="1087"/>
      <c r="N696" s="1088"/>
      <c r="O696" s="1089">
        <v>842</v>
      </c>
      <c r="P696" s="1090"/>
      <c r="Q696" s="1090"/>
      <c r="R696" s="1090"/>
      <c r="S696" s="1091"/>
      <c r="T696" s="1092">
        <f t="shared" si="45"/>
        <v>2526</v>
      </c>
      <c r="U696" s="1093"/>
      <c r="V696" s="1093"/>
      <c r="W696" s="1093"/>
      <c r="X696" s="1094"/>
      <c r="Y696" s="1089">
        <v>123</v>
      </c>
      <c r="Z696" s="1090"/>
      <c r="AA696" s="1090"/>
      <c r="AB696" s="1091"/>
      <c r="AC696" s="1092">
        <f t="shared" si="46"/>
        <v>965</v>
      </c>
      <c r="AD696" s="1093"/>
      <c r="AE696" s="1093"/>
      <c r="AF696" s="1093"/>
      <c r="AG696" s="1094"/>
      <c r="AH696" s="1095">
        <v>0.4</v>
      </c>
      <c r="AI696" s="1096"/>
      <c r="AJ696" s="1096"/>
      <c r="AK696" s="1096"/>
      <c r="AL696" s="1097"/>
      <c r="AM696" s="1077">
        <f t="shared" ref="AM696:AM718" si="54">IF($AH696&gt;0,($AC696/$AV696), "")</f>
        <v>0.40008291873963514</v>
      </c>
      <c r="AN696" s="1078"/>
      <c r="AO696" s="1079"/>
      <c r="AV696" s="43">
        <f t="shared" si="47"/>
        <v>2412</v>
      </c>
      <c r="AX696" s="43"/>
      <c r="AY696" s="446">
        <f t="shared" si="48"/>
        <v>3</v>
      </c>
      <c r="AZ696" s="452">
        <f t="shared" si="49"/>
        <v>0.1111111111111111</v>
      </c>
      <c r="BA696" s="453">
        <f t="shared" si="50"/>
        <v>4.4444444444444446E-2</v>
      </c>
      <c r="BB696" s="41"/>
      <c r="BC696" s="41"/>
      <c r="BD696" s="41"/>
      <c r="BE696" s="851">
        <f t="shared" si="51"/>
        <v>3</v>
      </c>
      <c r="BF696" s="855">
        <f t="shared" si="52"/>
        <v>0.1111111111111111</v>
      </c>
      <c r="BG696" s="856">
        <f t="shared" si="53"/>
        <v>4.4453657637737239E-2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0" t="s">
        <v>780</v>
      </c>
      <c r="C697" s="1081"/>
      <c r="D697" s="1081"/>
      <c r="E697" s="1081"/>
      <c r="F697" s="1082"/>
      <c r="G697" s="1083">
        <v>8</v>
      </c>
      <c r="H697" s="1084"/>
      <c r="I697" s="1084"/>
      <c r="J697" s="1085"/>
      <c r="K697" s="1086">
        <v>843</v>
      </c>
      <c r="L697" s="1087"/>
      <c r="M697" s="1087"/>
      <c r="N697" s="1088"/>
      <c r="O697" s="1089">
        <v>1083</v>
      </c>
      <c r="P697" s="1090"/>
      <c r="Q697" s="1090"/>
      <c r="R697" s="1090"/>
      <c r="S697" s="1091"/>
      <c r="T697" s="1092">
        <f t="shared" si="45"/>
        <v>8664</v>
      </c>
      <c r="U697" s="1093"/>
      <c r="V697" s="1093"/>
      <c r="W697" s="1093"/>
      <c r="X697" s="1094"/>
      <c r="Y697" s="1089">
        <v>123</v>
      </c>
      <c r="Z697" s="1090"/>
      <c r="AA697" s="1090"/>
      <c r="AB697" s="1091"/>
      <c r="AC697" s="1092">
        <f t="shared" si="46"/>
        <v>1206</v>
      </c>
      <c r="AD697" s="1093"/>
      <c r="AE697" s="1093"/>
      <c r="AF697" s="1093"/>
      <c r="AG697" s="1094"/>
      <c r="AH697" s="1095">
        <v>0.5</v>
      </c>
      <c r="AI697" s="1096"/>
      <c r="AJ697" s="1096"/>
      <c r="AK697" s="1096"/>
      <c r="AL697" s="1097"/>
      <c r="AM697" s="1077">
        <f t="shared" si="54"/>
        <v>0.5</v>
      </c>
      <c r="AN697" s="1078"/>
      <c r="AO697" s="1079"/>
      <c r="AV697" s="43">
        <f t="shared" si="47"/>
        <v>2412</v>
      </c>
      <c r="AX697" s="41"/>
      <c r="AY697" s="446">
        <f t="shared" si="48"/>
        <v>8</v>
      </c>
      <c r="AZ697" s="452">
        <f t="shared" si="49"/>
        <v>0.29629629629629628</v>
      </c>
      <c r="BA697" s="453">
        <f t="shared" si="50"/>
        <v>0.14814814814814814</v>
      </c>
      <c r="BB697" s="41"/>
      <c r="BC697" s="41"/>
      <c r="BD697" s="41"/>
      <c r="BE697" s="851">
        <f t="shared" si="51"/>
        <v>8</v>
      </c>
      <c r="BF697" s="855">
        <f t="shared" si="52"/>
        <v>0.29629629629629628</v>
      </c>
      <c r="BG697" s="856">
        <f t="shared" si="53"/>
        <v>0.14814814814814814</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0" t="s">
        <v>780</v>
      </c>
      <c r="C698" s="1081"/>
      <c r="D698" s="1081"/>
      <c r="E698" s="1081"/>
      <c r="F698" s="1082"/>
      <c r="G698" s="1083">
        <v>4</v>
      </c>
      <c r="H698" s="1084"/>
      <c r="I698" s="1084"/>
      <c r="J698" s="1085"/>
      <c r="K698" s="1086">
        <v>843</v>
      </c>
      <c r="L698" s="1087"/>
      <c r="M698" s="1087"/>
      <c r="N698" s="1088"/>
      <c r="O698" s="1089">
        <v>1324</v>
      </c>
      <c r="P698" s="1090"/>
      <c r="Q698" s="1090"/>
      <c r="R698" s="1090"/>
      <c r="S698" s="1091"/>
      <c r="T698" s="1092">
        <f t="shared" si="45"/>
        <v>5296</v>
      </c>
      <c r="U698" s="1093"/>
      <c r="V698" s="1093"/>
      <c r="W698" s="1093"/>
      <c r="X698" s="1094"/>
      <c r="Y698" s="1089">
        <v>123</v>
      </c>
      <c r="Z698" s="1090"/>
      <c r="AA698" s="1090"/>
      <c r="AB698" s="1091"/>
      <c r="AC698" s="1092">
        <f t="shared" si="46"/>
        <v>1447</v>
      </c>
      <c r="AD698" s="1093"/>
      <c r="AE698" s="1093"/>
      <c r="AF698" s="1093"/>
      <c r="AG698" s="1094"/>
      <c r="AH698" s="1095">
        <v>0.6</v>
      </c>
      <c r="AI698" s="1096"/>
      <c r="AJ698" s="1096"/>
      <c r="AK698" s="1096"/>
      <c r="AL698" s="1097"/>
      <c r="AM698" s="1077">
        <f t="shared" si="54"/>
        <v>0.5999170812603648</v>
      </c>
      <c r="AN698" s="1078"/>
      <c r="AO698" s="1079"/>
      <c r="AV698" s="43">
        <f t="shared" si="47"/>
        <v>2412</v>
      </c>
      <c r="AX698" s="41"/>
      <c r="AY698" s="446">
        <f t="shared" si="48"/>
        <v>4</v>
      </c>
      <c r="AZ698" s="452">
        <f t="shared" si="49"/>
        <v>0.14814814814814814</v>
      </c>
      <c r="BA698" s="453">
        <f t="shared" si="50"/>
        <v>8.8888888888888878E-2</v>
      </c>
      <c r="BB698" s="41"/>
      <c r="BC698" s="41"/>
      <c r="BD698" s="41"/>
      <c r="BE698" s="851">
        <f t="shared" si="51"/>
        <v>4</v>
      </c>
      <c r="BF698" s="855">
        <f t="shared" si="52"/>
        <v>0.14814814814814814</v>
      </c>
      <c r="BG698" s="856">
        <f t="shared" si="53"/>
        <v>8.8876604631165146E-2</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5"/>
        <v>0</v>
      </c>
      <c r="U699" s="1093"/>
      <c r="V699" s="1093"/>
      <c r="W699" s="1093"/>
      <c r="X699" s="1094"/>
      <c r="Y699" s="1089"/>
      <c r="Z699" s="1090"/>
      <c r="AA699" s="1090"/>
      <c r="AB699" s="1091"/>
      <c r="AC699" s="1092">
        <f t="shared" si="46"/>
        <v>0</v>
      </c>
      <c r="AD699" s="1093"/>
      <c r="AE699" s="1093"/>
      <c r="AF699" s="1093"/>
      <c r="AG699" s="1094"/>
      <c r="AH699" s="1095"/>
      <c r="AI699" s="1096"/>
      <c r="AJ699" s="1096"/>
      <c r="AK699" s="1096"/>
      <c r="AL699" s="1097"/>
      <c r="AM699" s="1077" t="str">
        <f t="shared" si="54"/>
        <v/>
      </c>
      <c r="AN699" s="1078"/>
      <c r="AO699" s="1079"/>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0" t="s">
        <v>781</v>
      </c>
      <c r="C700" s="1081"/>
      <c r="D700" s="1081"/>
      <c r="E700" s="1081"/>
      <c r="F700" s="1082"/>
      <c r="G700" s="1083">
        <v>2</v>
      </c>
      <c r="H700" s="1084"/>
      <c r="I700" s="1084"/>
      <c r="J700" s="1085"/>
      <c r="K700" s="1086">
        <v>1043</v>
      </c>
      <c r="L700" s="1087"/>
      <c r="M700" s="1087"/>
      <c r="N700" s="1088"/>
      <c r="O700" s="1089">
        <v>686</v>
      </c>
      <c r="P700" s="1090"/>
      <c r="Q700" s="1090"/>
      <c r="R700" s="1090"/>
      <c r="S700" s="1091"/>
      <c r="T700" s="1092">
        <f t="shared" si="45"/>
        <v>1372</v>
      </c>
      <c r="U700" s="1093"/>
      <c r="V700" s="1093"/>
      <c r="W700" s="1093"/>
      <c r="X700" s="1094"/>
      <c r="Y700" s="1089">
        <v>150</v>
      </c>
      <c r="Z700" s="1090"/>
      <c r="AA700" s="1090"/>
      <c r="AB700" s="1091"/>
      <c r="AC700" s="1092">
        <f t="shared" si="46"/>
        <v>836</v>
      </c>
      <c r="AD700" s="1093"/>
      <c r="AE700" s="1093"/>
      <c r="AF700" s="1093"/>
      <c r="AG700" s="1094"/>
      <c r="AH700" s="1095">
        <v>0.3</v>
      </c>
      <c r="AI700" s="1096"/>
      <c r="AJ700" s="1096"/>
      <c r="AK700" s="1096"/>
      <c r="AL700" s="1097"/>
      <c r="AM700" s="1077">
        <f t="shared" si="54"/>
        <v>0.30007178750897345</v>
      </c>
      <c r="AN700" s="1078"/>
      <c r="AO700" s="1079"/>
      <c r="AV700" s="43">
        <f t="shared" si="47"/>
        <v>2786</v>
      </c>
      <c r="AX700" s="41"/>
      <c r="AY700" s="446">
        <f t="shared" si="48"/>
        <v>2</v>
      </c>
      <c r="AZ700" s="452">
        <f t="shared" si="49"/>
        <v>7.407407407407407E-2</v>
      </c>
      <c r="BA700" s="453">
        <f t="shared" si="50"/>
        <v>2.222222222222222E-2</v>
      </c>
      <c r="BB700" s="41"/>
      <c r="BC700" s="41"/>
      <c r="BD700" s="41"/>
      <c r="BE700" s="851">
        <f t="shared" si="51"/>
        <v>2</v>
      </c>
      <c r="BF700" s="855">
        <f t="shared" si="52"/>
        <v>7.407407407407407E-2</v>
      </c>
      <c r="BG700" s="856">
        <f t="shared" si="53"/>
        <v>2.2227539815479515E-2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0" t="s">
        <v>781</v>
      </c>
      <c r="C701" s="1081"/>
      <c r="D701" s="1081"/>
      <c r="E701" s="1081"/>
      <c r="F701" s="1082"/>
      <c r="G701" s="1083">
        <v>2</v>
      </c>
      <c r="H701" s="1084"/>
      <c r="I701" s="1084"/>
      <c r="J701" s="1085"/>
      <c r="K701" s="1086">
        <v>1043</v>
      </c>
      <c r="L701" s="1087"/>
      <c r="M701" s="1087"/>
      <c r="N701" s="1088"/>
      <c r="O701" s="1089">
        <v>965</v>
      </c>
      <c r="P701" s="1090"/>
      <c r="Q701" s="1090"/>
      <c r="R701" s="1090"/>
      <c r="S701" s="1091"/>
      <c r="T701" s="1092">
        <f t="shared" si="45"/>
        <v>1930</v>
      </c>
      <c r="U701" s="1093"/>
      <c r="V701" s="1093"/>
      <c r="W701" s="1093"/>
      <c r="X701" s="1094"/>
      <c r="Y701" s="1089">
        <v>150</v>
      </c>
      <c r="Z701" s="1090"/>
      <c r="AA701" s="1090"/>
      <c r="AB701" s="1091"/>
      <c r="AC701" s="1092">
        <f t="shared" si="46"/>
        <v>1115</v>
      </c>
      <c r="AD701" s="1093"/>
      <c r="AE701" s="1093"/>
      <c r="AF701" s="1093"/>
      <c r="AG701" s="1094"/>
      <c r="AH701" s="1095">
        <v>0.4</v>
      </c>
      <c r="AI701" s="1096"/>
      <c r="AJ701" s="1096"/>
      <c r="AK701" s="1096"/>
      <c r="AL701" s="1097"/>
      <c r="AM701" s="1077">
        <f t="shared" si="54"/>
        <v>0.4002153625269203</v>
      </c>
      <c r="AN701" s="1078"/>
      <c r="AO701" s="1079"/>
      <c r="AV701" s="43">
        <f t="shared" si="47"/>
        <v>2786</v>
      </c>
      <c r="AX701" s="41"/>
      <c r="AY701" s="446">
        <f t="shared" si="48"/>
        <v>2</v>
      </c>
      <c r="AZ701" s="452">
        <f t="shared" si="49"/>
        <v>7.407407407407407E-2</v>
      </c>
      <c r="BA701" s="453">
        <f t="shared" si="50"/>
        <v>2.9629629629629631E-2</v>
      </c>
      <c r="BB701" s="41"/>
      <c r="BC701" s="41"/>
      <c r="BD701" s="41"/>
      <c r="BE701" s="851">
        <f t="shared" si="51"/>
        <v>2</v>
      </c>
      <c r="BF701" s="855">
        <f t="shared" si="52"/>
        <v>7.407407407407407E-2</v>
      </c>
      <c r="BG701" s="856">
        <f t="shared" si="53"/>
        <v>2.9645582409401502E-2</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0" t="s">
        <v>781</v>
      </c>
      <c r="C702" s="1081"/>
      <c r="D702" s="1081"/>
      <c r="E702" s="1081"/>
      <c r="F702" s="1082"/>
      <c r="G702" s="1083">
        <v>3</v>
      </c>
      <c r="H702" s="1084"/>
      <c r="I702" s="1084"/>
      <c r="J702" s="1085"/>
      <c r="K702" s="1086">
        <v>1043</v>
      </c>
      <c r="L702" s="1087"/>
      <c r="M702" s="1087"/>
      <c r="N702" s="1088"/>
      <c r="O702" s="1089">
        <v>1243</v>
      </c>
      <c r="P702" s="1090"/>
      <c r="Q702" s="1090"/>
      <c r="R702" s="1090"/>
      <c r="S702" s="1091"/>
      <c r="T702" s="1092">
        <f t="shared" si="45"/>
        <v>3729</v>
      </c>
      <c r="U702" s="1093"/>
      <c r="V702" s="1093"/>
      <c r="W702" s="1093"/>
      <c r="X702" s="1094"/>
      <c r="Y702" s="1089">
        <v>150</v>
      </c>
      <c r="Z702" s="1090"/>
      <c r="AA702" s="1090"/>
      <c r="AB702" s="1091"/>
      <c r="AC702" s="1092">
        <f t="shared" si="46"/>
        <v>1393</v>
      </c>
      <c r="AD702" s="1093"/>
      <c r="AE702" s="1093"/>
      <c r="AF702" s="1093"/>
      <c r="AG702" s="1094"/>
      <c r="AH702" s="1095">
        <v>0.5</v>
      </c>
      <c r="AI702" s="1096"/>
      <c r="AJ702" s="1096"/>
      <c r="AK702" s="1096"/>
      <c r="AL702" s="1097"/>
      <c r="AM702" s="1077">
        <f t="shared" si="54"/>
        <v>0.5</v>
      </c>
      <c r="AN702" s="1078"/>
      <c r="AO702" s="1079"/>
      <c r="AV702" s="43">
        <f t="shared" si="47"/>
        <v>2786</v>
      </c>
      <c r="AX702" s="41"/>
      <c r="AY702" s="446">
        <f t="shared" si="48"/>
        <v>3</v>
      </c>
      <c r="AZ702" s="452">
        <f t="shared" si="49"/>
        <v>0.1111111111111111</v>
      </c>
      <c r="BA702" s="453">
        <f t="shared" si="50"/>
        <v>5.5555555555555552E-2</v>
      </c>
      <c r="BB702" s="41"/>
      <c r="BC702" s="41"/>
      <c r="BD702" s="41"/>
      <c r="BE702" s="851">
        <f t="shared" si="51"/>
        <v>3</v>
      </c>
      <c r="BF702" s="855">
        <f t="shared" si="52"/>
        <v>0.1111111111111111</v>
      </c>
      <c r="BG702" s="856">
        <f t="shared" si="53"/>
        <v>5.5555555555555552E-2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0" t="s">
        <v>781</v>
      </c>
      <c r="C703" s="1081"/>
      <c r="D703" s="1081"/>
      <c r="E703" s="1081"/>
      <c r="F703" s="1082"/>
      <c r="G703" s="1083">
        <v>3</v>
      </c>
      <c r="H703" s="1084"/>
      <c r="I703" s="1084"/>
      <c r="J703" s="1085"/>
      <c r="K703" s="1086">
        <v>1043</v>
      </c>
      <c r="L703" s="1087"/>
      <c r="M703" s="1087"/>
      <c r="N703" s="1088"/>
      <c r="O703" s="1089">
        <v>1522</v>
      </c>
      <c r="P703" s="1090"/>
      <c r="Q703" s="1090"/>
      <c r="R703" s="1090"/>
      <c r="S703" s="1091"/>
      <c r="T703" s="1092">
        <f t="shared" si="45"/>
        <v>4566</v>
      </c>
      <c r="U703" s="1093"/>
      <c r="V703" s="1093"/>
      <c r="W703" s="1093"/>
      <c r="X703" s="1094"/>
      <c r="Y703" s="1089">
        <v>150</v>
      </c>
      <c r="Z703" s="1090"/>
      <c r="AA703" s="1090"/>
      <c r="AB703" s="1091"/>
      <c r="AC703" s="1092">
        <f t="shared" si="46"/>
        <v>1672</v>
      </c>
      <c r="AD703" s="1093"/>
      <c r="AE703" s="1093"/>
      <c r="AF703" s="1093"/>
      <c r="AG703" s="1094"/>
      <c r="AH703" s="1095">
        <v>0.6</v>
      </c>
      <c r="AI703" s="1096"/>
      <c r="AJ703" s="1096"/>
      <c r="AK703" s="1096"/>
      <c r="AL703" s="1097"/>
      <c r="AM703" s="1077">
        <f t="shared" si="54"/>
        <v>0.60014357501794691</v>
      </c>
      <c r="AN703" s="1078"/>
      <c r="AO703" s="1079"/>
      <c r="AV703" s="43">
        <f t="shared" si="47"/>
        <v>2786</v>
      </c>
      <c r="AX703" s="41"/>
      <c r="AY703" s="446">
        <f t="shared" si="48"/>
        <v>3</v>
      </c>
      <c r="AZ703" s="452">
        <f t="shared" si="49"/>
        <v>0.1111111111111111</v>
      </c>
      <c r="BA703" s="453">
        <f t="shared" si="50"/>
        <v>6.6666666666666666E-2</v>
      </c>
      <c r="BB703" s="41"/>
      <c r="BC703" s="41"/>
      <c r="BD703" s="41"/>
      <c r="BE703" s="851">
        <f t="shared" si="51"/>
        <v>3</v>
      </c>
      <c r="BF703" s="855">
        <f t="shared" si="52"/>
        <v>0.1111111111111111</v>
      </c>
      <c r="BG703" s="856">
        <f t="shared" si="53"/>
        <v>6.6682619446438537E-2</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3" t="s">
        <v>877</v>
      </c>
      <c r="C730" s="1104"/>
      <c r="D730" s="1104"/>
      <c r="E730" s="1104"/>
      <c r="F730" s="1106"/>
      <c r="G730" s="1300">
        <f>SUM(G695:J729)</f>
        <v>27</v>
      </c>
      <c r="H730" s="1301"/>
      <c r="I730" s="1301"/>
      <c r="J730" s="1302"/>
      <c r="O730" s="430" t="s">
        <v>876</v>
      </c>
      <c r="P730" s="168"/>
      <c r="Q730" s="168"/>
      <c r="R730" s="168"/>
      <c r="S730" s="842"/>
      <c r="T730" s="1092">
        <f>SUM(T695:X729)</f>
        <v>29283</v>
      </c>
      <c r="U730" s="1093"/>
      <c r="V730" s="1093"/>
      <c r="W730" s="1093"/>
      <c r="X730" s="1094"/>
      <c r="AC730" s="843" t="s">
        <v>1139</v>
      </c>
      <c r="AD730" s="844"/>
      <c r="AE730" s="844"/>
      <c r="AF730" s="844"/>
      <c r="AG730" s="845"/>
      <c r="AH730" s="1505">
        <f>BA730</f>
        <v>0.47777777777777775</v>
      </c>
      <c r="AI730" s="1506"/>
      <c r="AJ730" s="1506"/>
      <c r="AK730" s="1506"/>
      <c r="AL730" s="1507"/>
      <c r="AM730" s="1505">
        <f>IFERROR(BG730,0)</f>
        <v>0.47779350347956234</v>
      </c>
      <c r="AN730" s="1506"/>
      <c r="AO730" s="1507"/>
      <c r="AX730" s="62" t="s">
        <v>875</v>
      </c>
      <c r="AY730" s="454">
        <f>SUM(AY695:AY729)</f>
        <v>27</v>
      </c>
      <c r="AZ730" s="455">
        <f>SUM(AZ695:AZ729)</f>
        <v>1</v>
      </c>
      <c r="BA730" s="455">
        <f>SUM(BA695:BA729)</f>
        <v>0.47777777777777775</v>
      </c>
      <c r="BB730" s="41"/>
      <c r="BC730" s="41"/>
      <c r="BD730" s="41"/>
      <c r="BE730" s="852">
        <f>SUM(BE695:BE729)</f>
        <v>27</v>
      </c>
      <c r="BF730" s="853">
        <f>SUM(BF695:BF729)</f>
        <v>1</v>
      </c>
      <c r="BG730" s="853">
        <f>SUM(BG695:BG729)</f>
        <v>0.47779350347956234</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0" t="s">
        <v>2062</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39">
        <f>CQ628</f>
        <v>64</v>
      </c>
      <c r="P733" s="1239"/>
      <c r="Q733" s="1239"/>
      <c r="R733" s="1239"/>
      <c r="S733" s="924"/>
      <c r="T733" s="924"/>
      <c r="U733" s="270" t="s">
        <v>2064</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4" t="s">
        <v>2060</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4" t="s">
        <v>1518</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7" t="s">
        <v>54</v>
      </c>
      <c r="K748" s="1268"/>
      <c r="L748" s="1268"/>
      <c r="M748" s="1268"/>
      <c r="N748" s="1269"/>
      <c r="O748" s="1224" t="s">
        <v>256</v>
      </c>
      <c r="P748" s="1224"/>
      <c r="Q748" s="1224"/>
      <c r="R748" s="1224"/>
      <c r="S748" s="1224"/>
      <c r="T748" s="1454" t="s">
        <v>1996</v>
      </c>
      <c r="U748" s="1455"/>
      <c r="V748" s="1455"/>
      <c r="W748" s="1456"/>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0"/>
      <c r="K749" s="1271"/>
      <c r="L749" s="1271"/>
      <c r="M749" s="1271"/>
      <c r="N749" s="1272"/>
      <c r="O749" s="1224"/>
      <c r="P749" s="1224"/>
      <c r="Q749" s="1224"/>
      <c r="R749" s="1224"/>
      <c r="S749" s="1224"/>
      <c r="T749" s="1457"/>
      <c r="U749" s="1458"/>
      <c r="V749" s="1458"/>
      <c r="W749" s="1459"/>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0"/>
      <c r="K750" s="1271"/>
      <c r="L750" s="1271"/>
      <c r="M750" s="1271"/>
      <c r="N750" s="1272"/>
      <c r="O750" s="1224"/>
      <c r="P750" s="1224"/>
      <c r="Q750" s="1224"/>
      <c r="R750" s="1224"/>
      <c r="S750" s="1224"/>
      <c r="T750" s="1457"/>
      <c r="U750" s="1458"/>
      <c r="V750" s="1458"/>
      <c r="W750" s="1459"/>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3"/>
      <c r="K751" s="1274"/>
      <c r="L751" s="1274"/>
      <c r="M751" s="1274"/>
      <c r="N751" s="1275"/>
      <c r="O751" s="1224"/>
      <c r="P751" s="1224"/>
      <c r="Q751" s="1224"/>
      <c r="R751" s="1224"/>
      <c r="S751" s="1224"/>
      <c r="T751" s="1508"/>
      <c r="U751" s="1509"/>
      <c r="V751" s="1509"/>
      <c r="W751" s="1510"/>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0" t="s">
        <v>780</v>
      </c>
      <c r="K752" s="1081"/>
      <c r="L752" s="1081"/>
      <c r="M752" s="1081"/>
      <c r="N752" s="1082"/>
      <c r="O752" s="1240">
        <v>1</v>
      </c>
      <c r="P752" s="1240"/>
      <c r="Q752" s="1240"/>
      <c r="R752" s="1240"/>
      <c r="S752" s="1240"/>
      <c r="T752" s="1086">
        <v>843</v>
      </c>
      <c r="U752" s="1087"/>
      <c r="V752" s="1087"/>
      <c r="W752" s="1088"/>
      <c r="X752" s="1089">
        <v>0</v>
      </c>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0"/>
      <c r="K753" s="1081"/>
      <c r="L753" s="1081"/>
      <c r="M753" s="1081"/>
      <c r="N753" s="1082"/>
      <c r="O753" s="1240"/>
      <c r="P753" s="1240"/>
      <c r="Q753" s="1240"/>
      <c r="R753" s="1240"/>
      <c r="S753" s="1240"/>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0"/>
      <c r="K754" s="1081"/>
      <c r="L754" s="1081"/>
      <c r="M754" s="1081"/>
      <c r="N754" s="1082"/>
      <c r="O754" s="1240"/>
      <c r="P754" s="1240"/>
      <c r="Q754" s="1240"/>
      <c r="R754" s="1240"/>
      <c r="S754" s="1240"/>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0"/>
      <c r="K755" s="1081"/>
      <c r="L755" s="1081"/>
      <c r="M755" s="1081"/>
      <c r="N755" s="1082"/>
      <c r="O755" s="1240"/>
      <c r="P755" s="1240"/>
      <c r="Q755" s="1240"/>
      <c r="R755" s="1240"/>
      <c r="S755" s="1240"/>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3" t="s">
        <v>877</v>
      </c>
      <c r="K756" s="1104"/>
      <c r="L756" s="1104"/>
      <c r="M756" s="1104"/>
      <c r="N756" s="1106"/>
      <c r="O756" s="1075">
        <f>SUM(O752:S755)</f>
        <v>1</v>
      </c>
      <c r="P756" s="1304"/>
      <c r="Q756" s="1304"/>
      <c r="R756" s="1304"/>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7" t="s">
        <v>54</v>
      </c>
      <c r="K762" s="1268"/>
      <c r="L762" s="1268"/>
      <c r="M762" s="1268"/>
      <c r="N762" s="1269"/>
      <c r="O762" s="1224" t="s">
        <v>256</v>
      </c>
      <c r="P762" s="1224"/>
      <c r="Q762" s="1224"/>
      <c r="R762" s="1224"/>
      <c r="S762" s="1224"/>
      <c r="T762" s="1454" t="s">
        <v>1996</v>
      </c>
      <c r="U762" s="1455"/>
      <c r="V762" s="1455"/>
      <c r="W762" s="1456"/>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0"/>
      <c r="K763" s="1271"/>
      <c r="L763" s="1271"/>
      <c r="M763" s="1271"/>
      <c r="N763" s="1272"/>
      <c r="O763" s="1224"/>
      <c r="P763" s="1224"/>
      <c r="Q763" s="1224"/>
      <c r="R763" s="1224"/>
      <c r="S763" s="1224"/>
      <c r="T763" s="1457"/>
      <c r="U763" s="1458"/>
      <c r="V763" s="1458"/>
      <c r="W763" s="1459"/>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0"/>
      <c r="K764" s="1271"/>
      <c r="L764" s="1271"/>
      <c r="M764" s="1271"/>
      <c r="N764" s="1272"/>
      <c r="O764" s="1224"/>
      <c r="P764" s="1224"/>
      <c r="Q764" s="1224"/>
      <c r="R764" s="1224"/>
      <c r="S764" s="1224"/>
      <c r="T764" s="1457"/>
      <c r="U764" s="1458"/>
      <c r="V764" s="1458"/>
      <c r="W764" s="1459"/>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3"/>
      <c r="K765" s="1274"/>
      <c r="L765" s="1274"/>
      <c r="M765" s="1274"/>
      <c r="N765" s="1275"/>
      <c r="O765" s="1224"/>
      <c r="P765" s="1224"/>
      <c r="Q765" s="1224"/>
      <c r="R765" s="1224"/>
      <c r="S765" s="1224"/>
      <c r="T765" s="1508"/>
      <c r="U765" s="1509"/>
      <c r="V765" s="1509"/>
      <c r="W765" s="1510"/>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0"/>
      <c r="K766" s="1081"/>
      <c r="L766" s="1081"/>
      <c r="M766" s="1081"/>
      <c r="N766" s="1082"/>
      <c r="O766" s="1240"/>
      <c r="P766" s="1240"/>
      <c r="Q766" s="1240"/>
      <c r="R766" s="1240"/>
      <c r="S766" s="1240"/>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0"/>
      <c r="K767" s="1081"/>
      <c r="L767" s="1081"/>
      <c r="M767" s="1081"/>
      <c r="N767" s="1082"/>
      <c r="O767" s="1240"/>
      <c r="P767" s="1240"/>
      <c r="Q767" s="1240"/>
      <c r="R767" s="1240"/>
      <c r="S767" s="1240"/>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0"/>
      <c r="K768" s="1081"/>
      <c r="L768" s="1081"/>
      <c r="M768" s="1081"/>
      <c r="N768" s="1082"/>
      <c r="O768" s="1240"/>
      <c r="P768" s="1240"/>
      <c r="Q768" s="1240"/>
      <c r="R768" s="1240"/>
      <c r="S768" s="1240"/>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0"/>
      <c r="K769" s="1081"/>
      <c r="L769" s="1081"/>
      <c r="M769" s="1081"/>
      <c r="N769" s="1082"/>
      <c r="O769" s="1240"/>
      <c r="P769" s="1240"/>
      <c r="Q769" s="1240"/>
      <c r="R769" s="1240"/>
      <c r="S769" s="1240"/>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0"/>
      <c r="K770" s="1081"/>
      <c r="L770" s="1081"/>
      <c r="M770" s="1081"/>
      <c r="N770" s="1082"/>
      <c r="O770" s="1240"/>
      <c r="P770" s="1240"/>
      <c r="Q770" s="1240"/>
      <c r="R770" s="1240"/>
      <c r="S770" s="1240"/>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0"/>
      <c r="K771" s="1081"/>
      <c r="L771" s="1081"/>
      <c r="M771" s="1081"/>
      <c r="N771" s="1082"/>
      <c r="O771" s="1240"/>
      <c r="P771" s="1240"/>
      <c r="Q771" s="1240"/>
      <c r="R771" s="1240"/>
      <c r="S771" s="1240"/>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0"/>
      <c r="K772" s="1081"/>
      <c r="L772" s="1081"/>
      <c r="M772" s="1081"/>
      <c r="N772" s="1082"/>
      <c r="O772" s="1240"/>
      <c r="P772" s="1240"/>
      <c r="Q772" s="1240"/>
      <c r="R772" s="1240"/>
      <c r="S772" s="1240"/>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0"/>
      <c r="K773" s="1081"/>
      <c r="L773" s="1081"/>
      <c r="M773" s="1081"/>
      <c r="N773" s="1082"/>
      <c r="O773" s="1240"/>
      <c r="P773" s="1240"/>
      <c r="Q773" s="1240"/>
      <c r="R773" s="1240"/>
      <c r="S773" s="1240"/>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0"/>
      <c r="K774" s="1081"/>
      <c r="L774" s="1081"/>
      <c r="M774" s="1081"/>
      <c r="N774" s="1082"/>
      <c r="O774" s="1240"/>
      <c r="P774" s="1240"/>
      <c r="Q774" s="1240"/>
      <c r="R774" s="1240"/>
      <c r="S774" s="1240"/>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0"/>
      <c r="K775" s="1081"/>
      <c r="L775" s="1081"/>
      <c r="M775" s="1081"/>
      <c r="N775" s="1082"/>
      <c r="O775" s="1240"/>
      <c r="P775" s="1240"/>
      <c r="Q775" s="1240"/>
      <c r="R775" s="1240"/>
      <c r="S775" s="1240"/>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3" t="s">
        <v>877</v>
      </c>
      <c r="K776" s="1104"/>
      <c r="L776" s="1104"/>
      <c r="M776" s="1104"/>
      <c r="N776" s="1106"/>
      <c r="O776" s="1239">
        <f>SUM(O766:S775)</f>
        <v>0</v>
      </c>
      <c r="P776" s="1239"/>
      <c r="Q776" s="1239"/>
      <c r="R776" s="1239"/>
      <c r="S776" s="1239"/>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9">
        <f>T730+AC756+AC776</f>
        <v>29283</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9">
        <f>(T730+AC756+AC776)*12</f>
        <v>351396</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2"/>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5">
        <v>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3">
        <v>0</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6">
        <v>2492</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6">
        <v>1008</v>
      </c>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7">
        <f>SUM(Z792:AE795)</f>
        <v>3500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7">
        <f>Z796+Y780+Z788</f>
        <v>354896</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8" t="s">
        <v>878</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4" t="s">
        <v>694</v>
      </c>
      <c r="D804" s="1185"/>
      <c r="E804" s="1185"/>
      <c r="F804" s="1185"/>
      <c r="G804" s="1185"/>
      <c r="H804" s="1185"/>
      <c r="I804" s="54"/>
      <c r="J804" s="54"/>
      <c r="K804" s="54"/>
      <c r="L804" s="55"/>
      <c r="M804" s="1181"/>
      <c r="N804" s="1181"/>
      <c r="O804" s="1181"/>
      <c r="P804" s="1181"/>
      <c r="Q804" s="1181"/>
      <c r="R804" s="1181"/>
      <c r="S804" s="1181"/>
      <c r="T804" s="1181"/>
      <c r="U804" s="1181">
        <v>16</v>
      </c>
      <c r="V804" s="1181"/>
      <c r="W804" s="1181"/>
      <c r="X804" s="1181"/>
      <c r="Y804" s="1181">
        <v>20</v>
      </c>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2" t="s">
        <v>695</v>
      </c>
      <c r="D805" s="1183"/>
      <c r="E805" s="1183"/>
      <c r="F805" s="1183"/>
      <c r="G805" s="1183"/>
      <c r="H805" s="1183"/>
      <c r="I805" s="9"/>
      <c r="J805" s="9"/>
      <c r="K805" s="9"/>
      <c r="L805" s="52"/>
      <c r="M805" s="1181"/>
      <c r="N805" s="1181"/>
      <c r="O805" s="1181"/>
      <c r="P805" s="1181"/>
      <c r="Q805" s="1181"/>
      <c r="R805" s="1181"/>
      <c r="S805" s="1181"/>
      <c r="T805" s="1181"/>
      <c r="U805" s="1181">
        <v>20</v>
      </c>
      <c r="V805" s="1181"/>
      <c r="W805" s="1181"/>
      <c r="X805" s="1181"/>
      <c r="Y805" s="1181">
        <v>25</v>
      </c>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2" t="s">
        <v>71</v>
      </c>
      <c r="D806" s="1183"/>
      <c r="E806" s="1183"/>
      <c r="F806" s="1183"/>
      <c r="G806" s="1183"/>
      <c r="H806" s="1183"/>
      <c r="I806" s="66"/>
      <c r="J806" s="66"/>
      <c r="K806" s="66"/>
      <c r="L806" s="67"/>
      <c r="M806" s="1181"/>
      <c r="N806" s="1181"/>
      <c r="O806" s="1181"/>
      <c r="P806" s="1181"/>
      <c r="Q806" s="1181"/>
      <c r="R806" s="1181"/>
      <c r="S806" s="1181"/>
      <c r="T806" s="1181"/>
      <c r="U806" s="1181">
        <v>10</v>
      </c>
      <c r="V806" s="1181"/>
      <c r="W806" s="1181"/>
      <c r="X806" s="1181"/>
      <c r="Y806" s="1181">
        <v>13</v>
      </c>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2" t="s">
        <v>178</v>
      </c>
      <c r="D807" s="1183"/>
      <c r="E807" s="1183"/>
      <c r="F807" s="1183"/>
      <c r="G807" s="1183"/>
      <c r="H807" s="1183"/>
      <c r="I807" s="66"/>
      <c r="J807" s="66"/>
      <c r="K807" s="66"/>
      <c r="L807" s="67"/>
      <c r="M807" s="1181"/>
      <c r="N807" s="1181"/>
      <c r="O807" s="1181"/>
      <c r="P807" s="1181"/>
      <c r="Q807" s="1181"/>
      <c r="R807" s="1181"/>
      <c r="S807" s="1181"/>
      <c r="T807" s="1181"/>
      <c r="U807" s="1181">
        <v>36</v>
      </c>
      <c r="V807" s="1181"/>
      <c r="W807" s="1181"/>
      <c r="X807" s="1181"/>
      <c r="Y807" s="1181">
        <v>46</v>
      </c>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2" t="s">
        <v>790</v>
      </c>
      <c r="D808" s="1183"/>
      <c r="E808" s="1183"/>
      <c r="F808" s="1183"/>
      <c r="G808" s="1183"/>
      <c r="H808" s="1183"/>
      <c r="I808" s="66"/>
      <c r="J808" s="66"/>
      <c r="K808" s="66"/>
      <c r="L808" s="67"/>
      <c r="M808" s="1181"/>
      <c r="N808" s="1181"/>
      <c r="O808" s="1181"/>
      <c r="P808" s="1181"/>
      <c r="Q808" s="1181"/>
      <c r="R808" s="1181"/>
      <c r="S808" s="1181"/>
      <c r="T808" s="1181"/>
      <c r="U808" s="1181">
        <v>23</v>
      </c>
      <c r="V808" s="1181"/>
      <c r="W808" s="1181"/>
      <c r="X808" s="1181"/>
      <c r="Y808" s="1181">
        <v>23</v>
      </c>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1" t="s">
        <v>943</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8" t="s">
        <v>2446</v>
      </c>
      <c r="G810" s="1159"/>
      <c r="H810" s="1159"/>
      <c r="I810" s="1159"/>
      <c r="J810" s="1159"/>
      <c r="K810" s="1159"/>
      <c r="L810" s="1159"/>
      <c r="M810" s="1181"/>
      <c r="N810" s="1181"/>
      <c r="O810" s="1181"/>
      <c r="P810" s="1181"/>
      <c r="Q810" s="1181"/>
      <c r="R810" s="1181"/>
      <c r="S810" s="1181"/>
      <c r="T810" s="1181"/>
      <c r="U810" s="1181">
        <v>18</v>
      </c>
      <c r="V810" s="1181"/>
      <c r="W810" s="1181"/>
      <c r="X810" s="1181"/>
      <c r="Y810" s="1181">
        <v>23</v>
      </c>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3" t="s">
        <v>876</v>
      </c>
      <c r="D811" s="1104"/>
      <c r="E811" s="1104"/>
      <c r="F811" s="1104"/>
      <c r="G811" s="1104"/>
      <c r="H811" s="1104"/>
      <c r="I811" s="1104"/>
      <c r="J811" s="1104"/>
      <c r="K811" s="1104"/>
      <c r="L811" s="1106"/>
      <c r="M811" s="1295">
        <f>SUM(M804:P810)</f>
        <v>0</v>
      </c>
      <c r="N811" s="1295"/>
      <c r="O811" s="1295"/>
      <c r="P811" s="1295"/>
      <c r="Q811" s="1295">
        <f>SUM(Q804:T810)</f>
        <v>0</v>
      </c>
      <c r="R811" s="1295"/>
      <c r="S811" s="1295"/>
      <c r="T811" s="1295"/>
      <c r="U811" s="1295">
        <f>SUM(U804:X810)</f>
        <v>123</v>
      </c>
      <c r="V811" s="1295"/>
      <c r="W811" s="1295"/>
      <c r="X811" s="1295"/>
      <c r="Y811" s="1295">
        <f>SUM(Y804:AB810)</f>
        <v>150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3" t="s">
        <v>2482</v>
      </c>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4" t="s">
        <v>368</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9">
        <v>840</v>
      </c>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9">
        <v>2100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9">
        <v>3780</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9">
        <v>4200</v>
      </c>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8" t="s">
        <v>2447</v>
      </c>
      <c r="N825" s="1159"/>
      <c r="O825" s="1159"/>
      <c r="P825" s="1159"/>
      <c r="Q825" s="1159"/>
      <c r="R825" s="1159"/>
      <c r="S825" s="1159"/>
      <c r="T825" s="1159"/>
      <c r="U825" s="1159"/>
      <c r="V825" s="1160"/>
      <c r="W825" s="1219">
        <v>13285</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1" t="str">
        <f>T189</f>
        <v>Sacramento</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7">
        <f>SUM(W821:AC825)</f>
        <v>24205</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6">
        <v>15970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7">
        <v>1120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7">
        <v>3500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7">
        <v>33880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38500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2">
        <v>33712</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7">
        <v>1</v>
      </c>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2">
        <v>21216</v>
      </c>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7">
        <v>1</v>
      </c>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8" t="s">
        <v>2448</v>
      </c>
      <c r="N840" s="1159"/>
      <c r="O840" s="1159"/>
      <c r="P840" s="1159"/>
      <c r="Q840" s="1159"/>
      <c r="R840" s="1159"/>
      <c r="S840" s="1159"/>
      <c r="T840" s="1159"/>
      <c r="U840" s="1159"/>
      <c r="V840" s="1160"/>
      <c r="W840" s="1512">
        <v>26710</v>
      </c>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6">
        <f>SUM(W836:AC840)</f>
        <v>81638</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2">
        <v>22500</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9">
        <v>5600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9">
        <v>5000</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9">
        <v>7560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9">
        <v>2157</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9">
        <v>9240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9"/>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8" t="s">
        <v>2449</v>
      </c>
      <c r="N850" s="1159"/>
      <c r="O850" s="1159"/>
      <c r="P850" s="1159"/>
      <c r="Q850" s="1159"/>
      <c r="R850" s="1159"/>
      <c r="S850" s="1159"/>
      <c r="T850" s="1159"/>
      <c r="U850" s="1159"/>
      <c r="V850" s="1160"/>
      <c r="W850" s="1219">
        <v>2000</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9">
        <f>SUM(W844:AC850)</f>
        <v>31557</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8" t="s">
        <v>562</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8" t="s">
        <v>562</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214370</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3">
        <f>O776+O756+G730</f>
        <v>28</v>
      </c>
      <c r="AD863" s="1534"/>
      <c r="AE863" s="1534"/>
      <c r="AF863" s="1534"/>
      <c r="AG863" s="1534"/>
      <c r="AH863" s="153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5">
        <f>IF(ISERROR((ROUNDDOWN(AC862/AC863,0))),0,(ROUNDDOWN(AC862/AC863,0)))</f>
        <v>7656</v>
      </c>
      <c r="AD864" s="1516"/>
      <c r="AE864" s="1516"/>
      <c r="AF864" s="1516"/>
      <c r="AG864" s="1516"/>
      <c r="AH864" s="15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v>162000</v>
      </c>
      <c r="AD865" s="1527"/>
      <c r="AE865" s="1527"/>
      <c r="AF865" s="1527"/>
      <c r="AG865" s="1527"/>
      <c r="AH865" s="1527"/>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20000</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v>14000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6">
        <v>3640</v>
      </c>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v>8400</v>
      </c>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80"/>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2" t="s">
        <v>1209</v>
      </c>
      <c r="F872" s="1443"/>
      <c r="G872" s="1443"/>
      <c r="H872" s="1443"/>
      <c r="I872" s="1443"/>
      <c r="J872" s="1443"/>
      <c r="K872" s="1443"/>
      <c r="L872" s="1443"/>
      <c r="M872" s="1443"/>
      <c r="N872" s="1443"/>
      <c r="O872" s="1443"/>
      <c r="P872" s="1443"/>
      <c r="Q872" s="1443"/>
      <c r="R872" s="1443"/>
      <c r="S872" s="1443"/>
      <c r="T872" s="1443"/>
      <c r="U872" s="1443"/>
      <c r="V872" s="1443"/>
      <c r="W872" s="1443"/>
      <c r="X872" s="1443"/>
      <c r="Y872" s="1443"/>
      <c r="Z872" s="1443"/>
      <c r="AA872" s="1443"/>
      <c r="AB872" s="1444"/>
      <c r="AC872" s="1219"/>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2" t="s">
        <v>1209</v>
      </c>
      <c r="F873" s="1443"/>
      <c r="G873" s="1443"/>
      <c r="H873" s="1443"/>
      <c r="I873" s="1443"/>
      <c r="J873" s="1443"/>
      <c r="K873" s="1443"/>
      <c r="L873" s="1443"/>
      <c r="M873" s="1443"/>
      <c r="N873" s="1443"/>
      <c r="O873" s="1443"/>
      <c r="P873" s="1443"/>
      <c r="Q873" s="1443"/>
      <c r="R873" s="1443"/>
      <c r="S873" s="1443"/>
      <c r="T873" s="1443"/>
      <c r="U873" s="1443"/>
      <c r="V873" s="1443"/>
      <c r="W873" s="1443"/>
      <c r="X873" s="1443"/>
      <c r="Y873" s="1443"/>
      <c r="Z873" s="1443"/>
      <c r="AA873" s="1443"/>
      <c r="AB873" s="1444"/>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1" t="s">
        <v>961</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9" t="s">
        <v>1039</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2" t="s">
        <v>158</v>
      </c>
      <c r="G895" s="1313"/>
      <c r="H895" s="1313"/>
      <c r="I895" s="1313"/>
      <c r="J895" s="1313"/>
      <c r="K895" s="1313"/>
      <c r="L895" s="1313"/>
      <c r="M895" s="1313"/>
      <c r="N895" s="1313"/>
      <c r="O895" s="1313"/>
      <c r="P895" s="1313"/>
      <c r="Q895" s="1313"/>
      <c r="R895" s="1313"/>
      <c r="S895" s="1313"/>
      <c r="T895" s="1314"/>
      <c r="U895" s="1213" t="s">
        <v>108</v>
      </c>
      <c r="V895" s="1143"/>
      <c r="W895" s="1143"/>
      <c r="X895" s="1143"/>
      <c r="Y895" s="1143"/>
      <c r="Z895" s="1144"/>
      <c r="AA895" s="1173">
        <v>2000000</v>
      </c>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2" t="s">
        <v>160</v>
      </c>
      <c r="G896" s="1313"/>
      <c r="H896" s="1313"/>
      <c r="I896" s="1313"/>
      <c r="J896" s="1313"/>
      <c r="K896" s="1313"/>
      <c r="L896" s="1313"/>
      <c r="M896" s="1313"/>
      <c r="N896" s="1313"/>
      <c r="O896" s="1313"/>
      <c r="P896" s="1313"/>
      <c r="Q896" s="1313"/>
      <c r="R896" s="1313"/>
      <c r="S896" s="1313"/>
      <c r="T896" s="1314"/>
      <c r="U896" s="1213" t="s">
        <v>124</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7" t="s">
        <v>946</v>
      </c>
      <c r="G897" s="1538"/>
      <c r="H897" s="1538"/>
      <c r="I897" s="1538"/>
      <c r="J897" s="1538"/>
      <c r="K897" s="1538"/>
      <c r="L897" s="1538"/>
      <c r="M897" s="1538"/>
      <c r="N897" s="1538"/>
      <c r="O897" s="1538"/>
      <c r="P897" s="1538"/>
      <c r="Q897" s="1538"/>
      <c r="R897" s="1538"/>
      <c r="S897" s="1538"/>
      <c r="T897" s="1539"/>
      <c r="U897" s="1213" t="s">
        <v>124</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7" t="s">
        <v>947</v>
      </c>
      <c r="G898" s="1538"/>
      <c r="H898" s="1538"/>
      <c r="I898" s="1538"/>
      <c r="J898" s="1538"/>
      <c r="K898" s="1538"/>
      <c r="L898" s="1538"/>
      <c r="M898" s="1538"/>
      <c r="N898" s="1538"/>
      <c r="O898" s="1538"/>
      <c r="P898" s="1538"/>
      <c r="Q898" s="1538"/>
      <c r="R898" s="1538"/>
      <c r="S898" s="1538"/>
      <c r="T898" s="1539"/>
      <c r="U898" s="1213" t="s">
        <v>124</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7" t="s">
        <v>948</v>
      </c>
      <c r="G899" s="1538"/>
      <c r="H899" s="1538"/>
      <c r="I899" s="1538"/>
      <c r="J899" s="1538"/>
      <c r="K899" s="1538"/>
      <c r="L899" s="1538"/>
      <c r="M899" s="1538"/>
      <c r="N899" s="1538"/>
      <c r="O899" s="1538"/>
      <c r="P899" s="1538"/>
      <c r="Q899" s="1538"/>
      <c r="R899" s="1538"/>
      <c r="S899" s="1538"/>
      <c r="T899" s="1539"/>
      <c r="U899" s="1213" t="s">
        <v>124</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2" t="s">
        <v>159</v>
      </c>
      <c r="G900" s="1313"/>
      <c r="H900" s="1313"/>
      <c r="I900" s="1313"/>
      <c r="J900" s="1313"/>
      <c r="K900" s="1313"/>
      <c r="L900" s="1313"/>
      <c r="M900" s="1313"/>
      <c r="N900" s="1313"/>
      <c r="O900" s="1313"/>
      <c r="P900" s="1313"/>
      <c r="Q900" s="1313"/>
      <c r="R900" s="1313"/>
      <c r="S900" s="1313"/>
      <c r="T900" s="1314"/>
      <c r="U900" s="1213" t="s">
        <v>124</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2" t="s">
        <v>2290</v>
      </c>
      <c r="G901" s="1313"/>
      <c r="H901" s="1313"/>
      <c r="I901" s="1313"/>
      <c r="J901" s="1313"/>
      <c r="K901" s="1313"/>
      <c r="L901" s="1313"/>
      <c r="M901" s="1313"/>
      <c r="N901" s="1313"/>
      <c r="O901" s="1313"/>
      <c r="P901" s="1313"/>
      <c r="Q901" s="1313"/>
      <c r="R901" s="1313"/>
      <c r="S901" s="1313"/>
      <c r="T901" s="1314"/>
      <c r="U901" s="1213" t="s">
        <v>124</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2" t="s">
        <v>161</v>
      </c>
      <c r="G902" s="1313"/>
      <c r="H902" s="1313"/>
      <c r="I902" s="1313"/>
      <c r="J902" s="1313"/>
      <c r="K902" s="1313"/>
      <c r="L902" s="1313"/>
      <c r="M902" s="1313"/>
      <c r="N902" s="1313"/>
      <c r="O902" s="1313"/>
      <c r="P902" s="1313"/>
      <c r="Q902" s="1313"/>
      <c r="R902" s="1313"/>
      <c r="S902" s="1313"/>
      <c r="T902" s="1314"/>
      <c r="U902" s="1213" t="s">
        <v>124</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2" t="s">
        <v>2287</v>
      </c>
      <c r="G903" s="1313"/>
      <c r="H903" s="1313"/>
      <c r="I903" s="1313"/>
      <c r="J903" s="1313"/>
      <c r="K903" s="1313"/>
      <c r="L903" s="1313"/>
      <c r="M903" s="1313"/>
      <c r="N903" s="1313"/>
      <c r="O903" s="1313"/>
      <c r="P903" s="1313"/>
      <c r="Q903" s="1313"/>
      <c r="R903" s="1313"/>
      <c r="S903" s="1313"/>
      <c r="T903" s="1314"/>
      <c r="U903" s="1213" t="s">
        <v>124</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2" t="s">
        <v>2288</v>
      </c>
      <c r="G904" s="1313"/>
      <c r="H904" s="1313"/>
      <c r="I904" s="1313"/>
      <c r="J904" s="1313"/>
      <c r="K904" s="1313"/>
      <c r="L904" s="1313"/>
      <c r="M904" s="1313"/>
      <c r="N904" s="1313"/>
      <c r="O904" s="1313"/>
      <c r="P904" s="1313"/>
      <c r="Q904" s="1313"/>
      <c r="R904" s="1313"/>
      <c r="S904" s="1313"/>
      <c r="T904" s="1314"/>
      <c r="U904" s="1213" t="s">
        <v>124</v>
      </c>
      <c r="V904" s="1143"/>
      <c r="W904" s="1143"/>
      <c r="X904" s="1143"/>
      <c r="Y904" s="1143"/>
      <c r="Z904" s="1144"/>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2" t="s">
        <v>2289</v>
      </c>
      <c r="G905" s="1313"/>
      <c r="H905" s="1313"/>
      <c r="I905" s="1313"/>
      <c r="J905" s="1313"/>
      <c r="K905" s="1313"/>
      <c r="L905" s="1313"/>
      <c r="M905" s="1313"/>
      <c r="N905" s="1313"/>
      <c r="O905" s="1313"/>
      <c r="P905" s="1313"/>
      <c r="Q905" s="1313"/>
      <c r="R905" s="1313"/>
      <c r="S905" s="1313"/>
      <c r="T905" s="1314"/>
      <c r="U905" s="1213" t="s">
        <v>124</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2" t="s">
        <v>2283</v>
      </c>
      <c r="G906" s="1313"/>
      <c r="H906" s="1313"/>
      <c r="I906" s="1313"/>
      <c r="J906" s="1313"/>
      <c r="K906" s="1313"/>
      <c r="L906" s="1313"/>
      <c r="M906" s="1313"/>
      <c r="N906" s="1313"/>
      <c r="O906" s="1313"/>
      <c r="P906" s="1313"/>
      <c r="Q906" s="1313"/>
      <c r="R906" s="1313"/>
      <c r="S906" s="1313"/>
      <c r="T906" s="1314"/>
      <c r="U906" s="1213" t="s">
        <v>124</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2" t="s">
        <v>2280</v>
      </c>
      <c r="G907" s="1313"/>
      <c r="H907" s="1313"/>
      <c r="I907" s="1313"/>
      <c r="J907" s="1313"/>
      <c r="K907" s="1313"/>
      <c r="L907" s="1313"/>
      <c r="M907" s="1313"/>
      <c r="N907" s="1313"/>
      <c r="O907" s="1313"/>
      <c r="P907" s="1313"/>
      <c r="Q907" s="1313"/>
      <c r="R907" s="1313"/>
      <c r="S907" s="1313"/>
      <c r="T907" s="1314"/>
      <c r="U907" s="1213" t="s">
        <v>124</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4" t="s">
        <v>157</v>
      </c>
      <c r="G908" s="1575"/>
      <c r="H908" s="1575"/>
      <c r="I908" s="1575"/>
      <c r="J908" s="1575"/>
      <c r="K908" s="1575"/>
      <c r="L908" s="1575"/>
      <c r="M908" s="1575"/>
      <c r="N908" s="1575"/>
      <c r="O908" s="1575"/>
      <c r="P908" s="1575"/>
      <c r="Q908" s="1575"/>
      <c r="R908" s="1575"/>
      <c r="S908" s="1575"/>
      <c r="T908" s="1576"/>
      <c r="U908" s="1213" t="s">
        <v>124</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2" t="s">
        <v>1906</v>
      </c>
      <c r="G909" s="1313"/>
      <c r="H909" s="1313"/>
      <c r="I909" s="1313"/>
      <c r="J909" s="1313"/>
      <c r="K909" s="1313"/>
      <c r="L909" s="1313"/>
      <c r="M909" s="1313"/>
      <c r="N909" s="1313"/>
      <c r="O909" s="1313"/>
      <c r="P909" s="1313"/>
      <c r="Q909" s="1313"/>
      <c r="R909" s="1313"/>
      <c r="S909" s="1313"/>
      <c r="T909" s="1314"/>
      <c r="U909" s="1213" t="s">
        <v>124</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7" t="s">
        <v>1008</v>
      </c>
      <c r="G910" s="1538"/>
      <c r="H910" s="1538"/>
      <c r="I910" s="1538"/>
      <c r="J910" s="1538"/>
      <c r="K910" s="1538"/>
      <c r="L910" s="1538"/>
      <c r="M910" s="1538"/>
      <c r="N910" s="1538"/>
      <c r="O910" s="1538"/>
      <c r="P910" s="1538"/>
      <c r="Q910" s="1538"/>
      <c r="R910" s="1538"/>
      <c r="S910" s="1538"/>
      <c r="T910" s="1539"/>
      <c r="U910" s="1213" t="s">
        <v>124</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2" t="s">
        <v>2291</v>
      </c>
      <c r="G911" s="1563"/>
      <c r="H911" s="1563"/>
      <c r="I911" s="1563"/>
      <c r="J911" s="1563"/>
      <c r="K911" s="1563"/>
      <c r="L911" s="1563"/>
      <c r="M911" s="1563"/>
      <c r="N911" s="1563"/>
      <c r="O911" s="1563"/>
      <c r="P911" s="1563"/>
      <c r="Q911" s="1563"/>
      <c r="R911" s="1563"/>
      <c r="S911" s="1563"/>
      <c r="T911" s="1564"/>
      <c r="U911" s="1213" t="s">
        <v>124</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2" t="s">
        <v>2293</v>
      </c>
      <c r="G912" s="1563"/>
      <c r="H912" s="1563"/>
      <c r="I912" s="1563"/>
      <c r="J912" s="1563"/>
      <c r="K912" s="1563"/>
      <c r="L912" s="1563"/>
      <c r="M912" s="1563"/>
      <c r="N912" s="1563"/>
      <c r="O912" s="1563"/>
      <c r="P912" s="1563"/>
      <c r="Q912" s="1563"/>
      <c r="R912" s="1563"/>
      <c r="S912" s="1563"/>
      <c r="T912" s="1564"/>
      <c r="U912" s="1213" t="s">
        <v>124</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2" t="s">
        <v>2281</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2" t="s">
        <v>2285</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2" t="s">
        <v>2282</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2" t="s">
        <v>1904</v>
      </c>
      <c r="G916" s="1563"/>
      <c r="H916" s="1563"/>
      <c r="I916" s="1563"/>
      <c r="J916" s="1563"/>
      <c r="K916" s="1563"/>
      <c r="L916" s="1563"/>
      <c r="M916" s="1563"/>
      <c r="N916" s="1563"/>
      <c r="O916" s="1563"/>
      <c r="P916" s="1563"/>
      <c r="Q916" s="1563"/>
      <c r="R916" s="1563"/>
      <c r="S916" s="1563"/>
      <c r="T916" s="1564"/>
      <c r="U916" s="1213" t="s">
        <v>124</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2" t="s">
        <v>2294</v>
      </c>
      <c r="G917" s="1563"/>
      <c r="H917" s="1563"/>
      <c r="I917" s="1563"/>
      <c r="J917" s="1563"/>
      <c r="K917" s="1563"/>
      <c r="L917" s="1563"/>
      <c r="M917" s="1563"/>
      <c r="N917" s="1563"/>
      <c r="O917" s="1563"/>
      <c r="P917" s="1563"/>
      <c r="Q917" s="1563"/>
      <c r="R917" s="1563"/>
      <c r="S917" s="1563"/>
      <c r="T917" s="1564"/>
      <c r="U917" s="1213" t="s">
        <v>124</v>
      </c>
      <c r="V917" s="1143"/>
      <c r="W917" s="1143"/>
      <c r="X917" s="1143"/>
      <c r="Y917" s="1143"/>
      <c r="Z917" s="1144"/>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2" t="s">
        <v>1905</v>
      </c>
      <c r="G918" s="1563"/>
      <c r="H918" s="1563"/>
      <c r="I918" s="1563"/>
      <c r="J918" s="1563"/>
      <c r="K918" s="1563"/>
      <c r="L918" s="1563"/>
      <c r="M918" s="1563"/>
      <c r="N918" s="1563"/>
      <c r="O918" s="1563"/>
      <c r="P918" s="1563"/>
      <c r="Q918" s="1563"/>
      <c r="R918" s="1563"/>
      <c r="S918" s="1563"/>
      <c r="T918" s="1564"/>
      <c r="U918" s="1213" t="s">
        <v>124</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2" t="s">
        <v>156</v>
      </c>
      <c r="G919" s="1563"/>
      <c r="H919" s="1563"/>
      <c r="I919" s="1563"/>
      <c r="J919" s="1563"/>
      <c r="K919" s="1563"/>
      <c r="L919" s="1563"/>
      <c r="M919" s="1563"/>
      <c r="N919" s="1563"/>
      <c r="O919" s="1563"/>
      <c r="P919" s="1563"/>
      <c r="Q919" s="1563"/>
      <c r="R919" s="1563"/>
      <c r="S919" s="1563"/>
      <c r="T919" s="1564"/>
      <c r="U919" s="1213" t="s">
        <v>124</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2" t="s">
        <v>2292</v>
      </c>
      <c r="G920" s="1563"/>
      <c r="H920" s="1563"/>
      <c r="I920" s="1563"/>
      <c r="J920" s="1563"/>
      <c r="K920" s="1563"/>
      <c r="L920" s="1563"/>
      <c r="M920" s="1563"/>
      <c r="N920" s="1563"/>
      <c r="O920" s="1563"/>
      <c r="P920" s="1563"/>
      <c r="Q920" s="1563"/>
      <c r="R920" s="1563"/>
      <c r="S920" s="1563"/>
      <c r="T920" s="1564"/>
      <c r="U920" s="1213" t="s">
        <v>124</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0" t="s">
        <v>482</v>
      </c>
      <c r="Q921" s="1143"/>
      <c r="R921" s="1143"/>
      <c r="S921" s="1143"/>
      <c r="T921" s="1144"/>
      <c r="U921" s="1213" t="s">
        <v>124</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2" t="s">
        <v>2284</v>
      </c>
      <c r="G922" s="1313"/>
      <c r="H922" s="1314"/>
      <c r="I922" s="1256" t="s">
        <v>562</v>
      </c>
      <c r="J922" s="1257"/>
      <c r="K922" s="1257"/>
      <c r="L922" s="1257"/>
      <c r="M922" s="1257"/>
      <c r="N922" s="1257"/>
      <c r="O922" s="1257"/>
      <c r="P922" s="1257"/>
      <c r="Q922" s="1257"/>
      <c r="R922" s="1257"/>
      <c r="S922" s="1257"/>
      <c r="T922" s="1258"/>
      <c r="U922" s="1213" t="s">
        <v>124</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2" t="s">
        <v>373</v>
      </c>
      <c r="G923" s="1313"/>
      <c r="H923" s="1314"/>
      <c r="I923" s="1256" t="s">
        <v>562</v>
      </c>
      <c r="J923" s="1257"/>
      <c r="K923" s="1257"/>
      <c r="L923" s="1257"/>
      <c r="M923" s="1257"/>
      <c r="N923" s="1257"/>
      <c r="O923" s="1257"/>
      <c r="P923" s="1257"/>
      <c r="Q923" s="1257"/>
      <c r="R923" s="1257"/>
      <c r="S923" s="1257"/>
      <c r="T923" s="1258"/>
      <c r="U923" s="1213" t="s">
        <v>124</v>
      </c>
      <c r="V923" s="1143"/>
      <c r="W923" s="1143"/>
      <c r="X923" s="1143"/>
      <c r="Y923" s="1143"/>
      <c r="Z923" s="1144"/>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2" t="s">
        <v>826</v>
      </c>
      <c r="G924" s="1313"/>
      <c r="H924" s="1314"/>
      <c r="I924" s="1256" t="s">
        <v>2450</v>
      </c>
      <c r="J924" s="1257"/>
      <c r="K924" s="1257"/>
      <c r="L924" s="1257"/>
      <c r="M924" s="1257"/>
      <c r="N924" s="1257"/>
      <c r="O924" s="1257"/>
      <c r="P924" s="1257"/>
      <c r="Q924" s="1257"/>
      <c r="R924" s="1257"/>
      <c r="S924" s="1257"/>
      <c r="T924" s="1258"/>
      <c r="U924" s="1213" t="s">
        <v>482</v>
      </c>
      <c r="V924" s="1143"/>
      <c r="W924" s="1143"/>
      <c r="X924" s="1143"/>
      <c r="Y924" s="1143"/>
      <c r="Z924" s="1144"/>
      <c r="AA924" s="1173">
        <v>660000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2" t="s">
        <v>283</v>
      </c>
      <c r="G925" s="1313"/>
      <c r="H925" s="1314"/>
      <c r="I925" s="1256" t="s">
        <v>2451</v>
      </c>
      <c r="J925" s="1257"/>
      <c r="K925" s="1257"/>
      <c r="L925" s="1257"/>
      <c r="M925" s="1257"/>
      <c r="N925" s="1257"/>
      <c r="O925" s="1257"/>
      <c r="P925" s="1257"/>
      <c r="Q925" s="1257"/>
      <c r="R925" s="1257"/>
      <c r="S925" s="1257"/>
      <c r="T925" s="1258"/>
      <c r="U925" s="1213" t="s">
        <v>108</v>
      </c>
      <c r="V925" s="1143"/>
      <c r="W925" s="1143"/>
      <c r="X925" s="1143"/>
      <c r="Y925" s="1143"/>
      <c r="Z925" s="1144"/>
      <c r="AA925" s="1173">
        <f>288000+692000</f>
        <v>980000</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2" t="s">
        <v>283</v>
      </c>
      <c r="G926" s="1313"/>
      <c r="H926" s="1314"/>
      <c r="I926" s="1256" t="s">
        <v>2493</v>
      </c>
      <c r="J926" s="1257"/>
      <c r="K926" s="1257"/>
      <c r="L926" s="1257"/>
      <c r="M926" s="1257"/>
      <c r="N926" s="1257"/>
      <c r="O926" s="1257"/>
      <c r="P926" s="1257"/>
      <c r="Q926" s="1257"/>
      <c r="R926" s="1257"/>
      <c r="S926" s="1257"/>
      <c r="T926" s="1258"/>
      <c r="U926" s="1213" t="s">
        <v>108</v>
      </c>
      <c r="V926" s="1143"/>
      <c r="W926" s="1143"/>
      <c r="X926" s="1143"/>
      <c r="Y926" s="1143"/>
      <c r="Z926" s="1144"/>
      <c r="AA926" s="1173">
        <v>1960000</v>
      </c>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1"/>
      <c r="M931" s="1351"/>
      <c r="N931" s="1351"/>
      <c r="O931" s="1351"/>
      <c r="P931" s="1351"/>
      <c r="Q931" s="1351"/>
      <c r="R931" s="1351"/>
      <c r="S931" s="1452"/>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1"/>
      <c r="M932" s="1351"/>
      <c r="N932" s="1351"/>
      <c r="O932" s="1351"/>
      <c r="P932" s="1351"/>
      <c r="Q932" s="1351"/>
      <c r="R932" s="1351"/>
      <c r="S932" s="1452"/>
      <c r="U932" s="72" t="s">
        <v>828</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1" t="s">
        <v>79</v>
      </c>
      <c r="M933" s="1162"/>
      <c r="N933" s="1162"/>
      <c r="O933" s="1162"/>
      <c r="P933" s="1162"/>
      <c r="Q933" s="1162"/>
      <c r="R933" s="1162"/>
      <c r="S933" s="1163"/>
      <c r="U933" s="72" t="s">
        <v>1108</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5"/>
      <c r="M934" s="1196"/>
      <c r="N934" s="1196"/>
      <c r="O934" s="1196"/>
      <c r="P934" s="1196"/>
      <c r="Q934" s="1196"/>
      <c r="R934" s="1196"/>
      <c r="S934" s="1197"/>
      <c r="U934" s="72" t="s">
        <v>829</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9"/>
      <c r="M935" s="1190"/>
      <c r="N935" s="1190"/>
      <c r="O935" s="1190"/>
      <c r="P935" s="1190"/>
      <c r="Q935" s="1190"/>
      <c r="R935" s="1190"/>
      <c r="S935" s="1191"/>
      <c r="U935" s="72" t="s">
        <v>830</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6"/>
      <c r="M936" s="1217"/>
      <c r="N936" s="1217"/>
      <c r="O936" s="1217"/>
      <c r="P936" s="1217"/>
      <c r="Q936" s="1217"/>
      <c r="R936" s="1217"/>
      <c r="S936" s="1218"/>
      <c r="U936" s="72" t="s">
        <v>831</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6" t="s">
        <v>2222</v>
      </c>
      <c r="M937" s="1217"/>
      <c r="N937" s="1217"/>
      <c r="O937" s="1217"/>
      <c r="P937" s="1217"/>
      <c r="Q937" s="1217"/>
      <c r="R937" s="1217"/>
      <c r="S937" s="1218"/>
      <c r="U937" s="72" t="s">
        <v>832</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9"/>
      <c r="M938" s="1190"/>
      <c r="N938" s="1190"/>
      <c r="O938" s="1190"/>
      <c r="P938" s="1190"/>
      <c r="Q938" s="1190"/>
      <c r="R938" s="1190"/>
      <c r="S938" s="1191"/>
      <c r="U938" s="214" t="s">
        <v>1974</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9"/>
      <c r="N943" s="1115"/>
      <c r="O943" s="1115"/>
      <c r="P943" s="1115"/>
      <c r="Q943" s="1115"/>
      <c r="R943" s="1115"/>
      <c r="S943" s="1180"/>
      <c r="T943" s="72" t="s">
        <v>950</v>
      </c>
      <c r="U943" s="9"/>
      <c r="V943" s="9"/>
      <c r="W943" s="9"/>
      <c r="X943" s="9"/>
      <c r="Y943" s="9"/>
      <c r="Z943" s="52"/>
      <c r="AA943" s="1179"/>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9"/>
      <c r="N944" s="1115"/>
      <c r="O944" s="1115"/>
      <c r="P944" s="1115"/>
      <c r="Q944" s="1115"/>
      <c r="R944" s="1115"/>
      <c r="S944" s="1180"/>
      <c r="T944" s="72" t="s">
        <v>949</v>
      </c>
      <c r="U944" s="9"/>
      <c r="V944" s="9"/>
      <c r="W944" s="9"/>
      <c r="X944" s="9"/>
      <c r="Y944" s="9"/>
      <c r="Z944" s="52"/>
      <c r="AA944" s="1179"/>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7" t="s">
        <v>124</v>
      </c>
      <c r="N945" s="1055"/>
      <c r="O945" s="1055"/>
      <c r="P945" s="1055"/>
      <c r="Q945" s="1055"/>
      <c r="R945" s="1055"/>
      <c r="S945" s="1128"/>
      <c r="T945" s="8" t="s">
        <v>566</v>
      </c>
      <c r="U945" s="9"/>
      <c r="V945" s="9"/>
      <c r="W945" s="9"/>
      <c r="X945" s="9"/>
      <c r="Y945" s="9"/>
      <c r="Z945" s="52"/>
      <c r="AA945" s="1179"/>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9"/>
      <c r="N946" s="1115"/>
      <c r="O946" s="1115"/>
      <c r="P946" s="1115"/>
      <c r="Q946" s="1115"/>
      <c r="R946" s="1115"/>
      <c r="S946" s="1180"/>
      <c r="T946" s="8" t="s">
        <v>567</v>
      </c>
      <c r="U946" s="9"/>
      <c r="V946" s="9"/>
      <c r="W946" s="9"/>
      <c r="X946" s="9"/>
      <c r="Y946" s="9"/>
      <c r="Z946" s="52"/>
      <c r="AA946" s="1179"/>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9"/>
      <c r="N947" s="1115"/>
      <c r="O947" s="1115"/>
      <c r="P947" s="1115"/>
      <c r="Q947" s="1115"/>
      <c r="R947" s="1115"/>
      <c r="S947" s="1180"/>
      <c r="T947" s="8" t="s">
        <v>493</v>
      </c>
      <c r="U947" s="9"/>
      <c r="V947" s="9"/>
      <c r="W947" s="9"/>
      <c r="X947" s="9"/>
      <c r="Y947" s="9"/>
      <c r="Z947" s="52"/>
      <c r="AA947" s="1179"/>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1" t="s">
        <v>79</v>
      </c>
      <c r="N948" s="1162"/>
      <c r="O948" s="1162"/>
      <c r="P948" s="1162"/>
      <c r="Q948" s="1162"/>
      <c r="R948" s="1162"/>
      <c r="S948" s="1163"/>
      <c r="T948" s="1391"/>
      <c r="U948" s="1392"/>
      <c r="V948" s="1392"/>
      <c r="W948" s="1392"/>
      <c r="X948" s="1392"/>
      <c r="Y948" s="1392"/>
      <c r="Z948" s="1393"/>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9"/>
      <c r="N949" s="1115"/>
      <c r="O949" s="1115"/>
      <c r="P949" s="1115"/>
      <c r="Q949" s="1115"/>
      <c r="R949" s="1115"/>
      <c r="S949" s="1180"/>
      <c r="T949" s="1391"/>
      <c r="U949" s="1392"/>
      <c r="V949" s="1392"/>
      <c r="W949" s="1392"/>
      <c r="X949" s="1392"/>
      <c r="Y949" s="1392"/>
      <c r="Z949" s="1393"/>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7" t="s">
        <v>482</v>
      </c>
      <c r="P950" s="1128"/>
      <c r="Q950" s="146"/>
      <c r="R950" s="146"/>
      <c r="S950" s="147"/>
      <c r="T950" s="6" t="s">
        <v>283</v>
      </c>
      <c r="U950" s="7"/>
      <c r="V950" s="7"/>
      <c r="W950" s="1386" t="s">
        <v>562</v>
      </c>
      <c r="X950" s="1387"/>
      <c r="Y950" s="1387"/>
      <c r="Z950" s="1387"/>
      <c r="AA950" s="1387"/>
      <c r="AB950" s="1387"/>
      <c r="AC950" s="1387"/>
      <c r="AD950" s="1387"/>
      <c r="AE950" s="1387"/>
      <c r="AF950" s="1387"/>
      <c r="AG950" s="138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4" t="s">
        <v>226</v>
      </c>
      <c r="G951" s="1185"/>
      <c r="H951" s="1185"/>
      <c r="I951" s="1185"/>
      <c r="J951" s="1185"/>
      <c r="K951" s="1185"/>
      <c r="L951" s="1185"/>
      <c r="M951" s="1179"/>
      <c r="N951" s="1115"/>
      <c r="O951" s="1115"/>
      <c r="P951" s="1115"/>
      <c r="Q951" s="1115"/>
      <c r="R951" s="1115"/>
      <c r="S951" s="1180"/>
      <c r="T951" s="53"/>
      <c r="U951" s="54"/>
      <c r="V951" s="54"/>
      <c r="W951" s="54"/>
      <c r="X951" s="54"/>
      <c r="Y951" s="54"/>
      <c r="Z951" s="226" t="s">
        <v>227</v>
      </c>
      <c r="AA951" s="1389"/>
      <c r="AB951" s="1318"/>
      <c r="AC951" s="1318"/>
      <c r="AD951" s="1318"/>
      <c r="AE951" s="1318"/>
      <c r="AF951" s="1318"/>
      <c r="AG951" s="139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2.95"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2" t="s">
        <v>419</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331890</v>
      </c>
      <c r="S961" s="1255"/>
      <c r="T961" s="1255"/>
      <c r="U961" s="1255"/>
      <c r="V961" s="1255"/>
      <c r="W961" s="1255"/>
      <c r="X961" s="1255"/>
      <c r="Y961" s="1255"/>
      <c r="Z961" s="1255"/>
      <c r="AA961" s="1255"/>
      <c r="AB961" s="1372">
        <f>BN651</f>
        <v>0</v>
      </c>
      <c r="AC961" s="1373"/>
      <c r="AD961" s="1373"/>
      <c r="AE961" s="1373"/>
      <c r="AF961" s="1373"/>
      <c r="AG961" s="1373"/>
      <c r="AH961" s="1373"/>
      <c r="AI961" s="1374"/>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2" t="s">
        <v>442</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382666</v>
      </c>
      <c r="S962" s="1255"/>
      <c r="T962" s="1255"/>
      <c r="U962" s="1255"/>
      <c r="V962" s="1255"/>
      <c r="W962" s="1255"/>
      <c r="X962" s="1255"/>
      <c r="Y962" s="1255"/>
      <c r="Z962" s="1255"/>
      <c r="AA962" s="1255"/>
      <c r="AB962" s="1372">
        <f>BS651</f>
        <v>0</v>
      </c>
      <c r="AC962" s="1373"/>
      <c r="AD962" s="1373"/>
      <c r="AE962" s="1373"/>
      <c r="AF962" s="1373"/>
      <c r="AG962" s="1373"/>
      <c r="AH962" s="1373"/>
      <c r="AI962" s="1374"/>
      <c r="AJ962" s="1230">
        <f>IF(ISERROR((R962*AB962)),0,(R962*AB962))</f>
        <v>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2" t="s">
        <v>780</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461600</v>
      </c>
      <c r="S963" s="1255"/>
      <c r="T963" s="1255"/>
      <c r="U963" s="1255"/>
      <c r="V963" s="1255"/>
      <c r="W963" s="1255"/>
      <c r="X963" s="1255"/>
      <c r="Y963" s="1255"/>
      <c r="Z963" s="1255"/>
      <c r="AA963" s="1255"/>
      <c r="AB963" s="1372">
        <f>BX651</f>
        <v>18</v>
      </c>
      <c r="AC963" s="1373"/>
      <c r="AD963" s="1373"/>
      <c r="AE963" s="1373"/>
      <c r="AF963" s="1373"/>
      <c r="AG963" s="1373"/>
      <c r="AH963" s="1373"/>
      <c r="AI963" s="1374"/>
      <c r="AJ963" s="1230">
        <f>IF(ISERROR((R963*AB963)),0,(R963*AB963))</f>
        <v>8308800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2" t="s">
        <v>781</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590848</v>
      </c>
      <c r="S964" s="1255"/>
      <c r="T964" s="1255"/>
      <c r="U964" s="1255"/>
      <c r="V964" s="1255"/>
      <c r="W964" s="1255"/>
      <c r="X964" s="1255"/>
      <c r="Y964" s="1255"/>
      <c r="Z964" s="1255"/>
      <c r="AA964" s="1255"/>
      <c r="AB964" s="1372">
        <f>CC651</f>
        <v>10</v>
      </c>
      <c r="AC964" s="1373"/>
      <c r="AD964" s="1373"/>
      <c r="AE964" s="1373"/>
      <c r="AF964" s="1373"/>
      <c r="AG964" s="1373"/>
      <c r="AH964" s="1373"/>
      <c r="AI964" s="1374"/>
      <c r="AJ964" s="1230">
        <f>IF(ISERROR((R964*AB964)),0,(R964*AB964))</f>
        <v>5908480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2" t="s">
        <v>791</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658242</v>
      </c>
      <c r="S965" s="1255"/>
      <c r="T965" s="1255"/>
      <c r="U965" s="1255"/>
      <c r="V965" s="1255"/>
      <c r="W965" s="1255"/>
      <c r="X965" s="1255"/>
      <c r="Y965" s="1255"/>
      <c r="Z965" s="1255"/>
      <c r="AA965" s="1255"/>
      <c r="AB965" s="1372">
        <f>CM651+CH651</f>
        <v>0</v>
      </c>
      <c r="AC965" s="1373"/>
      <c r="AD965" s="1373"/>
      <c r="AE965" s="1373"/>
      <c r="AF965" s="1373"/>
      <c r="AG965" s="1373"/>
      <c r="AH965" s="1373"/>
      <c r="AI965" s="1374"/>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9" t="s">
        <v>960</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2">
        <f>SUM(AB961:AI965)</f>
        <v>28</v>
      </c>
      <c r="AC966" s="1373"/>
      <c r="AD966" s="1373"/>
      <c r="AE966" s="1373"/>
      <c r="AF966" s="1373"/>
      <c r="AG966" s="1373"/>
      <c r="AH966" s="1373"/>
      <c r="AI966" s="1374"/>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5" t="s">
        <v>747</v>
      </c>
      <c r="C967" s="1376"/>
      <c r="D967" s="1376"/>
      <c r="E967" s="1376"/>
      <c r="F967" s="1376"/>
      <c r="G967" s="1376"/>
      <c r="H967" s="1376"/>
      <c r="I967" s="1376"/>
      <c r="J967" s="1376"/>
      <c r="K967" s="1376"/>
      <c r="L967" s="1376"/>
      <c r="M967" s="1376"/>
      <c r="N967" s="1376"/>
      <c r="O967" s="1376"/>
      <c r="P967" s="1376"/>
      <c r="Q967" s="1376"/>
      <c r="R967" s="1376"/>
      <c r="S967" s="1376"/>
      <c r="T967" s="1376"/>
      <c r="U967" s="1376"/>
      <c r="V967" s="1376"/>
      <c r="W967" s="1376"/>
      <c r="X967" s="1376"/>
      <c r="Y967" s="1376"/>
      <c r="Z967" s="1376"/>
      <c r="AA967" s="1376"/>
      <c r="AB967" s="1376"/>
      <c r="AC967" s="1376"/>
      <c r="AD967" s="1376"/>
      <c r="AE967" s="1376"/>
      <c r="AF967" s="1376"/>
      <c r="AG967" s="1376"/>
      <c r="AH967" s="1376"/>
      <c r="AI967" s="1377"/>
      <c r="AJ967" s="1230">
        <f>SUM(AJ961:AQ965)</f>
        <v>14217280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4" t="s">
        <v>479</v>
      </c>
      <c r="AG968" s="1395"/>
      <c r="AH968" s="1395"/>
      <c r="AI968" s="1396"/>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3" t="s">
        <v>1891</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7" t="s">
        <v>482</v>
      </c>
      <c r="AH969" s="1558"/>
      <c r="AI969" s="85"/>
      <c r="AJ969" s="1360">
        <f>ROUND(IF(AND(AG969="yes",D975&lt;&gt;""),AJ967*0.2,0),0)</f>
        <v>0</v>
      </c>
      <c r="AK969" s="1361"/>
      <c r="AL969" s="1361"/>
      <c r="AM969" s="1361"/>
      <c r="AN969" s="1361"/>
      <c r="AO969" s="1361"/>
      <c r="AP969" s="1361"/>
      <c r="AQ969" s="13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6" t="s">
        <v>2278</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3"/>
      <c r="AK971" s="1364"/>
      <c r="AL971" s="1364"/>
      <c r="AM971" s="1364"/>
      <c r="AN971" s="1364"/>
      <c r="AO971" s="1364"/>
      <c r="AP971" s="1364"/>
      <c r="AQ971" s="136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3"/>
      <c r="AK972" s="1364"/>
      <c r="AL972" s="1364"/>
      <c r="AM972" s="1364"/>
      <c r="AN972" s="1364"/>
      <c r="AO972" s="1364"/>
      <c r="AP972" s="1364"/>
      <c r="AQ972" s="136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3"/>
      <c r="AK973" s="1364"/>
      <c r="AL973" s="1364"/>
      <c r="AM973" s="1364"/>
      <c r="AN973" s="1364"/>
      <c r="AO973" s="1364"/>
      <c r="AP973" s="1364"/>
      <c r="AQ973" s="136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9" t="s">
        <v>2279</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3"/>
      <c r="AK974" s="1364"/>
      <c r="AL974" s="1364"/>
      <c r="AM974" s="1364"/>
      <c r="AN974" s="1364"/>
      <c r="AO974" s="1364"/>
      <c r="AP974" s="1364"/>
      <c r="AQ974" s="136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3"/>
      <c r="E975" s="1384"/>
      <c r="F975" s="1384"/>
      <c r="G975" s="1384"/>
      <c r="H975" s="1384"/>
      <c r="I975" s="1384"/>
      <c r="J975" s="1384"/>
      <c r="K975" s="1384"/>
      <c r="L975" s="1384"/>
      <c r="M975" s="1384"/>
      <c r="N975" s="1384"/>
      <c r="O975" s="1384"/>
      <c r="P975" s="1384"/>
      <c r="Q975" s="1384"/>
      <c r="R975" s="1384"/>
      <c r="S975" s="1384"/>
      <c r="T975" s="1384"/>
      <c r="U975" s="1384"/>
      <c r="V975" s="1384"/>
      <c r="W975" s="1384"/>
      <c r="X975" s="1384"/>
      <c r="Y975" s="1384"/>
      <c r="Z975" s="1384"/>
      <c r="AA975" s="1384"/>
      <c r="AB975" s="1384"/>
      <c r="AC975" s="1384"/>
      <c r="AD975" s="1384"/>
      <c r="AE975" s="1385"/>
      <c r="AF975" s="80"/>
      <c r="AG975" s="11"/>
      <c r="AH975" s="11"/>
      <c r="AI975" s="81"/>
      <c r="AJ975" s="1366"/>
      <c r="AK975" s="1367"/>
      <c r="AL975" s="1367"/>
      <c r="AM975" s="1367"/>
      <c r="AN975" s="1367"/>
      <c r="AO975" s="1367"/>
      <c r="AP975" s="1367"/>
      <c r="AQ975" s="136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1" t="s">
        <v>2000</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2"/>
      <c r="AF976" s="82"/>
      <c r="AG976" s="1358" t="s">
        <v>482</v>
      </c>
      <c r="AH976" s="1359"/>
      <c r="AI976" s="85"/>
      <c r="AJ976" s="1360">
        <f>ROUND(IF(AG976="yes",AJ967*0.05,0),0)</f>
        <v>0</v>
      </c>
      <c r="AK976" s="1361"/>
      <c r="AL976" s="1361"/>
      <c r="AM976" s="1361"/>
      <c r="AN976" s="1361"/>
      <c r="AO976" s="1361"/>
      <c r="AP976" s="1361"/>
      <c r="AQ976" s="13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6" t="s">
        <v>1892</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3"/>
      <c r="AK978" s="1364"/>
      <c r="AL978" s="1364"/>
      <c r="AM978" s="1364"/>
      <c r="AN978" s="1364"/>
      <c r="AO978" s="1364"/>
      <c r="AP978" s="1364"/>
      <c r="AQ978" s="13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3"/>
      <c r="AK979" s="1364"/>
      <c r="AL979" s="1364"/>
      <c r="AM979" s="1364"/>
      <c r="AN979" s="1364"/>
      <c r="AO979" s="1364"/>
      <c r="AP979" s="1364"/>
      <c r="AQ979" s="136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6"/>
      <c r="AK981" s="1367"/>
      <c r="AL981" s="1367"/>
      <c r="AM981" s="1367"/>
      <c r="AN981" s="1367"/>
      <c r="AO981" s="1367"/>
      <c r="AP981" s="1367"/>
      <c r="AQ981" s="136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1" t="s">
        <v>2001</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2"/>
      <c r="AF982" s="84"/>
      <c r="AG982" s="1358" t="s">
        <v>482</v>
      </c>
      <c r="AH982" s="1359"/>
      <c r="AI982" s="85"/>
      <c r="AJ982" s="1360">
        <f>ROUND(IF(AG982="yes",AJ967*0.1,0),0)</f>
        <v>0</v>
      </c>
      <c r="AK982" s="1361"/>
      <c r="AL982" s="1361"/>
      <c r="AM982" s="1361"/>
      <c r="AN982" s="1361"/>
      <c r="AO982" s="1361"/>
      <c r="AP982" s="1361"/>
      <c r="AQ982" s="13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0" t="s">
        <v>2002</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3"/>
      <c r="AK983" s="1364"/>
      <c r="AL983" s="1364"/>
      <c r="AM983" s="1364"/>
      <c r="AN983" s="1364"/>
      <c r="AO983" s="1364"/>
      <c r="AP983" s="1364"/>
      <c r="AQ983" s="1365"/>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3"/>
      <c r="AK984" s="1364"/>
      <c r="AL984" s="1364"/>
      <c r="AM984" s="1364"/>
      <c r="AN984" s="1364"/>
      <c r="AO984" s="1364"/>
      <c r="AP984" s="1364"/>
      <c r="AQ984" s="136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9"/>
      <c r="E985" s="1370"/>
      <c r="F985" s="1370"/>
      <c r="G985" s="1370"/>
      <c r="H985" s="1370"/>
      <c r="I985" s="1370"/>
      <c r="J985" s="1370"/>
      <c r="K985" s="1370"/>
      <c r="L985" s="1370"/>
      <c r="M985" s="1370"/>
      <c r="N985" s="1370"/>
      <c r="O985" s="1370"/>
      <c r="P985" s="1370"/>
      <c r="Q985" s="1370"/>
      <c r="R985" s="1370"/>
      <c r="S985" s="1370"/>
      <c r="T985" s="1370"/>
      <c r="U985" s="1370"/>
      <c r="V985" s="1370"/>
      <c r="W985" s="1370"/>
      <c r="X985" s="1370"/>
      <c r="Y985" s="1370"/>
      <c r="Z985" s="1370"/>
      <c r="AA985" s="1370"/>
      <c r="AB985" s="1370"/>
      <c r="AC985" s="1370"/>
      <c r="AD985" s="1370"/>
      <c r="AE985" s="1371"/>
      <c r="AF985" s="80"/>
      <c r="AG985" s="11"/>
      <c r="AH985" s="11"/>
      <c r="AI985" s="81"/>
      <c r="AJ985" s="1366"/>
      <c r="AK985" s="1367"/>
      <c r="AL985" s="1367"/>
      <c r="AM985" s="1367"/>
      <c r="AN985" s="1367"/>
      <c r="AO985" s="1367"/>
      <c r="AP985" s="1367"/>
      <c r="AQ985" s="136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1" t="s">
        <v>1893</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2"/>
      <c r="AF986" s="82"/>
      <c r="AG986" s="1358" t="s">
        <v>482</v>
      </c>
      <c r="AH986" s="1359"/>
      <c r="AI986" s="85"/>
      <c r="AJ986" s="1360">
        <f>ROUND(IF(AG986="yes",AJ967*0.02,0),0)</f>
        <v>0</v>
      </c>
      <c r="AK986" s="1361"/>
      <c r="AL986" s="1361"/>
      <c r="AM986" s="1361"/>
      <c r="AN986" s="1361"/>
      <c r="AO986" s="1361"/>
      <c r="AP986" s="1361"/>
      <c r="AQ986" s="136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9" t="s">
        <v>1894</v>
      </c>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80"/>
      <c r="AG987" s="11"/>
      <c r="AH987" s="11"/>
      <c r="AI987" s="81"/>
      <c r="AJ987" s="1366"/>
      <c r="AK987" s="1367"/>
      <c r="AL987" s="1367"/>
      <c r="AM987" s="1367"/>
      <c r="AN987" s="1367"/>
      <c r="AO987" s="1367"/>
      <c r="AP987" s="1367"/>
      <c r="AQ987" s="136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1" t="s">
        <v>1895</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2"/>
      <c r="AF988" s="82"/>
      <c r="AG988" s="1358" t="s">
        <v>482</v>
      </c>
      <c r="AH988" s="1359"/>
      <c r="AI988" s="82"/>
      <c r="AJ988" s="1360">
        <f>ROUND(IF(AG988="yes",AJ967*0.02,0),0)</f>
        <v>0</v>
      </c>
      <c r="AK988" s="1361"/>
      <c r="AL988" s="1361"/>
      <c r="AM988" s="1361"/>
      <c r="AN988" s="1361"/>
      <c r="AO988" s="1361"/>
      <c r="AP988" s="1361"/>
      <c r="AQ988" s="136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0" t="s">
        <v>1896</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3"/>
      <c r="AK989" s="1364"/>
      <c r="AL989" s="1364"/>
      <c r="AM989" s="1364"/>
      <c r="AN989" s="1364"/>
      <c r="AO989" s="1364"/>
      <c r="AP989" s="1364"/>
      <c r="AQ989" s="1365"/>
      <c r="AR989" s="962"/>
      <c r="AS989" s="963"/>
      <c r="AT989" s="963"/>
      <c r="AU989" s="963"/>
      <c r="AV989" s="43"/>
      <c r="AW989" s="43"/>
      <c r="AX989" s="43"/>
      <c r="AY989" s="43"/>
      <c r="AZ989" s="43"/>
      <c r="BA989" s="351">
        <f>IF($A$1066="Yes",0.01,0)</f>
        <v>0.01</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9"/>
      <c r="E990" s="1370"/>
      <c r="F990" s="1370"/>
      <c r="G990" s="1370"/>
      <c r="H990" s="1370"/>
      <c r="I990" s="1370"/>
      <c r="J990" s="1370"/>
      <c r="K990" s="1370"/>
      <c r="L990" s="1370"/>
      <c r="M990" s="1370"/>
      <c r="N990" s="1370"/>
      <c r="O990" s="1370"/>
      <c r="P990" s="1370"/>
      <c r="Q990" s="1370"/>
      <c r="R990" s="1370"/>
      <c r="S990" s="1370"/>
      <c r="T990" s="1370"/>
      <c r="U990" s="1370"/>
      <c r="V990" s="1370"/>
      <c r="W990" s="1370"/>
      <c r="X990" s="1370"/>
      <c r="Y990" s="1370"/>
      <c r="Z990" s="1370"/>
      <c r="AA990" s="1370"/>
      <c r="AB990" s="1370"/>
      <c r="AC990" s="1370"/>
      <c r="AD990" s="1370"/>
      <c r="AE990" s="1371"/>
      <c r="AF990" s="1571"/>
      <c r="AG990" s="1572"/>
      <c r="AH990" s="1572"/>
      <c r="AI990" s="1573"/>
      <c r="AJ990" s="1366"/>
      <c r="AK990" s="1367"/>
      <c r="AL990" s="1367"/>
      <c r="AM990" s="1367"/>
      <c r="AN990" s="1367"/>
      <c r="AO990" s="1367"/>
      <c r="AP990" s="1367"/>
      <c r="AQ990" s="1368"/>
      <c r="AR990" s="962"/>
      <c r="AS990" s="963"/>
      <c r="AT990" s="963"/>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3" t="s">
        <v>1897</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8" t="s">
        <v>108</v>
      </c>
      <c r="AH991" s="1359"/>
      <c r="AI991" s="85"/>
      <c r="AJ991" s="1360">
        <f>IF(AG991="yes",AJ967*BA992,0)</f>
        <v>1137382.4000000001</v>
      </c>
      <c r="AK991" s="1361"/>
      <c r="AL991" s="1361"/>
      <c r="AM991" s="1361"/>
      <c r="AN991" s="1361"/>
      <c r="AO991" s="1361"/>
      <c r="AP991" s="1361"/>
      <c r="AQ991" s="136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0" t="s">
        <v>2003</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6" t="str">
        <f>IF(AND(AG991="Yes",BA992=0),BA994,"")</f>
        <v/>
      </c>
      <c r="AG992" s="1207"/>
      <c r="AH992" s="1207"/>
      <c r="AI992" s="1208"/>
      <c r="AJ992" s="1363"/>
      <c r="AK992" s="1364"/>
      <c r="AL992" s="1364"/>
      <c r="AM992" s="1364"/>
      <c r="AN992" s="1364"/>
      <c r="AO992" s="1364"/>
      <c r="AP992" s="1364"/>
      <c r="AQ992" s="1365"/>
      <c r="AR992" s="43"/>
      <c r="AS992" s="43"/>
      <c r="AT992" s="43"/>
      <c r="AU992" s="43"/>
      <c r="AV992" s="43"/>
      <c r="AW992" s="43"/>
      <c r="AX992" s="43"/>
      <c r="AY992" s="43"/>
      <c r="AZ992" s="43"/>
      <c r="BA992" s="961">
        <f>IF(SUM(BA983:BA991)&lt;=0.1,SUM(BA983:BA991),0.1)</f>
        <v>0.08</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6"/>
      <c r="AG993" s="1207"/>
      <c r="AH993" s="1207"/>
      <c r="AI993" s="1208"/>
      <c r="AJ993" s="1363"/>
      <c r="AK993" s="1364"/>
      <c r="AL993" s="1364"/>
      <c r="AM993" s="1364"/>
      <c r="AN993" s="1364"/>
      <c r="AO993" s="1364"/>
      <c r="AP993" s="1364"/>
      <c r="AQ993" s="136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9"/>
      <c r="E994" s="1370"/>
      <c r="F994" s="1370"/>
      <c r="G994" s="1370"/>
      <c r="H994" s="1370"/>
      <c r="I994" s="1370"/>
      <c r="J994" s="1370"/>
      <c r="K994" s="1370"/>
      <c r="L994" s="1370"/>
      <c r="M994" s="1370"/>
      <c r="N994" s="1370"/>
      <c r="O994" s="1370"/>
      <c r="P994" s="1370"/>
      <c r="Q994" s="1370"/>
      <c r="R994" s="1370"/>
      <c r="S994" s="1370"/>
      <c r="T994" s="1370"/>
      <c r="U994" s="1370"/>
      <c r="V994" s="1370"/>
      <c r="W994" s="1370"/>
      <c r="X994" s="1370"/>
      <c r="Y994" s="1370"/>
      <c r="Z994" s="1370"/>
      <c r="AA994" s="1370"/>
      <c r="AB994" s="1370"/>
      <c r="AC994" s="1370"/>
      <c r="AD994" s="1370"/>
      <c r="AE994" s="1371"/>
      <c r="AF994" s="1552"/>
      <c r="AG994" s="1553"/>
      <c r="AH994" s="1553"/>
      <c r="AI994" s="1554"/>
      <c r="AJ994" s="1366"/>
      <c r="AK994" s="1367"/>
      <c r="AL994" s="1367"/>
      <c r="AM994" s="1367"/>
      <c r="AN994" s="1367"/>
      <c r="AO994" s="1367"/>
      <c r="AP994" s="1367"/>
      <c r="AQ994" s="136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3" t="s">
        <v>1898</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8" t="s">
        <v>108</v>
      </c>
      <c r="AH995" s="1359"/>
      <c r="AI995" s="85"/>
      <c r="AJ995" s="1360">
        <f>ROUND(IF(AND(AG995="Yes",AF998&lt;&gt;"",J999&lt;&gt;"N/A"),MIN(AF998,(0.15*AJ967)),0),0)</f>
        <v>361119</v>
      </c>
      <c r="AK995" s="1361"/>
      <c r="AL995" s="1361"/>
      <c r="AM995" s="1361"/>
      <c r="AN995" s="1361"/>
      <c r="AO995" s="1361"/>
      <c r="AP995" s="1361"/>
      <c r="AQ995" s="136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6" t="str">
        <f>IF(AG995="yes","Please Select Type and Enter Amount:","")</f>
        <v>Please Select Type and Enter Amount:</v>
      </c>
      <c r="AG996" s="1207"/>
      <c r="AH996" s="1207"/>
      <c r="AI996" s="1208"/>
      <c r="AJ996" s="1363"/>
      <c r="AK996" s="1364"/>
      <c r="AL996" s="1364"/>
      <c r="AM996" s="1364"/>
      <c r="AN996" s="1364"/>
      <c r="AO996" s="1364"/>
      <c r="AP996" s="1364"/>
      <c r="AQ996" s="136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0" t="s">
        <v>1899</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6"/>
      <c r="AG997" s="1207"/>
      <c r="AH997" s="1207"/>
      <c r="AI997" s="1208"/>
      <c r="AJ997" s="1363"/>
      <c r="AK997" s="1364"/>
      <c r="AL997" s="1364"/>
      <c r="AM997" s="1364"/>
      <c r="AN997" s="1364"/>
      <c r="AO997" s="1364"/>
      <c r="AP997" s="1364"/>
      <c r="AQ997" s="136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09">
        <v>361119</v>
      </c>
      <c r="AG998" s="1209"/>
      <c r="AH998" s="1209"/>
      <c r="AI998" s="1209"/>
      <c r="AJ998" s="1363"/>
      <c r="AK998" s="1364"/>
      <c r="AL998" s="1364"/>
      <c r="AM998" s="1364"/>
      <c r="AN998" s="1364"/>
      <c r="AO998" s="1364"/>
      <c r="AP998" s="1364"/>
      <c r="AQ998" s="136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9" t="s">
        <v>2452</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09"/>
      <c r="AG999" s="1209"/>
      <c r="AH999" s="1209"/>
      <c r="AI999" s="1209"/>
      <c r="AJ999" s="1366"/>
      <c r="AK999" s="1367"/>
      <c r="AL999" s="1367"/>
      <c r="AM999" s="1367"/>
      <c r="AN999" s="1367"/>
      <c r="AO999" s="1367"/>
      <c r="AP999" s="1367"/>
      <c r="AQ999" s="136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1" t="s">
        <v>1900</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2"/>
      <c r="AF1000" s="82"/>
      <c r="AG1000" s="1358" t="s">
        <v>108</v>
      </c>
      <c r="AH1000" s="1359"/>
      <c r="AI1000" s="85"/>
      <c r="AJ1000" s="1360">
        <f>ROUND(IF(AG1000="Yes",AF1002,0),0)</f>
        <v>944400</v>
      </c>
      <c r="AK1000" s="1361"/>
      <c r="AL1000" s="1361"/>
      <c r="AM1000" s="1361"/>
      <c r="AN1000" s="1361"/>
      <c r="AO1000" s="1361"/>
      <c r="AP1000" s="1361"/>
      <c r="AQ1000" s="136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0" t="s">
        <v>2004</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10" t="str">
        <f>IF(AG1000="yes","Please Enter Amount:","")</f>
        <v>Please Enter Amount:</v>
      </c>
      <c r="AG1001" s="1211"/>
      <c r="AH1001" s="1211"/>
      <c r="AI1001" s="1212"/>
      <c r="AJ1001" s="1363"/>
      <c r="AK1001" s="1364"/>
      <c r="AL1001" s="1364"/>
      <c r="AM1001" s="1364"/>
      <c r="AN1001" s="1364"/>
      <c r="AO1001" s="1364"/>
      <c r="AP1001" s="1364"/>
      <c r="AQ1001" s="136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09">
        <v>944400</v>
      </c>
      <c r="AG1002" s="1209"/>
      <c r="AH1002" s="1209"/>
      <c r="AI1002" s="1209"/>
      <c r="AJ1002" s="1363"/>
      <c r="AK1002" s="1364"/>
      <c r="AL1002" s="1364"/>
      <c r="AM1002" s="1364"/>
      <c r="AN1002" s="1364"/>
      <c r="AO1002" s="1364"/>
      <c r="AP1002" s="1364"/>
      <c r="AQ1002" s="136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9"/>
      <c r="E1003" s="1370"/>
      <c r="F1003" s="1370"/>
      <c r="G1003" s="1370"/>
      <c r="H1003" s="1370"/>
      <c r="I1003" s="1370"/>
      <c r="J1003" s="1370"/>
      <c r="K1003" s="1370"/>
      <c r="L1003" s="1370"/>
      <c r="M1003" s="1370"/>
      <c r="N1003" s="1370"/>
      <c r="O1003" s="1370"/>
      <c r="P1003" s="1370"/>
      <c r="Q1003" s="1370"/>
      <c r="R1003" s="1370"/>
      <c r="S1003" s="1370"/>
      <c r="T1003" s="1370"/>
      <c r="U1003" s="1370"/>
      <c r="V1003" s="1370"/>
      <c r="W1003" s="1370"/>
      <c r="X1003" s="1370"/>
      <c r="Y1003" s="1370"/>
      <c r="Z1003" s="1370"/>
      <c r="AA1003" s="1370"/>
      <c r="AB1003" s="1370"/>
      <c r="AC1003" s="1370"/>
      <c r="AD1003" s="1370"/>
      <c r="AE1003" s="1371"/>
      <c r="AF1003" s="1209"/>
      <c r="AG1003" s="1209"/>
      <c r="AH1003" s="1209"/>
      <c r="AI1003" s="1209"/>
      <c r="AJ1003" s="1366"/>
      <c r="AK1003" s="1367"/>
      <c r="AL1003" s="1367"/>
      <c r="AM1003" s="1367"/>
      <c r="AN1003" s="1367"/>
      <c r="AO1003" s="1367"/>
      <c r="AP1003" s="1367"/>
      <c r="AQ1003" s="1368"/>
      <c r="AT1003" s="43"/>
      <c r="AU1003" s="43"/>
      <c r="AV1003" s="43"/>
      <c r="AW1003" s="43"/>
      <c r="AX1003" s="38"/>
      <c r="AY1003" s="38"/>
      <c r="AZ1003" s="21"/>
      <c r="BA1003" s="21"/>
      <c r="BB1003" s="21"/>
      <c r="BC1003" s="43"/>
      <c r="BD1003" s="43"/>
    </row>
    <row r="1004" spans="1:97" ht="12.95" customHeight="1">
      <c r="A1004" s="21"/>
      <c r="B1004" s="82"/>
      <c r="C1004" s="555" t="s">
        <v>578</v>
      </c>
      <c r="D1004" s="1203" t="s">
        <v>1901</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8" t="s">
        <v>482</v>
      </c>
      <c r="AH1004" s="1359"/>
      <c r="AI1004" s="85"/>
      <c r="AJ1004" s="1360">
        <f>ROUND(IF(AG1004="yes",(AJ967*0.1),0),0)</f>
        <v>0</v>
      </c>
      <c r="AK1004" s="1361"/>
      <c r="AL1004" s="1361"/>
      <c r="AM1004" s="1361"/>
      <c r="AN1004" s="1361"/>
      <c r="AO1004" s="1361"/>
      <c r="AP1004" s="1361"/>
      <c r="AQ1004" s="1362"/>
      <c r="AT1004" s="43"/>
      <c r="AU1004" s="43"/>
      <c r="AV1004" s="43"/>
      <c r="AW1004" s="43"/>
      <c r="AX1004" s="38"/>
      <c r="AY1004" s="38"/>
      <c r="AZ1004" s="21"/>
      <c r="BA1004" s="21"/>
      <c r="BB1004" s="21"/>
      <c r="BC1004" s="43"/>
      <c r="BD1004" s="43"/>
    </row>
    <row r="1005" spans="1:97" ht="12.95" customHeight="1">
      <c r="A1005" s="21"/>
      <c r="B1005" s="79"/>
      <c r="C1005" s="556"/>
      <c r="D1005" s="1520" t="s">
        <v>1902</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3"/>
      <c r="AK1005" s="1364"/>
      <c r="AL1005" s="1364"/>
      <c r="AM1005" s="1364"/>
      <c r="AN1005" s="1364"/>
      <c r="AO1005" s="1364"/>
      <c r="AP1005" s="1364"/>
      <c r="AQ1005" s="1365"/>
      <c r="AT1005" s="43"/>
      <c r="AU1005" s="43"/>
      <c r="AV1005" s="43"/>
      <c r="AW1005" s="43"/>
      <c r="AX1005" s="38"/>
      <c r="AY1005" s="38"/>
      <c r="AZ1005" s="21"/>
      <c r="BA1005" s="21"/>
      <c r="BB1005" s="21"/>
      <c r="BC1005" s="43"/>
      <c r="BD1005" s="43"/>
    </row>
    <row r="1006" spans="1:97" ht="12.95" customHeight="1">
      <c r="A1006" s="554"/>
      <c r="B1006" s="80"/>
      <c r="C1006" s="556"/>
      <c r="D1006" s="1369"/>
      <c r="E1006" s="1370"/>
      <c r="F1006" s="1370"/>
      <c r="G1006" s="1370"/>
      <c r="H1006" s="1370"/>
      <c r="I1006" s="1370"/>
      <c r="J1006" s="1370"/>
      <c r="K1006" s="1370"/>
      <c r="L1006" s="1370"/>
      <c r="M1006" s="1370"/>
      <c r="N1006" s="1370"/>
      <c r="O1006" s="1370"/>
      <c r="P1006" s="1370"/>
      <c r="Q1006" s="1370"/>
      <c r="R1006" s="1370"/>
      <c r="S1006" s="1370"/>
      <c r="T1006" s="1370"/>
      <c r="U1006" s="1370"/>
      <c r="V1006" s="1370"/>
      <c r="W1006" s="1370"/>
      <c r="X1006" s="1370"/>
      <c r="Y1006" s="1370"/>
      <c r="Z1006" s="1370"/>
      <c r="AA1006" s="1370"/>
      <c r="AB1006" s="1370"/>
      <c r="AC1006" s="1370"/>
      <c r="AD1006" s="1370"/>
      <c r="AE1006" s="1371"/>
      <c r="AF1006" s="79"/>
      <c r="AG1006" s="21"/>
      <c r="AH1006" s="21"/>
      <c r="AI1006" s="83"/>
      <c r="AJ1006" s="1366"/>
      <c r="AK1006" s="1367"/>
      <c r="AL1006" s="1367"/>
      <c r="AM1006" s="1367"/>
      <c r="AN1006" s="1367"/>
      <c r="AO1006" s="1367"/>
      <c r="AP1006" s="1367"/>
      <c r="AQ1006" s="1368"/>
      <c r="AT1006" s="43"/>
      <c r="AU1006" s="43"/>
      <c r="AV1006" s="43"/>
      <c r="AW1006" s="43"/>
      <c r="AX1006" s="38"/>
      <c r="AY1006" s="38"/>
      <c r="AZ1006" s="21"/>
      <c r="BA1006" s="21"/>
      <c r="BB1006" s="21"/>
      <c r="BC1006" s="43"/>
      <c r="BD1006" s="43"/>
    </row>
    <row r="1007" spans="1:97" ht="12.95" customHeight="1">
      <c r="A1007" s="554"/>
      <c r="B1007" s="79"/>
      <c r="C1007" s="555" t="s">
        <v>581</v>
      </c>
      <c r="D1007" s="1381" t="s">
        <v>2005</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2"/>
      <c r="AF1007" s="82"/>
      <c r="AG1007" s="1358" t="s">
        <v>482</v>
      </c>
      <c r="AH1007" s="1359"/>
      <c r="AI1007" s="85"/>
      <c r="AJ1007" s="1360">
        <f>ROUND(IF(AG1007="yes",(AJ967*0.15),0),0)</f>
        <v>0</v>
      </c>
      <c r="AK1007" s="1361"/>
      <c r="AL1007" s="1361"/>
      <c r="AM1007" s="1361"/>
      <c r="AN1007" s="1361"/>
      <c r="AO1007" s="1361"/>
      <c r="AP1007" s="1361"/>
      <c r="AQ1007" s="1362"/>
      <c r="AT1007" s="43"/>
      <c r="AU1007" s="43"/>
      <c r="AV1007" s="43"/>
      <c r="AW1007" s="43"/>
      <c r="AX1007" s="43"/>
      <c r="AY1007" s="43"/>
      <c r="AZ1007" s="43"/>
      <c r="BA1007" s="43"/>
      <c r="BB1007" s="43"/>
      <c r="BC1007" s="43"/>
      <c r="BD1007" s="43"/>
    </row>
    <row r="1008" spans="1:97" ht="12.95" customHeight="1">
      <c r="A1008" s="554"/>
      <c r="B1008" s="79"/>
      <c r="C1008" s="556"/>
      <c r="D1008" s="1528" t="s">
        <v>2006</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29"/>
      <c r="AF1008" s="871"/>
      <c r="AG1008" s="872"/>
      <c r="AH1008" s="872"/>
      <c r="AI1008" s="873"/>
      <c r="AJ1008" s="1363"/>
      <c r="AK1008" s="1364"/>
      <c r="AL1008" s="1364"/>
      <c r="AM1008" s="1364"/>
      <c r="AN1008" s="1364"/>
      <c r="AO1008" s="1364"/>
      <c r="AP1008" s="1364"/>
      <c r="AQ1008" s="136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8"/>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29"/>
      <c r="AF1009" s="871"/>
      <c r="AG1009" s="872"/>
      <c r="AH1009" s="872"/>
      <c r="AI1009" s="873"/>
      <c r="AJ1009" s="1363"/>
      <c r="AK1009" s="1364"/>
      <c r="AL1009" s="1364"/>
      <c r="AM1009" s="1364"/>
      <c r="AN1009" s="1364"/>
      <c r="AO1009" s="1364"/>
      <c r="AP1009" s="1364"/>
      <c r="AQ1009" s="136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6"/>
      <c r="AK1010" s="1367"/>
      <c r="AL1010" s="1367"/>
      <c r="AM1010" s="1367"/>
      <c r="AN1010" s="1367"/>
      <c r="AO1010" s="1367"/>
      <c r="AP1010" s="1367"/>
      <c r="AQ1010" s="136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3" t="s">
        <v>2007</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0" t="s">
        <v>482</v>
      </c>
      <c r="AH1011" s="1541"/>
      <c r="AI1011" s="83"/>
      <c r="AJ1011" s="1360">
        <f>ROUND(IF(AG1011="yes",(AJ967*0.1),0),0)</f>
        <v>0</v>
      </c>
      <c r="AK1011" s="1361"/>
      <c r="AL1011" s="1361"/>
      <c r="AM1011" s="1361"/>
      <c r="AN1011" s="1361"/>
      <c r="AO1011" s="1361"/>
      <c r="AP1011" s="1361"/>
      <c r="AQ1011" s="136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8" t="s">
        <v>2008</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29"/>
      <c r="AF1012" s="79"/>
      <c r="AG1012" s="21"/>
      <c r="AH1012" s="21"/>
      <c r="AI1012" s="83"/>
      <c r="AJ1012" s="1363"/>
      <c r="AK1012" s="1364"/>
      <c r="AL1012" s="1364"/>
      <c r="AM1012" s="1364"/>
      <c r="AN1012" s="1364"/>
      <c r="AO1012" s="1364"/>
      <c r="AP1012" s="1364"/>
      <c r="AQ1012" s="136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8"/>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29"/>
      <c r="AF1013" s="79"/>
      <c r="AG1013" s="21"/>
      <c r="AH1013" s="21"/>
      <c r="AI1013" s="83"/>
      <c r="AJ1013" s="1363"/>
      <c r="AK1013" s="1364"/>
      <c r="AL1013" s="1364"/>
      <c r="AM1013" s="1364"/>
      <c r="AN1013" s="1364"/>
      <c r="AO1013" s="1364"/>
      <c r="AP1013" s="1364"/>
      <c r="AQ1013" s="136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8"/>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29"/>
      <c r="AF1014" s="79"/>
      <c r="AG1014" s="21"/>
      <c r="AH1014" s="21"/>
      <c r="AI1014" s="83"/>
      <c r="AJ1014" s="1363"/>
      <c r="AK1014" s="1364"/>
      <c r="AL1014" s="1364"/>
      <c r="AM1014" s="1364"/>
      <c r="AN1014" s="1364"/>
      <c r="AO1014" s="1364"/>
      <c r="AP1014" s="1364"/>
      <c r="AQ1014" s="136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3"/>
      <c r="AK1015" s="1364"/>
      <c r="AL1015" s="1364"/>
      <c r="AM1015" s="1364"/>
      <c r="AN1015" s="1364"/>
      <c r="AO1015" s="1364"/>
      <c r="AP1015" s="1364"/>
      <c r="AQ1015" s="136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1" t="s">
        <v>1903</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2"/>
      <c r="AF1016" s="82"/>
      <c r="AG1016" s="1358" t="s">
        <v>482</v>
      </c>
      <c r="AH1016" s="1359"/>
      <c r="AI1016" s="85"/>
      <c r="AJ1016" s="1360">
        <f>ROUND(IF(AG1016="yes",(AJ967*0.1),0),0)</f>
        <v>0</v>
      </c>
      <c r="AK1016" s="1361"/>
      <c r="AL1016" s="1361"/>
      <c r="AM1016" s="1361"/>
      <c r="AN1016" s="1361"/>
      <c r="AO1016" s="1361"/>
      <c r="AP1016" s="1361"/>
      <c r="AQ1016" s="136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0" t="s">
        <v>2217</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3"/>
      <c r="AK1017" s="1364"/>
      <c r="AL1017" s="1364"/>
      <c r="AM1017" s="1364"/>
      <c r="AN1017" s="1364"/>
      <c r="AO1017" s="1364"/>
      <c r="AP1017" s="1364"/>
      <c r="AQ1017" s="136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3"/>
      <c r="AK1018" s="1364"/>
      <c r="AL1018" s="1364"/>
      <c r="AM1018" s="1364"/>
      <c r="AN1018" s="1364"/>
      <c r="AO1018" s="1364"/>
      <c r="AP1018" s="1364"/>
      <c r="AQ1018" s="136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9"/>
      <c r="E1019" s="1370"/>
      <c r="F1019" s="1370"/>
      <c r="G1019" s="1370"/>
      <c r="H1019" s="1370"/>
      <c r="I1019" s="1370"/>
      <c r="J1019" s="1370"/>
      <c r="K1019" s="1370"/>
      <c r="L1019" s="1370"/>
      <c r="M1019" s="1370"/>
      <c r="N1019" s="1370"/>
      <c r="O1019" s="1370"/>
      <c r="P1019" s="1370"/>
      <c r="Q1019" s="1370"/>
      <c r="R1019" s="1370"/>
      <c r="S1019" s="1370"/>
      <c r="T1019" s="1370"/>
      <c r="U1019" s="1370"/>
      <c r="V1019" s="1370"/>
      <c r="W1019" s="1370"/>
      <c r="X1019" s="1370"/>
      <c r="Y1019" s="1370"/>
      <c r="Z1019" s="1370"/>
      <c r="AA1019" s="1370"/>
      <c r="AB1019" s="1370"/>
      <c r="AC1019" s="1370"/>
      <c r="AD1019" s="1370"/>
      <c r="AE1019" s="1371"/>
      <c r="AF1019" s="79"/>
      <c r="AG1019" s="21"/>
      <c r="AH1019" s="21"/>
      <c r="AI1019" s="83"/>
      <c r="AJ1019" s="1366"/>
      <c r="AK1019" s="1367"/>
      <c r="AL1019" s="1367"/>
      <c r="AM1019" s="1367"/>
      <c r="AN1019" s="1367"/>
      <c r="AO1019" s="1367"/>
      <c r="AP1019" s="1367"/>
      <c r="AQ1019" s="136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16660181.4</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0">
        <f>'Sources and Uses Budget'!S106+'Sources and Uses Budget'!T106</f>
        <v>20581468</v>
      </c>
      <c r="Y1024" s="1450"/>
      <c r="Z1024" s="1450"/>
      <c r="AA1024" s="1450"/>
      <c r="AB1024" s="1450"/>
      <c r="AC1024" s="145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6">
        <f>IFERROR(X1024/AJ1020,"")</f>
        <v>1.2353687817588828</v>
      </c>
      <c r="Y1025" s="1447"/>
      <c r="Z1025" s="1447"/>
      <c r="AA1025" s="1447"/>
      <c r="AB1025" s="1447"/>
      <c r="AC1025" s="144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9"/>
      <c r="C1031" s="1449"/>
      <c r="D1031" s="1449"/>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49"/>
      <c r="AF1031" s="1449"/>
      <c r="AG1031" s="1449"/>
      <c r="AH1031" s="1449"/>
      <c r="AI1031" s="1449"/>
      <c r="AJ1031" s="1449"/>
      <c r="AK1031" s="144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2" t="s">
        <v>989</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6" t="s">
        <v>108</v>
      </c>
      <c r="B1036" s="1116"/>
      <c r="C1036" s="12">
        <v>1</v>
      </c>
      <c r="D1036" s="979" t="s">
        <v>1519</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6" t="s">
        <v>124</v>
      </c>
      <c r="B1042" s="1116"/>
      <c r="C1042" s="12">
        <v>2</v>
      </c>
      <c r="D1042" s="973" t="s">
        <v>1520</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6" t="s">
        <v>124</v>
      </c>
      <c r="B1048" s="1116"/>
      <c r="C1048" s="12">
        <v>3</v>
      </c>
      <c r="D1048" s="973" t="s">
        <v>2216</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6" t="s">
        <v>124</v>
      </c>
      <c r="B1055" s="1116"/>
      <c r="C1055" s="12">
        <v>4</v>
      </c>
      <c r="D1055" s="973" t="s">
        <v>2048</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6" t="s">
        <v>124</v>
      </c>
      <c r="B1059" s="1116"/>
      <c r="C1059" s="12">
        <v>5</v>
      </c>
      <c r="D1059" s="973" t="s">
        <v>1722</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6" t="s">
        <v>124</v>
      </c>
      <c r="B1063" s="1116"/>
      <c r="C1063" s="12">
        <v>6</v>
      </c>
      <c r="D1063" s="979" t="s">
        <v>1521</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6" t="s">
        <v>108</v>
      </c>
      <c r="B1066" s="1116"/>
      <c r="C1066" s="350">
        <v>7</v>
      </c>
      <c r="D1066" s="979" t="s">
        <v>1523</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6" t="s">
        <v>108</v>
      </c>
      <c r="B1071" s="1116"/>
      <c r="C1071" s="350">
        <v>8</v>
      </c>
      <c r="D1071" s="973" t="s">
        <v>2020</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5"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5"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5"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5" customHeight="1">
      <c r="A1075" s="1237" t="s">
        <v>124</v>
      </c>
      <c r="B1075" s="1237"/>
      <c r="C1075" s="350">
        <v>9</v>
      </c>
      <c r="D1075" s="973" t="s">
        <v>1522</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5"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5"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5" workbookViewId="0">
      <selection activeCell="S86" sqref="S86"/>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797</v>
      </c>
      <c r="C2" s="232" t="s">
        <v>507</v>
      </c>
      <c r="D2" s="232" t="s">
        <v>506</v>
      </c>
      <c r="E2" s="232" t="s">
        <v>798</v>
      </c>
      <c r="F2" s="233" t="str">
        <f>Application!B621&amp;Application!C621</f>
        <v>1)Citibank N.A.</v>
      </c>
      <c r="G2" s="233" t="str">
        <f>Application!B622&amp;Application!C622</f>
        <v>2)Sacramento Housing and Redevelopment Agency</v>
      </c>
      <c r="H2" s="233" t="str">
        <f>Application!B623&amp;Application!C623</f>
        <v>3)City of Rancho Cordova Land Loan</v>
      </c>
      <c r="I2" s="233" t="str">
        <f>Application!B624&amp;Application!C624</f>
        <v xml:space="preserve">4)City of Rancho Cordova </v>
      </c>
      <c r="J2" s="233" t="str">
        <f>Application!B625&amp;Application!C625</f>
        <v>5)Rancho Cordova impact fee note</v>
      </c>
      <c r="K2" s="233" t="str">
        <f>Application!B626&amp;Application!C626</f>
        <v>6)Ikaika Ohana</v>
      </c>
      <c r="L2" s="233" t="str">
        <f>Application!B627&amp;Application!C627</f>
        <v>7)A0575 Rancho Cordova Dev LLC</v>
      </c>
      <c r="M2" s="233" t="str">
        <f>Application!B628&amp;Application!C628</f>
        <v>8)A0575 Rancho Cordova Dev LLC</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660000</v>
      </c>
      <c r="C4" s="241">
        <v>660000</v>
      </c>
      <c r="D4" s="241"/>
      <c r="E4" s="241"/>
      <c r="F4" s="241"/>
      <c r="G4" s="241"/>
      <c r="H4" s="241">
        <v>660000</v>
      </c>
      <c r="I4" s="241"/>
      <c r="J4" s="241"/>
      <c r="K4" s="241"/>
      <c r="L4" s="241"/>
      <c r="M4" s="241"/>
      <c r="N4" s="241"/>
      <c r="O4" s="241"/>
      <c r="P4" s="241"/>
      <c r="Q4" s="241"/>
      <c r="R4" s="241">
        <f>C4</f>
        <v>660000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19800</v>
      </c>
      <c r="C6" s="241">
        <v>19800</v>
      </c>
      <c r="D6" s="241"/>
      <c r="E6" s="241"/>
      <c r="F6" s="241">
        <v>19800</v>
      </c>
      <c r="G6" s="241"/>
      <c r="H6" s="241"/>
      <c r="I6" s="241"/>
      <c r="J6" s="241"/>
      <c r="K6" s="241"/>
      <c r="L6" s="241"/>
      <c r="M6" s="241"/>
      <c r="N6" s="241"/>
      <c r="O6" s="241"/>
      <c r="P6" s="241"/>
      <c r="Q6" s="241"/>
      <c r="R6" s="241">
        <f>SUM(E6:Q6)</f>
        <v>19800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679800</v>
      </c>
      <c r="C8" s="240">
        <f t="shared" ref="C8:R8" si="0">SUM(C4:C7)</f>
        <v>679800</v>
      </c>
      <c r="D8" s="240">
        <f t="shared" si="0"/>
        <v>0</v>
      </c>
      <c r="E8" s="240">
        <f t="shared" si="0"/>
        <v>0</v>
      </c>
      <c r="F8" s="240">
        <f t="shared" si="0"/>
        <v>19800</v>
      </c>
      <c r="G8" s="240">
        <f t="shared" si="0"/>
        <v>0</v>
      </c>
      <c r="H8" s="240">
        <f t="shared" si="0"/>
        <v>660000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679800</v>
      </c>
      <c r="S8" s="242"/>
      <c r="T8" s="242"/>
      <c r="U8" s="237"/>
    </row>
    <row r="9" spans="1:21" s="238" customFormat="1">
      <c r="A9" s="239" t="s">
        <v>1721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679800</v>
      </c>
      <c r="C12" s="240">
        <f t="shared" si="2"/>
        <v>679800</v>
      </c>
      <c r="D12" s="240">
        <f t="shared" si="2"/>
        <v>0</v>
      </c>
      <c r="E12" s="240">
        <f t="shared" si="2"/>
        <v>0</v>
      </c>
      <c r="F12" s="240">
        <f t="shared" si="2"/>
        <v>19800</v>
      </c>
      <c r="G12" s="240">
        <f t="shared" si="2"/>
        <v>0</v>
      </c>
      <c r="H12" s="240">
        <f t="shared" si="2"/>
        <v>660000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679800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3311966</v>
      </c>
      <c r="C29" s="241">
        <v>3311966</v>
      </c>
      <c r="D29" s="241"/>
      <c r="E29" s="241">
        <v>3311966</v>
      </c>
      <c r="F29" s="241"/>
      <c r="G29" s="241"/>
      <c r="H29" s="241"/>
      <c r="I29" s="241"/>
      <c r="J29" s="241"/>
      <c r="K29" s="241"/>
      <c r="L29" s="241"/>
      <c r="M29" s="241"/>
      <c r="N29" s="241"/>
      <c r="O29" s="241"/>
      <c r="P29" s="241"/>
      <c r="Q29" s="241"/>
      <c r="R29" s="241">
        <f t="shared" ref="R29:R37" si="7">SUM(E29:Q29)</f>
        <v>3311966</v>
      </c>
      <c r="S29" s="241">
        <v>3161966</v>
      </c>
      <c r="T29" s="241"/>
      <c r="U29" s="237"/>
    </row>
    <row r="30" spans="1:21" s="238" customFormat="1">
      <c r="A30" s="239" t="s">
        <v>911</v>
      </c>
      <c r="B30" s="240">
        <f t="shared" si="6"/>
        <v>8442490</v>
      </c>
      <c r="C30" s="241">
        <v>8442490</v>
      </c>
      <c r="D30" s="241"/>
      <c r="E30" s="241">
        <v>3365290</v>
      </c>
      <c r="F30" s="241">
        <v>425200</v>
      </c>
      <c r="G30" s="241">
        <v>2000000</v>
      </c>
      <c r="H30" s="241"/>
      <c r="I30" s="241">
        <v>692000</v>
      </c>
      <c r="J30" s="241"/>
      <c r="K30" s="241">
        <v>1960000</v>
      </c>
      <c r="L30" s="241"/>
      <c r="M30" s="241"/>
      <c r="N30" s="241"/>
      <c r="O30" s="241"/>
      <c r="P30" s="241"/>
      <c r="Q30" s="241"/>
      <c r="R30" s="241">
        <f t="shared" si="7"/>
        <v>8442490</v>
      </c>
      <c r="S30" s="241">
        <v>8442490</v>
      </c>
      <c r="T30" s="241"/>
      <c r="U30" s="237"/>
    </row>
    <row r="31" spans="1:21" s="238" customFormat="1">
      <c r="A31" s="239" t="s">
        <v>912</v>
      </c>
      <c r="B31" s="240">
        <f t="shared" si="6"/>
        <v>704756</v>
      </c>
      <c r="C31" s="241">
        <v>704756</v>
      </c>
      <c r="D31" s="241"/>
      <c r="E31" s="241">
        <v>704756</v>
      </c>
      <c r="F31" s="241"/>
      <c r="G31" s="241"/>
      <c r="H31" s="241"/>
      <c r="I31" s="241"/>
      <c r="J31" s="241"/>
      <c r="K31" s="241"/>
      <c r="L31" s="241"/>
      <c r="M31" s="241"/>
      <c r="N31" s="241"/>
      <c r="O31" s="241"/>
      <c r="P31" s="241"/>
      <c r="Q31" s="241"/>
      <c r="R31" s="241">
        <f t="shared" si="7"/>
        <v>704756</v>
      </c>
      <c r="S31" s="241">
        <v>704756</v>
      </c>
      <c r="T31" s="241"/>
      <c r="U31" s="237"/>
    </row>
    <row r="32" spans="1:21" s="238" customFormat="1">
      <c r="A32" s="239" t="s">
        <v>913</v>
      </c>
      <c r="B32" s="240">
        <f t="shared" si="6"/>
        <v>466237</v>
      </c>
      <c r="C32" s="241">
        <v>466237</v>
      </c>
      <c r="D32" s="241"/>
      <c r="E32" s="241">
        <v>466237</v>
      </c>
      <c r="F32" s="241"/>
      <c r="G32" s="241"/>
      <c r="H32" s="241"/>
      <c r="I32" s="241"/>
      <c r="J32" s="241"/>
      <c r="K32" s="241"/>
      <c r="L32" s="241"/>
      <c r="M32" s="241"/>
      <c r="N32" s="241"/>
      <c r="O32" s="241"/>
      <c r="P32" s="241"/>
      <c r="Q32" s="241"/>
      <c r="R32" s="241">
        <f t="shared" si="7"/>
        <v>466237</v>
      </c>
      <c r="S32" s="241">
        <v>466237</v>
      </c>
      <c r="T32" s="241"/>
      <c r="U32" s="237"/>
    </row>
    <row r="33" spans="1:21" s="238" customFormat="1">
      <c r="A33" s="239" t="s">
        <v>914</v>
      </c>
      <c r="B33" s="240">
        <f t="shared" si="6"/>
        <v>470178</v>
      </c>
      <c r="C33" s="241">
        <v>470178</v>
      </c>
      <c r="D33" s="241"/>
      <c r="E33" s="241">
        <v>470178</v>
      </c>
      <c r="F33" s="241"/>
      <c r="G33" s="241"/>
      <c r="H33" s="241"/>
      <c r="I33" s="241"/>
      <c r="J33" s="241"/>
      <c r="K33" s="241"/>
      <c r="L33" s="241"/>
      <c r="M33" s="241"/>
      <c r="N33" s="241"/>
      <c r="O33" s="241"/>
      <c r="P33" s="241"/>
      <c r="Q33" s="241"/>
      <c r="R33" s="241">
        <f t="shared" si="7"/>
        <v>470178</v>
      </c>
      <c r="S33" s="241">
        <v>470178</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176317</v>
      </c>
      <c r="C35" s="241">
        <v>176317</v>
      </c>
      <c r="D35" s="241"/>
      <c r="E35" s="241">
        <v>176317</v>
      </c>
      <c r="F35" s="241"/>
      <c r="G35" s="241"/>
      <c r="H35" s="241"/>
      <c r="I35" s="241"/>
      <c r="J35" s="241"/>
      <c r="K35" s="241"/>
      <c r="L35" s="241"/>
      <c r="M35" s="241"/>
      <c r="N35" s="241"/>
      <c r="O35" s="241"/>
      <c r="P35" s="241"/>
      <c r="Q35" s="241"/>
      <c r="R35" s="241">
        <f t="shared" si="7"/>
        <v>176317</v>
      </c>
      <c r="S35" s="241">
        <v>176317</v>
      </c>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2495</v>
      </c>
      <c r="B37" s="240">
        <f t="shared" si="6"/>
        <v>243317</v>
      </c>
      <c r="C37" s="241">
        <v>243317</v>
      </c>
      <c r="D37" s="241"/>
      <c r="E37" s="241">
        <v>243317</v>
      </c>
      <c r="F37" s="241"/>
      <c r="G37" s="241"/>
      <c r="H37" s="241"/>
      <c r="I37" s="241"/>
      <c r="J37" s="241"/>
      <c r="K37" s="241"/>
      <c r="L37" s="241"/>
      <c r="M37" s="241"/>
      <c r="N37" s="241"/>
      <c r="O37" s="241"/>
      <c r="P37" s="241"/>
      <c r="Q37" s="241"/>
      <c r="R37" s="241">
        <f t="shared" si="7"/>
        <v>243317</v>
      </c>
      <c r="S37" s="241">
        <v>243317</v>
      </c>
      <c r="T37" s="241"/>
      <c r="U37" s="237"/>
    </row>
    <row r="38" spans="1:21" s="238" customFormat="1">
      <c r="A38" s="243" t="s">
        <v>919</v>
      </c>
      <c r="B38" s="240">
        <f t="shared" si="6"/>
        <v>13815261</v>
      </c>
      <c r="C38" s="240">
        <f>SUM(C29:C37)</f>
        <v>13815261</v>
      </c>
      <c r="D38" s="240">
        <f>SUM(D29:D37)</f>
        <v>0</v>
      </c>
      <c r="E38" s="240">
        <f>SUM(E29:E37)</f>
        <v>8738061</v>
      </c>
      <c r="F38" s="240">
        <f t="shared" ref="F38:T38" si="8">SUM(F29:F37)</f>
        <v>425200</v>
      </c>
      <c r="G38" s="240">
        <f t="shared" si="8"/>
        <v>2000000</v>
      </c>
      <c r="H38" s="240">
        <f t="shared" si="8"/>
        <v>0</v>
      </c>
      <c r="I38" s="240">
        <f t="shared" si="8"/>
        <v>692000</v>
      </c>
      <c r="J38" s="240">
        <f t="shared" si="8"/>
        <v>0</v>
      </c>
      <c r="K38" s="240">
        <f t="shared" si="8"/>
        <v>1960000</v>
      </c>
      <c r="L38" s="240">
        <f t="shared" si="8"/>
        <v>0</v>
      </c>
      <c r="M38" s="240">
        <f t="shared" si="8"/>
        <v>0</v>
      </c>
      <c r="N38" s="240">
        <f t="shared" si="8"/>
        <v>0</v>
      </c>
      <c r="O38" s="240">
        <f t="shared" si="8"/>
        <v>0</v>
      </c>
      <c r="P38" s="240">
        <f t="shared" si="8"/>
        <v>0</v>
      </c>
      <c r="Q38" s="240">
        <f t="shared" si="8"/>
        <v>0</v>
      </c>
      <c r="R38" s="240">
        <f t="shared" si="8"/>
        <v>13815261</v>
      </c>
      <c r="S38" s="244">
        <f t="shared" si="8"/>
        <v>13665261</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532000</v>
      </c>
      <c r="C40" s="241">
        <v>532000</v>
      </c>
      <c r="D40" s="241"/>
      <c r="E40" s="241">
        <v>532000</v>
      </c>
      <c r="F40" s="241"/>
      <c r="G40" s="241"/>
      <c r="H40" s="241"/>
      <c r="I40" s="241"/>
      <c r="J40" s="241"/>
      <c r="K40" s="241"/>
      <c r="L40" s="241"/>
      <c r="M40" s="241"/>
      <c r="N40" s="241"/>
      <c r="O40" s="241"/>
      <c r="P40" s="241"/>
      <c r="Q40" s="241"/>
      <c r="R40" s="241">
        <f>SUM(E40:Q40)</f>
        <v>532000</v>
      </c>
      <c r="S40" s="241">
        <v>532000</v>
      </c>
      <c r="T40" s="241"/>
      <c r="U40" s="237"/>
    </row>
    <row r="41" spans="1:21" s="238" customFormat="1">
      <c r="A41" s="239" t="s">
        <v>922</v>
      </c>
      <c r="B41" s="240">
        <f>SUM(C41+D41)</f>
        <v>224000</v>
      </c>
      <c r="C41" s="241">
        <v>224000</v>
      </c>
      <c r="D41" s="241"/>
      <c r="E41" s="241">
        <v>224000</v>
      </c>
      <c r="F41" s="241"/>
      <c r="G41" s="241"/>
      <c r="H41" s="241"/>
      <c r="I41" s="241"/>
      <c r="J41" s="241"/>
      <c r="K41" s="241"/>
      <c r="L41" s="241"/>
      <c r="M41" s="241"/>
      <c r="N41" s="241"/>
      <c r="O41" s="241"/>
      <c r="P41" s="241"/>
      <c r="Q41" s="241"/>
      <c r="R41" s="241">
        <f>SUM(E41:Q41)</f>
        <v>224000</v>
      </c>
      <c r="S41" s="241">
        <v>224000</v>
      </c>
      <c r="T41" s="241"/>
      <c r="U41" s="237"/>
    </row>
    <row r="42" spans="1:21" s="238" customFormat="1">
      <c r="A42" s="243" t="s">
        <v>923</v>
      </c>
      <c r="B42" s="240">
        <f>SUM(C42:D42)</f>
        <v>756000</v>
      </c>
      <c r="C42" s="240">
        <f>SUM(C39:C41)</f>
        <v>756000</v>
      </c>
      <c r="D42" s="240">
        <f>SUM(D39:D41)</f>
        <v>0</v>
      </c>
      <c r="E42" s="240">
        <f t="shared" ref="E42:T42" si="9">SUM(E40:E41)</f>
        <v>756000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756000</v>
      </c>
      <c r="S42" s="244">
        <f t="shared" si="9"/>
        <v>756000</v>
      </c>
      <c r="T42" s="244">
        <f t="shared" si="9"/>
        <v>0</v>
      </c>
      <c r="U42" s="237"/>
    </row>
    <row r="43" spans="1:21" s="238" customFormat="1">
      <c r="A43" s="243" t="s">
        <v>924</v>
      </c>
      <c r="B43" s="240">
        <f>SUM(C43:D43)</f>
        <v>162400</v>
      </c>
      <c r="C43" s="241">
        <v>162400</v>
      </c>
      <c r="D43" s="241"/>
      <c r="E43" s="241">
        <v>162400</v>
      </c>
      <c r="F43" s="241">
        <v>0</v>
      </c>
      <c r="G43" s="241"/>
      <c r="H43" s="241"/>
      <c r="I43" s="241"/>
      <c r="J43" s="241"/>
      <c r="K43" s="241"/>
      <c r="L43" s="241"/>
      <c r="M43" s="241"/>
      <c r="N43" s="241"/>
      <c r="O43" s="241"/>
      <c r="P43" s="241"/>
      <c r="Q43" s="241"/>
      <c r="R43" s="241">
        <f>SUM(E43:Q43)</f>
        <v>162400</v>
      </c>
      <c r="S43" s="241">
        <v>162400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992000</v>
      </c>
      <c r="C45" s="241">
        <v>992000</v>
      </c>
      <c r="D45" s="241"/>
      <c r="E45" s="241">
        <v>966291</v>
      </c>
      <c r="F45" s="241"/>
      <c r="G45" s="241"/>
      <c r="H45" s="241"/>
      <c r="I45" s="241"/>
      <c r="J45" s="241"/>
      <c r="K45" s="241"/>
      <c r="L45" s="241"/>
      <c r="M45" s="241">
        <v>25709</v>
      </c>
      <c r="N45" s="241"/>
      <c r="O45" s="241"/>
      <c r="P45" s="241"/>
      <c r="Q45" s="241"/>
      <c r="R45" s="241">
        <f t="shared" ref="R45:R52" si="11">SUM(E45:Q45)</f>
        <v>992000</v>
      </c>
      <c r="S45" s="241">
        <v>800000</v>
      </c>
      <c r="T45" s="241"/>
      <c r="U45" s="237"/>
    </row>
    <row r="46" spans="1:21" s="238" customFormat="1">
      <c r="A46" s="239" t="s">
        <v>927</v>
      </c>
      <c r="B46" s="240">
        <f t="shared" si="10"/>
        <v>131000</v>
      </c>
      <c r="C46" s="241">
        <v>131000</v>
      </c>
      <c r="D46" s="241"/>
      <c r="E46" s="241">
        <v>131000</v>
      </c>
      <c r="F46" s="241"/>
      <c r="G46" s="241"/>
      <c r="H46" s="241"/>
      <c r="I46" s="241"/>
      <c r="J46" s="241"/>
      <c r="K46" s="241"/>
      <c r="L46" s="241"/>
      <c r="M46" s="241"/>
      <c r="N46" s="241"/>
      <c r="O46" s="241"/>
      <c r="P46" s="241"/>
      <c r="Q46" s="241"/>
      <c r="R46" s="241">
        <f t="shared" si="11"/>
        <v>131000</v>
      </c>
      <c r="S46" s="241">
        <v>131000</v>
      </c>
      <c r="T46" s="241"/>
      <c r="U46" s="237"/>
    </row>
    <row r="47" spans="1:21" s="238" customFormat="1" ht="12" customHeight="1">
      <c r="A47" s="239" t="s">
        <v>928</v>
      </c>
      <c r="B47" s="240">
        <f t="shared" si="10"/>
        <v>489080</v>
      </c>
      <c r="C47" s="241">
        <v>489080</v>
      </c>
      <c r="D47" s="241"/>
      <c r="E47" s="241">
        <v>489080</v>
      </c>
      <c r="F47" s="241"/>
      <c r="G47" s="241"/>
      <c r="H47" s="241"/>
      <c r="I47" s="241"/>
      <c r="J47" s="241"/>
      <c r="K47" s="241"/>
      <c r="L47" s="241"/>
      <c r="M47" s="241"/>
      <c r="N47" s="241"/>
      <c r="O47" s="241"/>
      <c r="P47" s="241"/>
      <c r="Q47" s="241"/>
      <c r="R47" s="241">
        <f t="shared" si="11"/>
        <v>489080</v>
      </c>
      <c r="S47" s="241">
        <v>489080</v>
      </c>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26200</v>
      </c>
      <c r="C49" s="241">
        <v>26200</v>
      </c>
      <c r="D49" s="241"/>
      <c r="E49" s="241">
        <v>26200</v>
      </c>
      <c r="F49" s="241"/>
      <c r="G49" s="241"/>
      <c r="H49" s="241"/>
      <c r="I49" s="241"/>
      <c r="J49" s="241"/>
      <c r="K49" s="241"/>
      <c r="L49" s="241"/>
      <c r="M49" s="241"/>
      <c r="N49" s="241"/>
      <c r="O49" s="241"/>
      <c r="P49" s="241"/>
      <c r="Q49" s="241"/>
      <c r="R49" s="241">
        <f t="shared" si="11"/>
        <v>26200</v>
      </c>
      <c r="S49" s="241">
        <v>26200</v>
      </c>
      <c r="T49" s="241"/>
      <c r="U49" s="237"/>
    </row>
    <row r="50" spans="1:21" s="238" customFormat="1">
      <c r="A50" s="239" t="s">
        <v>930</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931</v>
      </c>
      <c r="B51" s="240">
        <f t="shared" si="10"/>
        <v>448996</v>
      </c>
      <c r="C51" s="241">
        <v>448996</v>
      </c>
      <c r="D51" s="241"/>
      <c r="E51" s="241">
        <v>448996</v>
      </c>
      <c r="F51" s="241"/>
      <c r="G51" s="241"/>
      <c r="H51" s="241"/>
      <c r="I51" s="241"/>
      <c r="J51" s="241"/>
      <c r="K51" s="241"/>
      <c r="L51" s="241"/>
      <c r="M51" s="241"/>
      <c r="N51" s="241"/>
      <c r="O51" s="241"/>
      <c r="P51" s="241"/>
      <c r="Q51" s="241"/>
      <c r="R51" s="241">
        <f t="shared" si="11"/>
        <v>448996</v>
      </c>
      <c r="S51" s="241">
        <v>363221</v>
      </c>
      <c r="T51" s="241"/>
      <c r="U51" s="237"/>
    </row>
    <row r="52" spans="1:21" s="238" customFormat="1">
      <c r="A52" s="246" t="s">
        <v>2496</v>
      </c>
      <c r="B52" s="240">
        <f t="shared" si="10"/>
        <v>124450</v>
      </c>
      <c r="C52" s="241">
        <v>124450</v>
      </c>
      <c r="D52" s="241"/>
      <c r="E52" s="241">
        <v>124450</v>
      </c>
      <c r="F52" s="241"/>
      <c r="G52" s="241"/>
      <c r="H52" s="241"/>
      <c r="I52" s="241"/>
      <c r="J52" s="241"/>
      <c r="K52" s="241"/>
      <c r="L52" s="241"/>
      <c r="M52" s="241"/>
      <c r="N52" s="241"/>
      <c r="O52" s="241"/>
      <c r="P52" s="241"/>
      <c r="Q52" s="241"/>
      <c r="R52" s="241">
        <f t="shared" si="11"/>
        <v>124450</v>
      </c>
      <c r="S52" s="241">
        <v>124450</v>
      </c>
      <c r="T52" s="241"/>
      <c r="U52" s="237"/>
    </row>
    <row r="53" spans="1:21" s="248" customFormat="1">
      <c r="A53" s="243" t="s">
        <v>933</v>
      </c>
      <c r="B53" s="244">
        <f>SUM(C53:D53)</f>
        <v>2211726</v>
      </c>
      <c r="C53" s="244">
        <f t="shared" ref="C53:T53" si="12">SUM(C45:C52)</f>
        <v>2211726</v>
      </c>
      <c r="D53" s="244">
        <f t="shared" si="12"/>
        <v>0</v>
      </c>
      <c r="E53" s="244">
        <f t="shared" si="12"/>
        <v>2186017</v>
      </c>
      <c r="F53" s="244">
        <f t="shared" si="12"/>
        <v>0</v>
      </c>
      <c r="G53" s="244">
        <f t="shared" si="12"/>
        <v>0</v>
      </c>
      <c r="H53" s="244">
        <f t="shared" si="12"/>
        <v>0</v>
      </c>
      <c r="I53" s="244">
        <f t="shared" si="12"/>
        <v>0</v>
      </c>
      <c r="J53" s="244">
        <f t="shared" si="12"/>
        <v>0</v>
      </c>
      <c r="K53" s="244">
        <f t="shared" si="12"/>
        <v>0</v>
      </c>
      <c r="L53" s="244">
        <f t="shared" si="12"/>
        <v>0</v>
      </c>
      <c r="M53" s="244">
        <f t="shared" si="12"/>
        <v>25709</v>
      </c>
      <c r="N53" s="244">
        <f t="shared" si="12"/>
        <v>0</v>
      </c>
      <c r="O53" s="244">
        <f t="shared" si="12"/>
        <v>0</v>
      </c>
      <c r="P53" s="244">
        <f t="shared" si="12"/>
        <v>0</v>
      </c>
      <c r="Q53" s="244">
        <f t="shared" si="12"/>
        <v>0</v>
      </c>
      <c r="R53" s="240">
        <f t="shared" si="12"/>
        <v>2211726</v>
      </c>
      <c r="S53" s="244">
        <f t="shared" si="12"/>
        <v>1933951</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20000</v>
      </c>
      <c r="C55" s="241">
        <v>20000</v>
      </c>
      <c r="D55" s="241"/>
      <c r="E55" s="241">
        <v>20000</v>
      </c>
      <c r="F55" s="241"/>
      <c r="G55" s="241"/>
      <c r="H55" s="241"/>
      <c r="I55" s="241"/>
      <c r="J55" s="241"/>
      <c r="K55" s="241"/>
      <c r="L55" s="241"/>
      <c r="M55" s="241"/>
      <c r="N55" s="241"/>
      <c r="O55" s="241"/>
      <c r="P55" s="241"/>
      <c r="Q55" s="241"/>
      <c r="R55" s="241">
        <f t="shared" ref="R55:R60" si="14">SUM(E55:Q55)</f>
        <v>20000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12661</v>
      </c>
      <c r="C57" s="241">
        <v>12661</v>
      </c>
      <c r="D57" s="241"/>
      <c r="E57" s="241">
        <v>12661</v>
      </c>
      <c r="F57" s="241"/>
      <c r="G57" s="241"/>
      <c r="H57" s="241"/>
      <c r="I57" s="241"/>
      <c r="J57" s="241"/>
      <c r="K57" s="241"/>
      <c r="L57" s="241"/>
      <c r="M57" s="241"/>
      <c r="N57" s="241"/>
      <c r="O57" s="241"/>
      <c r="P57" s="241"/>
      <c r="Q57" s="241"/>
      <c r="R57" s="241">
        <f t="shared" si="14"/>
        <v>12661</v>
      </c>
      <c r="S57" s="242"/>
      <c r="T57" s="242"/>
      <c r="U57" s="237"/>
    </row>
    <row r="58" spans="1:21" s="238" customFormat="1">
      <c r="A58" s="239" t="s">
        <v>930</v>
      </c>
      <c r="B58" s="240">
        <f t="shared" si="13"/>
        <v>6600</v>
      </c>
      <c r="C58" s="241">
        <v>6600</v>
      </c>
      <c r="D58" s="241"/>
      <c r="E58" s="241">
        <v>6600</v>
      </c>
      <c r="F58" s="241"/>
      <c r="G58" s="241"/>
      <c r="H58" s="241"/>
      <c r="I58" s="241"/>
      <c r="J58" s="241"/>
      <c r="K58" s="241"/>
      <c r="L58" s="241"/>
      <c r="M58" s="241"/>
      <c r="N58" s="241"/>
      <c r="O58" s="241"/>
      <c r="P58" s="241"/>
      <c r="Q58" s="241"/>
      <c r="R58" s="241">
        <f t="shared" si="14"/>
        <v>6600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39261</v>
      </c>
      <c r="C61" s="240">
        <f t="shared" ref="C61:R61" si="15">SUM(C55:C60)</f>
        <v>39261</v>
      </c>
      <c r="D61" s="240">
        <f t="shared" si="15"/>
        <v>0</v>
      </c>
      <c r="E61" s="240">
        <f t="shared" si="15"/>
        <v>39261</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39261</v>
      </c>
      <c r="S61" s="242"/>
      <c r="T61" s="242"/>
      <c r="U61" s="237"/>
    </row>
    <row r="62" spans="1:21" s="238" customFormat="1">
      <c r="A62" s="249" t="s">
        <v>501</v>
      </c>
      <c r="B62" s="240">
        <f>SUM(C62:D62)</f>
        <v>17664448</v>
      </c>
      <c r="C62" s="240">
        <f t="shared" ref="C62:R62" si="16">SUM(C8+C11+C13+C14+C15+C26+C27+C38+C42+C43+C53+C61)</f>
        <v>17664448</v>
      </c>
      <c r="D62" s="240">
        <f t="shared" si="16"/>
        <v>0</v>
      </c>
      <c r="E62" s="240">
        <f t="shared" si="16"/>
        <v>11881739</v>
      </c>
      <c r="F62" s="240">
        <f t="shared" si="16"/>
        <v>445000</v>
      </c>
      <c r="G62" s="240">
        <f t="shared" si="16"/>
        <v>2000000</v>
      </c>
      <c r="H62" s="240">
        <f t="shared" si="16"/>
        <v>660000</v>
      </c>
      <c r="I62" s="240">
        <f t="shared" si="16"/>
        <v>692000</v>
      </c>
      <c r="J62" s="240">
        <f t="shared" si="16"/>
        <v>0</v>
      </c>
      <c r="K62" s="240">
        <f t="shared" si="16"/>
        <v>1960000</v>
      </c>
      <c r="L62" s="240">
        <f t="shared" si="16"/>
        <v>0</v>
      </c>
      <c r="M62" s="240">
        <f t="shared" si="16"/>
        <v>25709</v>
      </c>
      <c r="N62" s="240">
        <f t="shared" si="16"/>
        <v>0</v>
      </c>
      <c r="O62" s="240">
        <f t="shared" si="16"/>
        <v>0</v>
      </c>
      <c r="P62" s="240">
        <f t="shared" si="16"/>
        <v>0</v>
      </c>
      <c r="Q62" s="240">
        <f t="shared" si="16"/>
        <v>0</v>
      </c>
      <c r="R62" s="240">
        <f t="shared" si="16"/>
        <v>17664448</v>
      </c>
      <c r="S62" s="240">
        <f>SUM(S10+S13+S14+S15+S26+S27+S38+S42+S43+S53)</f>
        <v>16517612</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70000</v>
      </c>
      <c r="C64" s="241">
        <v>70000</v>
      </c>
      <c r="D64" s="241"/>
      <c r="E64" s="241">
        <v>70000</v>
      </c>
      <c r="F64" s="241"/>
      <c r="G64" s="241"/>
      <c r="H64" s="241"/>
      <c r="I64" s="241"/>
      <c r="J64" s="241"/>
      <c r="K64" s="241"/>
      <c r="L64" s="241"/>
      <c r="M64" s="241"/>
      <c r="N64" s="241"/>
      <c r="O64" s="241"/>
      <c r="P64" s="241"/>
      <c r="Q64" s="241"/>
      <c r="R64" s="241">
        <f>SUM(E64:Q64)</f>
        <v>70000</v>
      </c>
      <c r="S64" s="241">
        <v>70000</v>
      </c>
      <c r="T64" s="241"/>
      <c r="U64" s="237"/>
    </row>
    <row r="65" spans="1:21" s="238" customFormat="1" ht="24">
      <c r="A65" s="239" t="s">
        <v>1957</v>
      </c>
      <c r="B65" s="240">
        <f>SUM(C65+D65)</f>
        <v>95200</v>
      </c>
      <c r="C65" s="241">
        <v>95200</v>
      </c>
      <c r="D65" s="241"/>
      <c r="E65" s="241">
        <v>95200</v>
      </c>
      <c r="F65" s="241"/>
      <c r="G65" s="241"/>
      <c r="H65" s="241"/>
      <c r="I65" s="241"/>
      <c r="J65" s="241"/>
      <c r="K65" s="241"/>
      <c r="L65" s="241"/>
      <c r="M65" s="241"/>
      <c r="N65" s="241"/>
      <c r="O65" s="241"/>
      <c r="P65" s="241"/>
      <c r="Q65" s="241"/>
      <c r="R65" s="241">
        <f>SUM(E65:Q65)</f>
        <v>95200</v>
      </c>
      <c r="S65" s="241">
        <v>95200</v>
      </c>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2497</v>
      </c>
      <c r="B68" s="240">
        <f>SUM(C68+D68)</f>
        <v>105494</v>
      </c>
      <c r="C68" s="241">
        <v>105494</v>
      </c>
      <c r="D68" s="241"/>
      <c r="E68" s="241">
        <v>105494</v>
      </c>
      <c r="F68" s="241"/>
      <c r="G68" s="241"/>
      <c r="H68" s="241"/>
      <c r="I68" s="241"/>
      <c r="J68" s="241"/>
      <c r="K68" s="241"/>
      <c r="L68" s="241"/>
      <c r="M68" s="241"/>
      <c r="N68" s="241"/>
      <c r="O68" s="241"/>
      <c r="P68" s="241"/>
      <c r="Q68" s="241"/>
      <c r="R68" s="241">
        <f>SUM(E68:Q68)</f>
        <v>105494</v>
      </c>
      <c r="S68" s="241"/>
      <c r="T68" s="241"/>
      <c r="U68" s="237"/>
    </row>
    <row r="69" spans="1:21" s="238" customFormat="1">
      <c r="A69" s="243" t="s">
        <v>1960</v>
      </c>
      <c r="B69" s="240">
        <f>SUM(C69:D69)</f>
        <v>270694</v>
      </c>
      <c r="C69" s="240">
        <f>SUM(C63:C68)</f>
        <v>270694</v>
      </c>
      <c r="D69" s="240">
        <f>SUM(D63:D68)</f>
        <v>0</v>
      </c>
      <c r="E69" s="240">
        <f t="shared" ref="E69:T69" si="17">SUM(E64:E68)</f>
        <v>270694</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270694</v>
      </c>
      <c r="S69" s="244">
        <f t="shared" si="17"/>
        <v>165200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200000</v>
      </c>
      <c r="C71" s="241">
        <v>200000</v>
      </c>
      <c r="D71" s="241"/>
      <c r="E71" s="241">
        <v>200000</v>
      </c>
      <c r="F71" s="241"/>
      <c r="G71" s="241"/>
      <c r="H71" s="241"/>
      <c r="I71" s="241"/>
      <c r="J71" s="241"/>
      <c r="K71" s="241"/>
      <c r="L71" s="241"/>
      <c r="M71" s="241"/>
      <c r="N71" s="241"/>
      <c r="O71" s="241"/>
      <c r="P71" s="241"/>
      <c r="Q71" s="241"/>
      <c r="R71" s="241">
        <f>SUM(E71:Q71)</f>
        <v>200000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162000</v>
      </c>
      <c r="C74" s="241">
        <v>162000</v>
      </c>
      <c r="D74" s="241"/>
      <c r="E74" s="241">
        <v>162000</v>
      </c>
      <c r="F74" s="241"/>
      <c r="G74" s="241"/>
      <c r="H74" s="241"/>
      <c r="I74" s="241"/>
      <c r="J74" s="241"/>
      <c r="K74" s="241"/>
      <c r="L74" s="241"/>
      <c r="M74" s="241"/>
      <c r="N74" s="241"/>
      <c r="O74" s="241"/>
      <c r="P74" s="241"/>
      <c r="Q74" s="241"/>
      <c r="R74" s="241">
        <f>SUM(E74:Q74)</f>
        <v>162000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362000</v>
      </c>
      <c r="C76" s="240">
        <f t="shared" ref="C76:Q76" si="18">SUM(C71:C75)</f>
        <v>362000</v>
      </c>
      <c r="D76" s="240">
        <f t="shared" si="18"/>
        <v>0</v>
      </c>
      <c r="E76" s="240">
        <f>SUM(E71:E75)</f>
        <v>362000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362000</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690763</v>
      </c>
      <c r="C78" s="241">
        <v>690763</v>
      </c>
      <c r="D78" s="241"/>
      <c r="E78" s="241">
        <v>690763</v>
      </c>
      <c r="F78" s="241"/>
      <c r="G78" s="241"/>
      <c r="H78" s="241"/>
      <c r="I78" s="241"/>
      <c r="J78" s="241"/>
      <c r="K78" s="241"/>
      <c r="L78" s="241"/>
      <c r="M78" s="241"/>
      <c r="N78" s="241"/>
      <c r="O78" s="241"/>
      <c r="P78" s="241"/>
      <c r="Q78" s="241"/>
      <c r="R78" s="241">
        <f>SUM(E78:Q78)</f>
        <v>690763</v>
      </c>
      <c r="S78" s="241">
        <v>690763</v>
      </c>
      <c r="T78" s="241"/>
      <c r="U78" s="237"/>
    </row>
    <row r="79" spans="1:21" s="238" customFormat="1">
      <c r="A79" s="239" t="s">
        <v>538</v>
      </c>
      <c r="B79" s="240">
        <f>SUM(C79+D79)</f>
        <v>318947</v>
      </c>
      <c r="C79" s="241">
        <v>318947</v>
      </c>
      <c r="D79" s="241"/>
      <c r="E79" s="241">
        <v>318947</v>
      </c>
      <c r="F79" s="241"/>
      <c r="G79" s="241"/>
      <c r="H79" s="241"/>
      <c r="I79" s="241"/>
      <c r="J79" s="241"/>
      <c r="K79" s="241"/>
      <c r="L79" s="241"/>
      <c r="M79" s="241"/>
      <c r="N79" s="241"/>
      <c r="O79" s="241"/>
      <c r="P79" s="241"/>
      <c r="Q79" s="241"/>
      <c r="R79" s="241">
        <f>SUM(E79:Q79)</f>
        <v>318947</v>
      </c>
      <c r="S79" s="241">
        <v>318947</v>
      </c>
      <c r="T79" s="241"/>
      <c r="U79" s="237"/>
    </row>
    <row r="80" spans="1:21" s="238" customFormat="1">
      <c r="A80" s="243" t="s">
        <v>1743</v>
      </c>
      <c r="B80" s="240">
        <f>SUM(C80:D80)</f>
        <v>1009710</v>
      </c>
      <c r="C80" s="666">
        <f>SUM(C78:C79)</f>
        <v>1009710</v>
      </c>
      <c r="D80" s="666">
        <f t="shared" ref="D80:R80" si="19">SUM(D78:D79)</f>
        <v>0</v>
      </c>
      <c r="E80" s="666">
        <f t="shared" si="19"/>
        <v>1009710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1009710</v>
      </c>
      <c r="S80" s="666">
        <f>SUM(S78:S79)</f>
        <v>1009710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150000</v>
      </c>
      <c r="C82" s="241">
        <v>150000</v>
      </c>
      <c r="D82" s="241"/>
      <c r="E82" s="241">
        <v>150000</v>
      </c>
      <c r="F82" s="241"/>
      <c r="G82" s="241"/>
      <c r="H82" s="241"/>
      <c r="I82" s="241"/>
      <c r="J82" s="241"/>
      <c r="K82" s="241"/>
      <c r="L82" s="241"/>
      <c r="M82" s="241"/>
      <c r="N82" s="241"/>
      <c r="O82" s="241"/>
      <c r="P82" s="241"/>
      <c r="Q82" s="241"/>
      <c r="R82" s="241">
        <f>SUM(E82:Q82)</f>
        <v>150000</v>
      </c>
      <c r="S82" s="242"/>
      <c r="T82" s="242"/>
      <c r="U82" s="237"/>
    </row>
    <row r="83" spans="1:21" s="238" customFormat="1">
      <c r="A83" s="239" t="s">
        <v>516</v>
      </c>
      <c r="B83" s="240">
        <f t="shared" ref="B83:B93" si="20">SUM(C83+D83)</f>
        <v>241220</v>
      </c>
      <c r="C83" s="241">
        <v>241220</v>
      </c>
      <c r="D83" s="241"/>
      <c r="E83" s="241">
        <v>241220</v>
      </c>
      <c r="F83" s="241"/>
      <c r="G83" s="241"/>
      <c r="H83" s="241"/>
      <c r="I83" s="241"/>
      <c r="J83" s="241"/>
      <c r="K83" s="241"/>
      <c r="L83" s="241"/>
      <c r="M83" s="241"/>
      <c r="N83" s="241"/>
      <c r="O83" s="241"/>
      <c r="P83" s="241"/>
      <c r="Q83" s="241"/>
      <c r="R83" s="241">
        <f t="shared" ref="R83:R93" si="21">SUM(E83:Q83)</f>
        <v>241220</v>
      </c>
      <c r="S83" s="241">
        <v>241220</v>
      </c>
      <c r="T83" s="241"/>
      <c r="U83" s="237"/>
    </row>
    <row r="84" spans="1:21" s="238" customFormat="1">
      <c r="A84" s="239" t="s">
        <v>517</v>
      </c>
      <c r="B84" s="240">
        <f t="shared" si="20"/>
        <v>944400</v>
      </c>
      <c r="C84" s="241">
        <v>944400</v>
      </c>
      <c r="D84" s="241"/>
      <c r="E84" s="241">
        <v>656400</v>
      </c>
      <c r="F84" s="241"/>
      <c r="G84" s="241"/>
      <c r="H84" s="241"/>
      <c r="I84" s="241"/>
      <c r="J84" s="241">
        <v>288000</v>
      </c>
      <c r="K84" s="241"/>
      <c r="L84" s="241"/>
      <c r="M84" s="241"/>
      <c r="N84" s="241"/>
      <c r="O84" s="241"/>
      <c r="P84" s="241"/>
      <c r="Q84" s="241"/>
      <c r="R84" s="241">
        <f t="shared" si="21"/>
        <v>944400</v>
      </c>
      <c r="S84" s="241">
        <v>944400</v>
      </c>
      <c r="T84" s="241"/>
      <c r="U84" s="237"/>
    </row>
    <row r="85" spans="1:21" s="238" customFormat="1">
      <c r="A85" s="239" t="s">
        <v>518</v>
      </c>
      <c r="B85" s="240">
        <f t="shared" si="20"/>
        <v>319566</v>
      </c>
      <c r="C85" s="241">
        <v>319566</v>
      </c>
      <c r="D85" s="241"/>
      <c r="E85" s="241">
        <v>319566</v>
      </c>
      <c r="F85" s="241"/>
      <c r="G85" s="241"/>
      <c r="H85" s="241"/>
      <c r="I85" s="241"/>
      <c r="J85" s="241"/>
      <c r="K85" s="241"/>
      <c r="L85" s="241"/>
      <c r="M85" s="241"/>
      <c r="N85" s="241"/>
      <c r="O85" s="241"/>
      <c r="P85" s="241"/>
      <c r="Q85" s="241"/>
      <c r="R85" s="241">
        <f t="shared" si="21"/>
        <v>319566</v>
      </c>
      <c r="S85" s="241">
        <v>319566</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84000</v>
      </c>
      <c r="C87" s="241">
        <v>84000</v>
      </c>
      <c r="D87" s="241"/>
      <c r="E87" s="241">
        <v>84000</v>
      </c>
      <c r="F87" s="241"/>
      <c r="G87" s="241"/>
      <c r="H87" s="241"/>
      <c r="I87" s="241"/>
      <c r="J87" s="241"/>
      <c r="K87" s="241"/>
      <c r="L87" s="241"/>
      <c r="M87" s="241"/>
      <c r="N87" s="241"/>
      <c r="O87" s="241"/>
      <c r="P87" s="241"/>
      <c r="Q87" s="241"/>
      <c r="R87" s="241">
        <f t="shared" si="21"/>
        <v>84000</v>
      </c>
      <c r="S87" s="242"/>
      <c r="T87" s="242"/>
      <c r="U87" s="237"/>
    </row>
    <row r="88" spans="1:21" s="238" customFormat="1">
      <c r="A88" s="239" t="s">
        <v>521</v>
      </c>
      <c r="B88" s="240">
        <f t="shared" si="20"/>
        <v>114800</v>
      </c>
      <c r="C88" s="241">
        <v>114800</v>
      </c>
      <c r="D88" s="241"/>
      <c r="E88" s="241">
        <v>114800</v>
      </c>
      <c r="F88" s="241"/>
      <c r="G88" s="241"/>
      <c r="H88" s="241"/>
      <c r="I88" s="241"/>
      <c r="J88" s="241"/>
      <c r="K88" s="241"/>
      <c r="L88" s="241"/>
      <c r="M88" s="241"/>
      <c r="N88" s="241"/>
      <c r="O88" s="241"/>
      <c r="P88" s="241"/>
      <c r="Q88" s="241"/>
      <c r="R88" s="241">
        <f t="shared" si="21"/>
        <v>114800</v>
      </c>
      <c r="S88" s="241">
        <v>114800</v>
      </c>
      <c r="T88" s="241"/>
      <c r="U88" s="237"/>
    </row>
    <row r="89" spans="1:21" s="238" customFormat="1">
      <c r="A89" s="239" t="s">
        <v>522</v>
      </c>
      <c r="B89" s="240">
        <f t="shared" si="20"/>
        <v>26960</v>
      </c>
      <c r="C89" s="241">
        <v>26960</v>
      </c>
      <c r="D89" s="241"/>
      <c r="E89" s="241">
        <v>26960</v>
      </c>
      <c r="F89" s="241"/>
      <c r="G89" s="241"/>
      <c r="H89" s="241"/>
      <c r="I89" s="241"/>
      <c r="J89" s="241"/>
      <c r="K89" s="241"/>
      <c r="L89" s="241"/>
      <c r="M89" s="241"/>
      <c r="N89" s="241"/>
      <c r="O89" s="241"/>
      <c r="P89" s="241"/>
      <c r="Q89" s="241"/>
      <c r="R89" s="241">
        <f t="shared" si="21"/>
        <v>26960</v>
      </c>
      <c r="S89" s="241">
        <v>26960</v>
      </c>
      <c r="T89" s="241"/>
      <c r="U89" s="237"/>
    </row>
    <row r="90" spans="1:21" s="238" customFormat="1">
      <c r="A90" s="250" t="s">
        <v>1315</v>
      </c>
      <c r="B90" s="240">
        <f t="shared" si="20"/>
        <v>28000</v>
      </c>
      <c r="C90" s="241">
        <v>28000</v>
      </c>
      <c r="D90" s="241"/>
      <c r="E90" s="241">
        <v>28000</v>
      </c>
      <c r="F90" s="241"/>
      <c r="G90" s="241"/>
      <c r="H90" s="241"/>
      <c r="I90" s="241"/>
      <c r="J90" s="241"/>
      <c r="K90" s="241"/>
      <c r="L90" s="241"/>
      <c r="M90" s="241"/>
      <c r="N90" s="241"/>
      <c r="O90" s="241"/>
      <c r="P90" s="241"/>
      <c r="Q90" s="241"/>
      <c r="R90" s="241">
        <f t="shared" si="21"/>
        <v>28000</v>
      </c>
      <c r="S90" s="241">
        <v>28000</v>
      </c>
      <c r="T90" s="241"/>
      <c r="U90" s="237"/>
    </row>
    <row r="91" spans="1:21" s="238" customFormat="1">
      <c r="A91" s="250" t="s">
        <v>1741</v>
      </c>
      <c r="B91" s="240">
        <f t="shared" si="20"/>
        <v>14000</v>
      </c>
      <c r="C91" s="241">
        <v>14000</v>
      </c>
      <c r="D91" s="241"/>
      <c r="E91" s="241">
        <v>14000</v>
      </c>
      <c r="F91" s="241"/>
      <c r="G91" s="241"/>
      <c r="H91" s="241"/>
      <c r="I91" s="241"/>
      <c r="J91" s="241"/>
      <c r="K91" s="241"/>
      <c r="L91" s="241"/>
      <c r="M91" s="241"/>
      <c r="N91" s="241"/>
      <c r="O91" s="241"/>
      <c r="P91" s="241"/>
      <c r="Q91" s="241"/>
      <c r="R91" s="241">
        <f t="shared" si="21"/>
        <v>14000</v>
      </c>
      <c r="S91" s="241">
        <v>14000</v>
      </c>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1922946</v>
      </c>
      <c r="C95" s="240">
        <f t="shared" ref="C95:R95" si="22">SUM(C82:C94)</f>
        <v>1922946</v>
      </c>
      <c r="D95" s="240">
        <f t="shared" si="22"/>
        <v>0</v>
      </c>
      <c r="E95" s="240">
        <f t="shared" si="22"/>
        <v>1634946</v>
      </c>
      <c r="F95" s="240">
        <f t="shared" si="22"/>
        <v>0</v>
      </c>
      <c r="G95" s="240">
        <f t="shared" si="22"/>
        <v>0</v>
      </c>
      <c r="H95" s="240">
        <f t="shared" si="22"/>
        <v>0</v>
      </c>
      <c r="I95" s="240">
        <f t="shared" si="22"/>
        <v>0</v>
      </c>
      <c r="J95" s="240">
        <f t="shared" si="22"/>
        <v>288000</v>
      </c>
      <c r="K95" s="240">
        <f t="shared" si="22"/>
        <v>0</v>
      </c>
      <c r="L95" s="240">
        <f t="shared" si="22"/>
        <v>0</v>
      </c>
      <c r="M95" s="240">
        <f t="shared" si="22"/>
        <v>0</v>
      </c>
      <c r="N95" s="240">
        <f t="shared" si="22"/>
        <v>0</v>
      </c>
      <c r="O95" s="240">
        <f t="shared" si="22"/>
        <v>0</v>
      </c>
      <c r="P95" s="240">
        <f t="shared" si="22"/>
        <v>0</v>
      </c>
      <c r="Q95" s="240">
        <f t="shared" si="22"/>
        <v>0</v>
      </c>
      <c r="R95" s="240">
        <f t="shared" si="22"/>
        <v>1922946</v>
      </c>
      <c r="S95" s="244">
        <f>SUM(S83:S86,S88:S94)</f>
        <v>1688946</v>
      </c>
      <c r="T95" s="240">
        <f>SUM(T83:T86,T88:T94)</f>
        <v>0</v>
      </c>
      <c r="U95" s="237"/>
    </row>
    <row r="96" spans="1:21" s="238" customFormat="1">
      <c r="A96" s="243" t="s">
        <v>524</v>
      </c>
      <c r="B96" s="240">
        <f>SUM(C96:D96)</f>
        <v>21229798</v>
      </c>
      <c r="C96" s="240">
        <f t="shared" ref="C96:R96" si="23">SUM(C62+C69+C76+C80+C95)</f>
        <v>21229798</v>
      </c>
      <c r="D96" s="240">
        <f t="shared" si="23"/>
        <v>0</v>
      </c>
      <c r="E96" s="240">
        <f t="shared" si="23"/>
        <v>15159089</v>
      </c>
      <c r="F96" s="240">
        <f t="shared" si="23"/>
        <v>445000</v>
      </c>
      <c r="G96" s="240">
        <f t="shared" si="23"/>
        <v>2000000</v>
      </c>
      <c r="H96" s="240">
        <f t="shared" si="23"/>
        <v>660000</v>
      </c>
      <c r="I96" s="240">
        <f t="shared" si="23"/>
        <v>692000</v>
      </c>
      <c r="J96" s="240">
        <f t="shared" si="23"/>
        <v>288000</v>
      </c>
      <c r="K96" s="240">
        <f t="shared" si="23"/>
        <v>1960000</v>
      </c>
      <c r="L96" s="240">
        <f t="shared" si="23"/>
        <v>0</v>
      </c>
      <c r="M96" s="240">
        <f t="shared" si="23"/>
        <v>25709</v>
      </c>
      <c r="N96" s="240">
        <f t="shared" si="23"/>
        <v>0</v>
      </c>
      <c r="O96" s="240">
        <f t="shared" si="23"/>
        <v>0</v>
      </c>
      <c r="P96" s="240">
        <f t="shared" si="23"/>
        <v>0</v>
      </c>
      <c r="Q96" s="240">
        <f t="shared" si="23"/>
        <v>0</v>
      </c>
      <c r="R96" s="240">
        <f t="shared" si="23"/>
        <v>21229798</v>
      </c>
      <c r="S96" s="244">
        <f>SUM(+S62+S69+S80+S95)</f>
        <v>19381468</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1200000</v>
      </c>
      <c r="C98" s="241">
        <v>1200000</v>
      </c>
      <c r="D98" s="241"/>
      <c r="E98" s="241">
        <v>1053000</v>
      </c>
      <c r="F98" s="241"/>
      <c r="G98" s="241"/>
      <c r="H98" s="241"/>
      <c r="I98" s="241"/>
      <c r="J98" s="241"/>
      <c r="K98" s="241"/>
      <c r="L98" s="241">
        <v>147000</v>
      </c>
      <c r="M98" s="241"/>
      <c r="N98" s="241"/>
      <c r="O98" s="241"/>
      <c r="P98" s="241"/>
      <c r="Q98" s="241"/>
      <c r="R98" s="241">
        <f>SUM(E98:Q98)</f>
        <v>1200000</v>
      </c>
      <c r="S98" s="241">
        <v>1200000</v>
      </c>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1200000</v>
      </c>
      <c r="C103" s="240">
        <f t="shared" ref="C103:T103" si="24">SUM(C98:C102)</f>
        <v>1200000</v>
      </c>
      <c r="D103" s="240">
        <f t="shared" si="24"/>
        <v>0</v>
      </c>
      <c r="E103" s="240">
        <f t="shared" si="24"/>
        <v>1053000</v>
      </c>
      <c r="F103" s="240">
        <f t="shared" si="24"/>
        <v>0</v>
      </c>
      <c r="G103" s="240">
        <f t="shared" si="24"/>
        <v>0</v>
      </c>
      <c r="H103" s="240">
        <f t="shared" si="24"/>
        <v>0</v>
      </c>
      <c r="I103" s="240">
        <f t="shared" si="24"/>
        <v>0</v>
      </c>
      <c r="J103" s="240">
        <f t="shared" si="24"/>
        <v>0</v>
      </c>
      <c r="K103" s="240">
        <f t="shared" si="24"/>
        <v>0</v>
      </c>
      <c r="L103" s="240">
        <f t="shared" si="24"/>
        <v>147000</v>
      </c>
      <c r="M103" s="240">
        <f t="shared" si="24"/>
        <v>0</v>
      </c>
      <c r="N103" s="240">
        <f t="shared" si="24"/>
        <v>0</v>
      </c>
      <c r="O103" s="240">
        <f t="shared" si="24"/>
        <v>0</v>
      </c>
      <c r="P103" s="240">
        <f t="shared" si="24"/>
        <v>0</v>
      </c>
      <c r="Q103" s="240">
        <f t="shared" si="24"/>
        <v>0</v>
      </c>
      <c r="R103" s="240">
        <f t="shared" si="24"/>
        <v>1200000</v>
      </c>
      <c r="S103" s="244">
        <f t="shared" si="24"/>
        <v>1200000</v>
      </c>
      <c r="T103" s="244">
        <f t="shared" si="24"/>
        <v>0</v>
      </c>
      <c r="U103" s="237"/>
    </row>
    <row r="104" spans="1:21" s="238" customFormat="1">
      <c r="A104" s="243" t="s">
        <v>1156</v>
      </c>
      <c r="B104" s="244">
        <f>SUM(C104:D104)</f>
        <v>22429798</v>
      </c>
      <c r="C104" s="244">
        <f t="shared" ref="C104:R104" si="25">SUM(C96+C103)</f>
        <v>22429798</v>
      </c>
      <c r="D104" s="244">
        <f t="shared" si="25"/>
        <v>0</v>
      </c>
      <c r="E104" s="244">
        <f t="shared" si="25"/>
        <v>16212089</v>
      </c>
      <c r="F104" s="244">
        <f t="shared" si="25"/>
        <v>445000</v>
      </c>
      <c r="G104" s="244">
        <f t="shared" si="25"/>
        <v>2000000</v>
      </c>
      <c r="H104" s="244">
        <f t="shared" si="25"/>
        <v>660000</v>
      </c>
      <c r="I104" s="244">
        <f t="shared" si="25"/>
        <v>692000</v>
      </c>
      <c r="J104" s="244">
        <f t="shared" si="25"/>
        <v>288000</v>
      </c>
      <c r="K104" s="244">
        <f t="shared" si="25"/>
        <v>1960000</v>
      </c>
      <c r="L104" s="244">
        <f t="shared" si="25"/>
        <v>147000</v>
      </c>
      <c r="M104" s="244">
        <f t="shared" si="25"/>
        <v>25709</v>
      </c>
      <c r="N104" s="244">
        <f t="shared" si="25"/>
        <v>0</v>
      </c>
      <c r="O104" s="244">
        <f t="shared" si="25"/>
        <v>0</v>
      </c>
      <c r="P104" s="244">
        <f t="shared" si="25"/>
        <v>0</v>
      </c>
      <c r="Q104" s="244">
        <f t="shared" si="25"/>
        <v>0</v>
      </c>
      <c r="R104" s="240">
        <f t="shared" si="25"/>
        <v>22429798</v>
      </c>
      <c r="S104" s="244">
        <f>S96+S103</f>
        <v>20581468</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20581468</v>
      </c>
      <c r="T106" s="244">
        <f>T104+T105</f>
        <v>0</v>
      </c>
      <c r="U106" s="256"/>
    </row>
    <row r="107" spans="1:21" s="258" customFormat="1">
      <c r="A107" s="257" t="s">
        <v>1107</v>
      </c>
      <c r="B107" s="252"/>
      <c r="C107" s="252"/>
      <c r="D107" s="252"/>
      <c r="E107" s="240">
        <f>Application!AO634</f>
        <v>16212089</v>
      </c>
      <c r="F107" s="240">
        <f>Application!AO621</f>
        <v>445000</v>
      </c>
      <c r="G107" s="240">
        <f>Application!AO622</f>
        <v>2000000</v>
      </c>
      <c r="H107" s="240">
        <f>Application!AO623</f>
        <v>660000</v>
      </c>
      <c r="I107" s="240">
        <f>Application!AO624</f>
        <v>692000</v>
      </c>
      <c r="J107" s="240">
        <f>Application!AO625</f>
        <v>288000</v>
      </c>
      <c r="K107" s="240">
        <f>Application!AO626</f>
        <v>1960000</v>
      </c>
      <c r="L107" s="240">
        <f>Application!AO627</f>
        <v>147000</v>
      </c>
      <c r="M107" s="240">
        <f>Application!AO628</f>
        <v>25709</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3" t="s">
        <v>1291</v>
      </c>
      <c r="E122" s="1583"/>
      <c r="F122" s="1583"/>
      <c r="U122" s="256"/>
    </row>
    <row r="123" spans="1:21" s="253" customFormat="1">
      <c r="A123" s="253" t="s">
        <v>1292</v>
      </c>
      <c r="B123" s="546"/>
      <c r="D123" s="1585" t="s">
        <v>1316</v>
      </c>
      <c r="E123" s="1053"/>
      <c r="F123" s="1053"/>
      <c r="G123" s="1053"/>
      <c r="H123" s="1053"/>
      <c r="I123" s="1053"/>
      <c r="J123" s="1053"/>
      <c r="K123" s="1053"/>
      <c r="L123" s="1053"/>
      <c r="M123" s="1053"/>
      <c r="N123" s="1053"/>
      <c r="O123" s="1053"/>
      <c r="P123" s="1053"/>
      <c r="Q123" s="1053"/>
      <c r="R123" s="1053"/>
      <c r="S123" s="1053"/>
      <c r="U123" s="256"/>
    </row>
    <row r="124" spans="1:21" s="253" customFormat="1" ht="12.75">
      <c r="A124" s="209" t="s">
        <v>1293</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75">
      <c r="A125" s="209" t="s">
        <v>1294</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2.75">
      <c r="A129" s="209" t="s">
        <v>499</v>
      </c>
      <c r="B129" s="546"/>
      <c r="C129" s="209"/>
      <c r="D129" s="1582" t="s">
        <v>1298</v>
      </c>
      <c r="E129" s="1582"/>
      <c r="F129" s="1582"/>
      <c r="G129" s="1582"/>
      <c r="H129" s="1582"/>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0"/>
      <c r="E131" s="1350"/>
      <c r="F131" s="1350"/>
      <c r="G131" s="1350"/>
      <c r="H131" s="1350"/>
      <c r="I131" s="209"/>
      <c r="J131" s="1350"/>
      <c r="K131" s="1350"/>
      <c r="L131" s="1350"/>
      <c r="M131" s="1350"/>
      <c r="N131" s="209"/>
      <c r="O131" s="209"/>
      <c r="P131" s="209"/>
      <c r="Q131" s="209"/>
      <c r="R131" s="209"/>
      <c r="S131" s="209"/>
      <c r="U131" s="256"/>
    </row>
    <row r="132" spans="1:21" s="253" customFormat="1" ht="12.75">
      <c r="A132" s="548"/>
      <c r="B132" s="209"/>
      <c r="C132" s="209"/>
      <c r="D132" s="1586" t="s">
        <v>1301</v>
      </c>
      <c r="E132" s="1586"/>
      <c r="F132" s="1586"/>
      <c r="G132" s="1586"/>
      <c r="H132" s="1586"/>
      <c r="I132" s="209"/>
      <c r="J132" s="1586" t="s">
        <v>1302</v>
      </c>
      <c r="K132" s="1586"/>
      <c r="L132" s="1586"/>
      <c r="M132" s="1586"/>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1304</v>
      </c>
      <c r="B139" s="1584"/>
      <c r="C139" s="1584"/>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topLeftCell="A16"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1747</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NON-DDA/
NON-QCT Building(s)</v>
      </c>
      <c r="U7" s="1595"/>
      <c r="V7" s="1595"/>
      <c r="W7" s="1595"/>
      <c r="X7" s="1595"/>
      <c r="Y7" s="1595" t="str">
        <f>IF(T25=100%,"",'Sources and Basis Breakdown'!G2)</f>
        <v/>
      </c>
      <c r="Z7" s="1595"/>
      <c r="AA7" s="1595"/>
      <c r="AB7" s="1595"/>
      <c r="AC7" s="1595"/>
      <c r="AD7" s="1595" t="str">
        <f>IF(T25=100%,'Sources and Basis Breakdown'!J2,'Sources and Basis Breakdown'!I2)</f>
        <v>30% PVC for Acquisition
NON-DDA/
NON-QCT Building(s)</v>
      </c>
      <c r="AE7" s="1595"/>
      <c r="AF7" s="1595"/>
      <c r="AG7" s="1595"/>
      <c r="AH7" s="1595"/>
      <c r="AI7" s="1595" t="str">
        <f>IF(T25=100%,"",'Sources and Basis Breakdown'!J2)</f>
        <v/>
      </c>
      <c r="AJ7" s="1595"/>
      <c r="AK7" s="1595"/>
      <c r="AL7" s="1595"/>
      <c r="AM7" s="1595"/>
    </row>
    <row r="8" spans="1:40" ht="12.95"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5"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5">
        <f>IF('Sources and Basis Breakdown'!F105=0,'Sources and Basis Breakdown'!E105,'Sources and Basis Breakdown'!F105)</f>
        <v>20581468</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5" customHeight="1">
      <c r="B12" s="1619" t="s">
        <v>447</v>
      </c>
      <c r="C12" s="1004"/>
      <c r="D12" s="1004"/>
      <c r="E12" s="1004"/>
      <c r="F12" s="1004"/>
      <c r="G12" s="1004"/>
      <c r="H12" s="1004"/>
      <c r="I12" s="1004"/>
      <c r="J12" s="1004"/>
      <c r="K12" s="1004"/>
      <c r="L12" s="1004"/>
      <c r="M12" s="1004"/>
      <c r="N12" s="1004"/>
      <c r="O12" s="1004"/>
      <c r="P12" s="1004"/>
      <c r="Q12" s="1004"/>
      <c r="R12" s="1004"/>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21" t="s">
        <v>1713</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5" customHeight="1">
      <c r="B14" s="8"/>
      <c r="C14" s="1622" t="s">
        <v>768</v>
      </c>
      <c r="D14" s="1622"/>
      <c r="E14" s="1622"/>
      <c r="F14" s="1622"/>
      <c r="G14" s="1622"/>
      <c r="H14" s="1622"/>
      <c r="I14" s="1622"/>
      <c r="J14" s="1622"/>
      <c r="K14" s="1622"/>
      <c r="L14" s="1622"/>
      <c r="M14" s="1622"/>
      <c r="N14" s="1622"/>
      <c r="O14" s="1622"/>
      <c r="P14" s="1622"/>
      <c r="Q14" s="1622"/>
      <c r="R14" s="1622"/>
      <c r="S14" s="1623"/>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5" customHeight="1">
      <c r="B15" s="8"/>
      <c r="C15" s="1622" t="s">
        <v>769</v>
      </c>
      <c r="D15" s="1622"/>
      <c r="E15" s="1622"/>
      <c r="F15" s="1622"/>
      <c r="G15" s="1622"/>
      <c r="H15" s="1622"/>
      <c r="I15" s="1622"/>
      <c r="J15" s="1622"/>
      <c r="K15" s="1622"/>
      <c r="L15" s="1622"/>
      <c r="M15" s="1622"/>
      <c r="N15" s="1622"/>
      <c r="O15" s="1622"/>
      <c r="P15" s="1622"/>
      <c r="Q15" s="1622"/>
      <c r="R15" s="1622"/>
      <c r="S15" s="1623"/>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5" customHeight="1">
      <c r="B16" s="8"/>
      <c r="C16" s="1621" t="s">
        <v>1012</v>
      </c>
      <c r="D16" s="1621"/>
      <c r="E16" s="1621"/>
      <c r="F16" s="1621"/>
      <c r="G16" s="1621"/>
      <c r="H16" s="1621"/>
      <c r="I16" s="1621"/>
      <c r="J16" s="1621"/>
      <c r="K16" s="1621"/>
      <c r="L16" s="1621"/>
      <c r="M16" s="1621"/>
      <c r="N16" s="1621"/>
      <c r="O16" s="1621"/>
      <c r="P16" s="1621"/>
      <c r="Q16" s="1621"/>
      <c r="R16" s="1621"/>
      <c r="S16" s="1624"/>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5" customHeight="1">
      <c r="B17" s="8"/>
      <c r="C17" s="1622" t="s">
        <v>770</v>
      </c>
      <c r="D17" s="1622"/>
      <c r="E17" s="1622"/>
      <c r="F17" s="1622"/>
      <c r="G17" s="1622"/>
      <c r="H17" s="1622"/>
      <c r="I17" s="1622"/>
      <c r="J17" s="1622"/>
      <c r="K17" s="1622"/>
      <c r="L17" s="1622"/>
      <c r="M17" s="1622"/>
      <c r="N17" s="1622"/>
      <c r="O17" s="1622"/>
      <c r="P17" s="1622"/>
      <c r="Q17" s="1622"/>
      <c r="R17" s="1622"/>
      <c r="S17" s="1623"/>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5" customHeight="1">
      <c r="B18" s="941"/>
      <c r="C18" s="1617" t="s">
        <v>1217</v>
      </c>
      <c r="D18" s="1617"/>
      <c r="E18" s="1617"/>
      <c r="F18" s="1617"/>
      <c r="G18" s="1617"/>
      <c r="H18" s="1617"/>
      <c r="I18" s="1617"/>
      <c r="J18" s="1617"/>
      <c r="K18" s="1617"/>
      <c r="L18" s="1617"/>
      <c r="M18" s="1617"/>
      <c r="N18" s="1617"/>
      <c r="O18" s="1617"/>
      <c r="P18" s="1617"/>
      <c r="Q18" s="1617"/>
      <c r="R18" s="1617"/>
      <c r="S18" s="1618"/>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5" customHeight="1">
      <c r="B19" s="484"/>
      <c r="C19" s="1617" t="s">
        <v>1217</v>
      </c>
      <c r="D19" s="1617"/>
      <c r="E19" s="1617"/>
      <c r="F19" s="1617"/>
      <c r="G19" s="1617"/>
      <c r="H19" s="1617"/>
      <c r="I19" s="1617"/>
      <c r="J19" s="1617"/>
      <c r="K19" s="1617"/>
      <c r="L19" s="1617"/>
      <c r="M19" s="1617"/>
      <c r="N19" s="1617"/>
      <c r="O19" s="1617"/>
      <c r="P19" s="1617"/>
      <c r="Q19" s="1617"/>
      <c r="R19" s="1617"/>
      <c r="S19" s="1618"/>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2">
        <f>SUM(T13:X19)</f>
        <v>0</v>
      </c>
      <c r="U20" s="1295"/>
      <c r="V20" s="1295"/>
      <c r="W20" s="1295"/>
      <c r="X20" s="1295"/>
      <c r="Y20" s="1592">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1712</v>
      </c>
      <c r="C21" s="1104"/>
      <c r="D21" s="1104"/>
      <c r="E21" s="1104"/>
      <c r="F21" s="1104"/>
      <c r="G21" s="1104"/>
      <c r="H21" s="1104"/>
      <c r="I21" s="1104"/>
      <c r="J21" s="1104"/>
      <c r="K21" s="1104"/>
      <c r="L21" s="1104"/>
      <c r="M21" s="1104"/>
      <c r="N21" s="1104"/>
      <c r="O21" s="1104"/>
      <c r="P21" s="1104"/>
      <c r="Q21" s="1104"/>
      <c r="R21" s="1104"/>
      <c r="S21" s="1106"/>
      <c r="T21" s="1166">
        <v>3921287</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26">
        <f>(ABS(T20)+ABS(T21))*-1</f>
        <v>-3921287</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5" customHeight="1">
      <c r="B23" s="1103" t="s">
        <v>1907</v>
      </c>
      <c r="C23" s="1104"/>
      <c r="D23" s="1104"/>
      <c r="E23" s="1104"/>
      <c r="F23" s="1104"/>
      <c r="G23" s="1104"/>
      <c r="H23" s="1104"/>
      <c r="I23" s="1104"/>
      <c r="J23" s="1104"/>
      <c r="K23" s="1104"/>
      <c r="L23" s="1104"/>
      <c r="M23" s="1104"/>
      <c r="N23" s="1104"/>
      <c r="O23" s="1104"/>
      <c r="P23" s="1104"/>
      <c r="Q23" s="1104"/>
      <c r="R23" s="1104"/>
      <c r="S23" s="1106"/>
      <c r="T23" s="1592">
        <f>T11+T22</f>
        <v>16660181</v>
      </c>
      <c r="U23" s="1295"/>
      <c r="V23" s="1295"/>
      <c r="W23" s="1295"/>
      <c r="X23" s="1295"/>
      <c r="Y23" s="1592">
        <f>Y11+Y22</f>
        <v>0</v>
      </c>
      <c r="Z23" s="1295"/>
      <c r="AA23" s="1295"/>
      <c r="AB23" s="1295"/>
      <c r="AC23" s="1295"/>
      <c r="AD23" s="1592">
        <f>IF(AD11=AD21,0,AD11)</f>
        <v>0</v>
      </c>
      <c r="AE23" s="1295"/>
      <c r="AF23" s="1295"/>
      <c r="AG23" s="1295"/>
      <c r="AH23" s="1295"/>
      <c r="AI23" s="1592">
        <f>IF(AI11=AI21,0,AI11)</f>
        <v>0</v>
      </c>
      <c r="AJ23" s="1295"/>
      <c r="AK23" s="1295"/>
      <c r="AL23" s="1295"/>
      <c r="AM23" s="1295"/>
    </row>
    <row r="24" spans="1:39" ht="12.95" customHeight="1">
      <c r="B24" s="1103" t="s">
        <v>1218</v>
      </c>
      <c r="C24" s="1104"/>
      <c r="D24" s="1104"/>
      <c r="E24" s="1104"/>
      <c r="F24" s="1104"/>
      <c r="G24" s="1104"/>
      <c r="H24" s="1104"/>
      <c r="I24" s="1104"/>
      <c r="J24" s="1104"/>
      <c r="K24" s="1104"/>
      <c r="L24" s="1104"/>
      <c r="M24" s="1104"/>
      <c r="N24" s="1104"/>
      <c r="O24" s="1104"/>
      <c r="P24" s="1104"/>
      <c r="Q24" s="1104"/>
      <c r="R24" s="1104"/>
      <c r="S24" s="1106"/>
      <c r="T24" s="1593">
        <f>Application!AJ1020</f>
        <v>16660181.4</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5" customHeight="1">
      <c r="B25" s="1633" t="s">
        <v>1909</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16660181</v>
      </c>
      <c r="U26" s="1604"/>
      <c r="V26" s="1604"/>
      <c r="W26" s="1604"/>
      <c r="X26" s="1604"/>
      <c r="Y26" s="1094">
        <f>Y23*Y25</f>
        <v>0</v>
      </c>
      <c r="Z26" s="1604"/>
      <c r="AA26" s="1604"/>
      <c r="AB26" s="1604"/>
      <c r="AC26" s="1604"/>
      <c r="AD26" s="1094">
        <f>AD23*AD25</f>
        <v>0</v>
      </c>
      <c r="AE26" s="1604"/>
      <c r="AF26" s="1604"/>
      <c r="AG26" s="1604"/>
      <c r="AH26" s="1604"/>
      <c r="AI26" s="1094">
        <f>AI23*AI25</f>
        <v>0</v>
      </c>
      <c r="AJ26" s="1604"/>
      <c r="AK26" s="1604"/>
      <c r="AL26" s="1604"/>
      <c r="AM26" s="1604"/>
    </row>
    <row r="27" spans="1:39" ht="12.95" customHeight="1">
      <c r="A27" s="4"/>
      <c r="B27" s="1636" t="s">
        <v>879</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16660181</v>
      </c>
      <c r="U28" s="1604"/>
      <c r="V28" s="1604"/>
      <c r="W28" s="1604"/>
      <c r="X28" s="1604"/>
      <c r="Y28" s="1094">
        <f>IF(ISERROR((Y26*Y27)),0,(Y26*Y27))</f>
        <v>0</v>
      </c>
      <c r="Z28" s="1604"/>
      <c r="AA28" s="1604"/>
      <c r="AB28" s="1604"/>
      <c r="AC28" s="1604"/>
      <c r="AD28" s="1094">
        <f>IF(ISERROR((AD26*AD27)),0,(AD26*AD27))</f>
        <v>0</v>
      </c>
      <c r="AE28" s="1604"/>
      <c r="AF28" s="1604"/>
      <c r="AG28" s="1604"/>
      <c r="AH28" s="1604"/>
      <c r="AI28" s="1094">
        <f>IF(ISERROR((AI26*AI27)),0,(AI26*AI27))</f>
        <v>0</v>
      </c>
      <c r="AJ28" s="1604"/>
      <c r="AK28" s="1604"/>
      <c r="AL28" s="1604"/>
      <c r="AM28" s="1604"/>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3">
        <f>T28+Y28+AD28+AI28</f>
        <v>16660181</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5" customHeight="1">
      <c r="B30" s="1606" t="s">
        <v>1908</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5" customHeight="1">
      <c r="B31" s="1588" t="s">
        <v>1910</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5" t="s">
        <v>1605</v>
      </c>
      <c r="Z35" s="1595"/>
      <c r="AA35" s="1595"/>
      <c r="AB35" s="1595"/>
      <c r="AC35" s="1595"/>
      <c r="AD35" s="1226" t="s">
        <v>41</v>
      </c>
      <c r="AE35" s="1226"/>
      <c r="AF35" s="1226"/>
      <c r="AG35" s="1226"/>
      <c r="AH35" s="1226"/>
    </row>
    <row r="36" spans="1:44" ht="12.95" customHeight="1">
      <c r="B36" s="204"/>
      <c r="X36" s="71"/>
      <c r="Y36" s="1595"/>
      <c r="Z36" s="1595"/>
      <c r="AA36" s="1595"/>
      <c r="AB36" s="1595"/>
      <c r="AC36" s="1595"/>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6"/>
      <c r="AE37" s="1226"/>
      <c r="AF37" s="1226"/>
      <c r="AG37" s="1226"/>
      <c r="AH37" s="1226"/>
    </row>
    <row r="38" spans="1:44"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16660181</v>
      </c>
      <c r="Z38" s="1295"/>
      <c r="AA38" s="1295"/>
      <c r="AB38" s="1295"/>
      <c r="AC38" s="1295"/>
      <c r="AD38" s="1295">
        <f>IF(T24&gt;=(T23+Y23+AD23+AI23),AD28+AI28,0)</f>
        <v>0</v>
      </c>
      <c r="AE38" s="1295"/>
      <c r="AF38" s="1295"/>
      <c r="AG38" s="1295"/>
      <c r="AH38" s="1295"/>
    </row>
    <row r="39" spans="1:44" ht="12.95" customHeight="1">
      <c r="B39" s="1103" t="s">
        <v>1817</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1">
        <v>0.09</v>
      </c>
      <c r="Z39" s="1591"/>
      <c r="AA39" s="1591"/>
      <c r="AB39" s="1591"/>
      <c r="AC39" s="1591"/>
      <c r="AD39" s="1591">
        <v>0.04</v>
      </c>
      <c r="AE39" s="1591"/>
      <c r="AF39" s="1591"/>
      <c r="AG39" s="1591"/>
      <c r="AH39" s="1591"/>
    </row>
    <row r="40" spans="1:44"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1499416</v>
      </c>
      <c r="Z40" s="1295"/>
      <c r="AA40" s="1295"/>
      <c r="AB40" s="1295"/>
      <c r="AC40" s="1295"/>
      <c r="AD40" s="1592">
        <f>ROUND(AD38*AD39,0)</f>
        <v>0</v>
      </c>
      <c r="AE40" s="1295"/>
      <c r="AF40" s="1295"/>
      <c r="AG40" s="1295"/>
      <c r="AH40" s="1295"/>
    </row>
    <row r="41" spans="1:44"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3">
        <f>IF(Application!Y211="No",'Basis &amp; Credits'!AR42,AR43)</f>
        <v>1499416</v>
      </c>
      <c r="Z41" s="1594"/>
      <c r="AA41" s="1594"/>
      <c r="AB41" s="1594"/>
      <c r="AC41" s="1594"/>
      <c r="AD41" s="1594"/>
      <c r="AE41" s="1594"/>
      <c r="AF41" s="1594"/>
      <c r="AG41" s="1594"/>
      <c r="AH41" s="1592"/>
    </row>
    <row r="42" spans="1:44" ht="12.95" customHeight="1">
      <c r="A42" s="3"/>
      <c r="B42" s="1603" t="s">
        <v>1818</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1499416</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1499416</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7">
        <f>'Sources and Uses Budget'!B104-(MAX(IF('Sources and Uses Budget'!B15="",0,'Sources and Uses Budget'!B15),IF(Application!AG387="",0,Application!AG387)))</f>
        <v>22429798</v>
      </c>
      <c r="AC46" s="1228"/>
      <c r="AD46" s="1228"/>
      <c r="AE46" s="1228"/>
      <c r="AF46" s="1229"/>
    </row>
    <row r="47" spans="1:44" ht="12.95" customHeight="1">
      <c r="D47" s="3" t="s">
        <v>837</v>
      </c>
      <c r="AB47" s="1227">
        <f>Application!AO633-MAX(IF('Sources and Uses Budget'!B15="",0,'Sources and Uses Budget'!B15),IF(Application!AG387="",0,Application!AG387))</f>
        <v>6217709</v>
      </c>
      <c r="AC47" s="1228"/>
      <c r="AD47" s="1228"/>
      <c r="AE47" s="1228"/>
      <c r="AF47" s="1229"/>
    </row>
    <row r="48" spans="1:44" ht="12.95" customHeight="1">
      <c r="D48" s="3" t="s">
        <v>378</v>
      </c>
      <c r="AB48" s="1227">
        <f>AB46-AB47</f>
        <v>16212089</v>
      </c>
      <c r="AC48" s="1228"/>
      <c r="AD48" s="1228"/>
      <c r="AE48" s="1228"/>
      <c r="AF48" s="1229"/>
    </row>
    <row r="49" spans="1:40" ht="12.95" customHeight="1">
      <c r="D49" s="3" t="s">
        <v>872</v>
      </c>
      <c r="AA49" s="34"/>
      <c r="AB49" s="1598">
        <v>0.86000016000000001</v>
      </c>
      <c r="AC49" s="1599"/>
      <c r="AD49" s="1599"/>
      <c r="AE49" s="1599"/>
      <c r="AF49" s="1600"/>
    </row>
    <row r="50" spans="1:40" s="323" customFormat="1" ht="12.95" customHeight="1">
      <c r="A50"/>
      <c r="B50"/>
      <c r="C50"/>
      <c r="D50"/>
      <c r="E50" s="1605" t="s">
        <v>1954</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5"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18851263</v>
      </c>
      <c r="AC53" s="1228"/>
      <c r="AD53" s="1228"/>
      <c r="AE53" s="1228"/>
      <c r="AF53" s="1229"/>
    </row>
    <row r="54" spans="1:40" ht="12.95" customHeight="1">
      <c r="D54" s="3" t="s">
        <v>561</v>
      </c>
      <c r="AB54" s="1227">
        <f>(AB53/10)</f>
        <v>1885126.3</v>
      </c>
      <c r="AC54" s="1228"/>
      <c r="AD54" s="1228"/>
      <c r="AE54" s="1228"/>
      <c r="AF54" s="1229"/>
    </row>
    <row r="55" spans="1:40" ht="12.95" customHeight="1">
      <c r="D55" s="3" t="s">
        <v>341</v>
      </c>
      <c r="AB55" s="1227">
        <f>(IF((Y41&lt;AB54),Y41,AB54))</f>
        <v>1499416</v>
      </c>
      <c r="AC55" s="1228"/>
      <c r="AD55" s="1228"/>
      <c r="AE55" s="1228"/>
      <c r="AF55" s="1229"/>
    </row>
    <row r="56" spans="1:40" ht="12.95" customHeight="1">
      <c r="D56" s="3" t="s">
        <v>107</v>
      </c>
      <c r="AB56" s="1227">
        <f>ROUND((10*AB55*AB49),0)</f>
        <v>12894980</v>
      </c>
      <c r="AC56" s="1228"/>
      <c r="AD56" s="1228"/>
      <c r="AE56" s="1228"/>
      <c r="AF56" s="1229"/>
    </row>
    <row r="57" spans="1:40" ht="12.95" customHeight="1">
      <c r="D57" s="3"/>
      <c r="AB57" s="276"/>
      <c r="AC57" s="276"/>
      <c r="AD57" s="276"/>
      <c r="AE57" s="276"/>
      <c r="AF57" s="276"/>
    </row>
    <row r="58" spans="1:40" ht="12.95" customHeight="1">
      <c r="D58" s="3" t="s">
        <v>106</v>
      </c>
      <c r="AB58" s="1299">
        <f>AB48-AB56</f>
        <v>3317109</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9" t="s">
        <v>1751</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2" t="s">
        <v>298</v>
      </c>
      <c r="Z62" s="1542"/>
      <c r="AA62" s="1542"/>
      <c r="AB62" s="1542"/>
      <c r="AC62" s="1542"/>
      <c r="AD62" s="1542" t="s">
        <v>41</v>
      </c>
      <c r="AE62" s="1542"/>
      <c r="AF62" s="1542"/>
      <c r="AG62" s="1542"/>
      <c r="AH62" s="1542"/>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16660181</v>
      </c>
      <c r="Z63" s="1601"/>
      <c r="AA63" s="1601"/>
      <c r="AB63" s="1601"/>
      <c r="AC63" s="1601"/>
      <c r="AD63" s="1295">
        <f>IF(AND(T25=1.3,Application!D214="At-Risk"),AI28,IF(Application!D214&lt;&gt;"At-Risk",0,AD28))</f>
        <v>0</v>
      </c>
      <c r="AE63" s="1601"/>
      <c r="AF63" s="1601"/>
      <c r="AG63" s="1601"/>
      <c r="AH63" s="1601"/>
    </row>
    <row r="64" spans="1:40" ht="12.95" customHeight="1">
      <c r="C64" s="3"/>
      <c r="E64" s="1590" t="s">
        <v>1289</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5" customHeight="1">
      <c r="C67" s="3"/>
      <c r="D67" s="3" t="s">
        <v>941</v>
      </c>
      <c r="Y67" s="1295">
        <f>ROUND(Y63*Y66,0)</f>
        <v>4998054</v>
      </c>
      <c r="Z67" s="1601"/>
      <c r="AA67" s="1601"/>
      <c r="AB67" s="1601"/>
      <c r="AC67" s="1601"/>
      <c r="AD67" s="1295" t="str">
        <f>IF(OR(Application!D211="At-Risk",Application!D211="At-Risk/Located in Rural Census Tract",Application!D214="At-Risk"),ROUND(AD63*AD66,0),"$0")</f>
        <v>$0</v>
      </c>
      <c r="AE67" s="1295"/>
      <c r="AF67" s="1295"/>
      <c r="AG67" s="1295"/>
      <c r="AH67" s="1295"/>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8">
        <v>0.85</v>
      </c>
      <c r="AC70" s="1599"/>
      <c r="AD70" s="1599"/>
      <c r="AE70" s="1599"/>
      <c r="AF70" s="1600"/>
    </row>
    <row r="71" spans="1:34" ht="12.95" customHeight="1">
      <c r="A71" s="3"/>
      <c r="C71" s="3"/>
      <c r="D71" s="3"/>
      <c r="E71" s="1602" t="s">
        <v>2253</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5"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5"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3902481</v>
      </c>
      <c r="AC75" s="1276"/>
      <c r="AD75" s="1276"/>
      <c r="AE75" s="1276"/>
      <c r="AF75" s="1276"/>
    </row>
    <row r="76" spans="1:34" ht="12.95" customHeight="1">
      <c r="C76" s="3"/>
      <c r="D76" s="3" t="s">
        <v>105</v>
      </c>
      <c r="AB76" s="1176">
        <f>IF((Y67+AD67&lt;AB75),Y67+AD67,AB75)</f>
        <v>3902481</v>
      </c>
      <c r="AC76" s="1177"/>
      <c r="AD76" s="1177"/>
      <c r="AE76" s="1177"/>
      <c r="AF76" s="1178"/>
    </row>
    <row r="77" spans="1:34" ht="12.95" customHeight="1">
      <c r="C77" s="3"/>
      <c r="D77" s="3" t="s">
        <v>942</v>
      </c>
      <c r="AB77" s="1596">
        <f>AB76*AB70</f>
        <v>3317108.85</v>
      </c>
      <c r="AC77" s="1596"/>
      <c r="AD77" s="1596"/>
      <c r="AE77" s="1596"/>
      <c r="AF77" s="1596"/>
    </row>
    <row r="78" spans="1:34" ht="12.95" customHeight="1">
      <c r="C78" s="3"/>
      <c r="D78" s="3"/>
      <c r="AB78" s="598"/>
      <c r="AC78" s="598"/>
      <c r="AD78" s="598"/>
      <c r="AE78" s="598"/>
      <c r="AF78" s="598"/>
    </row>
    <row r="79" spans="1:34" ht="12.95" customHeight="1">
      <c r="D79" s="3" t="s">
        <v>106</v>
      </c>
      <c r="AB79" s="1299">
        <f>AB48-(AB56+AB77)</f>
        <v>0.15000000037252903</v>
      </c>
      <c r="AC79" s="1299"/>
      <c r="AD79" s="1299"/>
      <c r="AE79" s="1299"/>
      <c r="AF79" s="1299"/>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9" t="s">
        <v>1825</v>
      </c>
      <c r="B1" s="1640"/>
      <c r="C1" s="1640"/>
      <c r="D1" s="1640"/>
      <c r="E1" s="1640"/>
      <c r="F1" s="1640"/>
      <c r="G1" s="1640"/>
      <c r="H1" s="1640"/>
      <c r="I1" s="1640"/>
      <c r="J1" s="1641"/>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660000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19800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679800</v>
      </c>
      <c r="C8" s="584">
        <f>SUM(C4:C7)</f>
        <v>0</v>
      </c>
      <c r="D8" s="584">
        <f>SUM(D4:D7)</f>
        <v>0</v>
      </c>
      <c r="E8" s="586"/>
      <c r="F8" s="586"/>
      <c r="G8" s="586"/>
      <c r="H8" s="586"/>
      <c r="I8" s="586"/>
      <c r="J8" s="586"/>
      <c r="K8" s="579"/>
    </row>
    <row r="9" spans="1:11" s="253" customFormat="1">
      <c r="A9" s="239" t="s">
        <v>1721</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679800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3311966</v>
      </c>
      <c r="C28" s="585"/>
      <c r="D28" s="585"/>
      <c r="E28" s="584">
        <f>'Sources and Uses Budget'!S29</f>
        <v>3161966</v>
      </c>
      <c r="F28" s="585"/>
      <c r="G28" s="585"/>
      <c r="H28" s="584">
        <f>'Sources and Uses Budget'!T29</f>
        <v>0</v>
      </c>
      <c r="I28" s="585"/>
      <c r="J28" s="585"/>
      <c r="K28" s="579"/>
    </row>
    <row r="29" spans="1:11" s="253" customFormat="1">
      <c r="A29" s="239" t="s">
        <v>911</v>
      </c>
      <c r="B29" s="584">
        <f>'Sources and Uses Budget'!C30</f>
        <v>8442490</v>
      </c>
      <c r="C29" s="585"/>
      <c r="D29" s="585"/>
      <c r="E29" s="584">
        <f>'Sources and Uses Budget'!S30</f>
        <v>8442490</v>
      </c>
      <c r="F29" s="585"/>
      <c r="G29" s="585"/>
      <c r="H29" s="584">
        <f>'Sources and Uses Budget'!T30</f>
        <v>0</v>
      </c>
      <c r="I29" s="585"/>
      <c r="J29" s="585"/>
      <c r="K29" s="579"/>
    </row>
    <row r="30" spans="1:11" s="253" customFormat="1">
      <c r="A30" s="239" t="s">
        <v>912</v>
      </c>
      <c r="B30" s="584">
        <f>'Sources and Uses Budget'!C31</f>
        <v>704756</v>
      </c>
      <c r="C30" s="585"/>
      <c r="D30" s="585"/>
      <c r="E30" s="584">
        <f>'Sources and Uses Budget'!S31</f>
        <v>704756</v>
      </c>
      <c r="F30" s="585"/>
      <c r="G30" s="585"/>
      <c r="H30" s="584">
        <f>'Sources and Uses Budget'!T31</f>
        <v>0</v>
      </c>
      <c r="I30" s="585"/>
      <c r="J30" s="585"/>
      <c r="K30" s="579"/>
    </row>
    <row r="31" spans="1:11" s="253" customFormat="1">
      <c r="A31" s="239" t="s">
        <v>913</v>
      </c>
      <c r="B31" s="584">
        <f>'Sources and Uses Budget'!C32</f>
        <v>466237</v>
      </c>
      <c r="C31" s="585"/>
      <c r="D31" s="585"/>
      <c r="E31" s="584">
        <f>'Sources and Uses Budget'!S32</f>
        <v>466237</v>
      </c>
      <c r="F31" s="585"/>
      <c r="G31" s="585"/>
      <c r="H31" s="584">
        <f>'Sources and Uses Budget'!T32</f>
        <v>0</v>
      </c>
      <c r="I31" s="585"/>
      <c r="J31" s="585"/>
      <c r="K31" s="579"/>
    </row>
    <row r="32" spans="1:11" s="253" customFormat="1">
      <c r="A32" s="239" t="s">
        <v>914</v>
      </c>
      <c r="B32" s="584">
        <f>'Sources and Uses Budget'!C33</f>
        <v>470178</v>
      </c>
      <c r="C32" s="585"/>
      <c r="D32" s="585"/>
      <c r="E32" s="584">
        <f>'Sources and Uses Budget'!S33</f>
        <v>470178</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176317</v>
      </c>
      <c r="C34" s="585"/>
      <c r="D34" s="585"/>
      <c r="E34" s="584">
        <f>'Sources and Uses Budget'!S35</f>
        <v>176317</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P&amp;P Bond</v>
      </c>
      <c r="B36" s="584">
        <f>'Sources and Uses Budget'!C37</f>
        <v>243317</v>
      </c>
      <c r="C36" s="585"/>
      <c r="D36" s="585"/>
      <c r="E36" s="584">
        <f>'Sources and Uses Budget'!S37</f>
        <v>243317</v>
      </c>
      <c r="F36" s="585"/>
      <c r="G36" s="585"/>
      <c r="H36" s="584">
        <f>'Sources and Uses Budget'!T37</f>
        <v>0</v>
      </c>
      <c r="I36" s="585"/>
      <c r="J36" s="585"/>
      <c r="K36" s="579"/>
    </row>
    <row r="37" spans="1:11" s="253" customFormat="1">
      <c r="A37" s="243" t="s">
        <v>919</v>
      </c>
      <c r="B37" s="584">
        <f>'Sources and Uses Budget'!C38</f>
        <v>13815261</v>
      </c>
      <c r="C37" s="584">
        <f>SUM(C28:C36)</f>
        <v>0</v>
      </c>
      <c r="D37" s="584">
        <f>SUM(D28:D36)</f>
        <v>0</v>
      </c>
      <c r="E37" s="584">
        <f>'Sources and Uses Budget'!S38</f>
        <v>13665261</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532000</v>
      </c>
      <c r="C39" s="585"/>
      <c r="D39" s="585"/>
      <c r="E39" s="584">
        <f>'Sources and Uses Budget'!S40</f>
        <v>532000</v>
      </c>
      <c r="F39" s="585"/>
      <c r="G39" s="585"/>
      <c r="H39" s="584">
        <f>'Sources and Uses Budget'!T40</f>
        <v>0</v>
      </c>
      <c r="I39" s="585"/>
      <c r="J39" s="585"/>
      <c r="K39" s="579"/>
    </row>
    <row r="40" spans="1:11" s="253" customFormat="1">
      <c r="A40" s="239" t="s">
        <v>922</v>
      </c>
      <c r="B40" s="584">
        <f>'Sources and Uses Budget'!C41</f>
        <v>224000</v>
      </c>
      <c r="C40" s="585"/>
      <c r="D40" s="585"/>
      <c r="E40" s="584">
        <f>'Sources and Uses Budget'!S41</f>
        <v>224000</v>
      </c>
      <c r="F40" s="585"/>
      <c r="G40" s="585"/>
      <c r="H40" s="584">
        <f>'Sources and Uses Budget'!T41</f>
        <v>0</v>
      </c>
      <c r="I40" s="585"/>
      <c r="J40" s="585"/>
      <c r="K40" s="579"/>
    </row>
    <row r="41" spans="1:11" s="253" customFormat="1">
      <c r="A41" s="243" t="s">
        <v>923</v>
      </c>
      <c r="B41" s="584">
        <f>'Sources and Uses Budget'!C42</f>
        <v>756000</v>
      </c>
      <c r="C41" s="584">
        <f>SUM(C38:C40)</f>
        <v>0</v>
      </c>
      <c r="D41" s="584">
        <f>SUM(D38:D40)</f>
        <v>0</v>
      </c>
      <c r="E41" s="584">
        <f>'Sources and Uses Budget'!S42</f>
        <v>756000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162400</v>
      </c>
      <c r="C42" s="585"/>
      <c r="D42" s="585"/>
      <c r="E42" s="584">
        <f>'Sources and Uses Budget'!S43</f>
        <v>162400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992000</v>
      </c>
      <c r="C44" s="585"/>
      <c r="D44" s="585"/>
      <c r="E44" s="584">
        <f>'Sources and Uses Budget'!S45</f>
        <v>800000</v>
      </c>
      <c r="F44" s="585"/>
      <c r="G44" s="585"/>
      <c r="H44" s="584">
        <f>'Sources and Uses Budget'!T45</f>
        <v>0</v>
      </c>
      <c r="I44" s="585"/>
      <c r="J44" s="585"/>
      <c r="K44" s="579"/>
    </row>
    <row r="45" spans="1:11" s="253" customFormat="1">
      <c r="A45" s="239" t="s">
        <v>927</v>
      </c>
      <c r="B45" s="584">
        <f>'Sources and Uses Budget'!C46</f>
        <v>131000</v>
      </c>
      <c r="C45" s="585"/>
      <c r="D45" s="585"/>
      <c r="E45" s="584">
        <f>'Sources and Uses Budget'!S46</f>
        <v>131000</v>
      </c>
      <c r="F45" s="585"/>
      <c r="G45" s="585"/>
      <c r="H45" s="584">
        <f>'Sources and Uses Budget'!T46</f>
        <v>0</v>
      </c>
      <c r="I45" s="585"/>
      <c r="J45" s="585"/>
      <c r="K45" s="579"/>
    </row>
    <row r="46" spans="1:11" s="253" customFormat="1" ht="12" customHeight="1">
      <c r="A46" s="239" t="s">
        <v>928</v>
      </c>
      <c r="B46" s="584">
        <f>'Sources and Uses Budget'!C47</f>
        <v>489080</v>
      </c>
      <c r="C46" s="585"/>
      <c r="D46" s="585"/>
      <c r="E46" s="584">
        <f>'Sources and Uses Budget'!S47</f>
        <v>489080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26200</v>
      </c>
      <c r="C48" s="585"/>
      <c r="D48" s="585"/>
      <c r="E48" s="584">
        <f>'Sources and Uses Budget'!S49</f>
        <v>26200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448996</v>
      </c>
      <c r="C50" s="585"/>
      <c r="D50" s="585"/>
      <c r="E50" s="584">
        <f>'Sources and Uses Budget'!S51</f>
        <v>363221</v>
      </c>
      <c r="F50" s="585"/>
      <c r="G50" s="585"/>
      <c r="H50" s="584">
        <f>'Sources and Uses Budget'!T51</f>
        <v>0</v>
      </c>
      <c r="I50" s="585"/>
      <c r="J50" s="585"/>
      <c r="K50" s="579"/>
    </row>
    <row r="51" spans="1:11" s="253" customFormat="1">
      <c r="A51" s="239" t="str">
        <f>'Sources and Uses Budget'!$A52</f>
        <v>Inspections</v>
      </c>
      <c r="B51" s="584">
        <f>'Sources and Uses Budget'!C52</f>
        <v>124450</v>
      </c>
      <c r="C51" s="585"/>
      <c r="D51" s="585"/>
      <c r="E51" s="584">
        <f>'Sources and Uses Budget'!S52</f>
        <v>124450</v>
      </c>
      <c r="F51" s="585"/>
      <c r="G51" s="585"/>
      <c r="H51" s="584">
        <f>'Sources and Uses Budget'!T52</f>
        <v>0</v>
      </c>
      <c r="I51" s="585"/>
      <c r="J51" s="585"/>
      <c r="K51" s="579"/>
    </row>
    <row r="52" spans="1:11" s="577" customFormat="1">
      <c r="A52" s="243" t="s">
        <v>933</v>
      </c>
      <c r="B52" s="584">
        <f>'Sources and Uses Budget'!C53</f>
        <v>2211726</v>
      </c>
      <c r="C52" s="587">
        <f>SUM(C44:C51)</f>
        <v>0</v>
      </c>
      <c r="D52" s="587">
        <f>SUM(D44:D51)</f>
        <v>0</v>
      </c>
      <c r="E52" s="584">
        <f>'Sources and Uses Budget'!S53</f>
        <v>1933951</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20000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12661</v>
      </c>
      <c r="C56" s="585"/>
      <c r="D56" s="585"/>
      <c r="E56" s="586"/>
      <c r="F56" s="586"/>
      <c r="G56" s="586"/>
      <c r="H56" s="586"/>
      <c r="I56" s="586"/>
      <c r="J56" s="586"/>
      <c r="K56" s="579"/>
    </row>
    <row r="57" spans="1:11" s="253" customFormat="1">
      <c r="A57" s="239" t="s">
        <v>930</v>
      </c>
      <c r="B57" s="584">
        <f>'Sources and Uses Budget'!C58</f>
        <v>6600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39261</v>
      </c>
      <c r="C60" s="584">
        <f>SUM(C54:C59)</f>
        <v>0</v>
      </c>
      <c r="D60" s="584">
        <f>SUM(D54:D59)</f>
        <v>0</v>
      </c>
      <c r="E60" s="586"/>
      <c r="F60" s="586"/>
      <c r="G60" s="586"/>
      <c r="H60" s="586"/>
      <c r="I60" s="586"/>
      <c r="J60" s="586"/>
      <c r="K60" s="579"/>
    </row>
    <row r="61" spans="1:11" s="253" customFormat="1">
      <c r="A61" s="249" t="s">
        <v>501</v>
      </c>
      <c r="B61" s="584">
        <f>'Sources and Uses Budget'!C62</f>
        <v>17664448</v>
      </c>
      <c r="C61" s="584">
        <f>SUM(C8+C11+C13+C14+C15+C25+C26+C37+C41+C42+C52+C60)</f>
        <v>0</v>
      </c>
      <c r="D61" s="584">
        <f>SUM(D8+D11+D13+D14+D15+D25+D26+D37+D41+D42+D52+D60)</f>
        <v>0</v>
      </c>
      <c r="E61" s="584">
        <f>'Sources and Uses Budget'!S62</f>
        <v>16517612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70000</v>
      </c>
      <c r="C63" s="585"/>
      <c r="D63" s="585"/>
      <c r="E63" s="584">
        <f>'Sources and Uses Budget'!S64</f>
        <v>70000</v>
      </c>
      <c r="F63" s="585"/>
      <c r="G63" s="585"/>
      <c r="H63" s="584">
        <f>'Sources and Uses Budget'!T64</f>
        <v>0</v>
      </c>
      <c r="I63" s="585"/>
      <c r="J63" s="585"/>
      <c r="K63" s="579"/>
    </row>
    <row r="64" spans="1:11" s="253" customFormat="1" ht="24">
      <c r="A64" s="239" t="s">
        <v>1957</v>
      </c>
      <c r="B64" s="584">
        <f>'Sources and Uses Budget'!C65</f>
        <v>95200</v>
      </c>
      <c r="C64" s="585"/>
      <c r="D64" s="585"/>
      <c r="E64" s="584">
        <f>'Sources and Uses Budget'!S65</f>
        <v>95200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 Attorney</v>
      </c>
      <c r="B67" s="584">
        <f>'Sources and Uses Budget'!C68</f>
        <v>105494</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270694</v>
      </c>
      <c r="C68" s="584">
        <f>SUM(C62:C67)</f>
        <v>0</v>
      </c>
      <c r="D68" s="584">
        <f>SUM(D62:D67)</f>
        <v>0</v>
      </c>
      <c r="E68" s="584">
        <f>'Sources and Uses Budget'!S69</f>
        <v>165200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200000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162000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362000</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690763</v>
      </c>
      <c r="C77" s="585"/>
      <c r="D77" s="585"/>
      <c r="E77" s="584">
        <f>'Sources and Uses Budget'!S78</f>
        <v>690763</v>
      </c>
      <c r="F77" s="585"/>
      <c r="G77" s="585"/>
      <c r="H77" s="584">
        <f>'Sources and Uses Budget'!T78</f>
        <v>0</v>
      </c>
      <c r="I77" s="585"/>
      <c r="J77" s="585"/>
      <c r="K77" s="579"/>
    </row>
    <row r="78" spans="1:11" s="253" customFormat="1">
      <c r="A78" s="239" t="s">
        <v>538</v>
      </c>
      <c r="B78" s="584">
        <f>'Sources and Uses Budget'!C79</f>
        <v>318947</v>
      </c>
      <c r="C78" s="585"/>
      <c r="D78" s="585"/>
      <c r="E78" s="584">
        <f>'Sources and Uses Budget'!S79</f>
        <v>318947</v>
      </c>
      <c r="F78" s="585"/>
      <c r="G78" s="585"/>
      <c r="H78" s="584">
        <f>'Sources and Uses Budget'!T79</f>
        <v>0</v>
      </c>
      <c r="I78" s="585"/>
      <c r="J78" s="585"/>
      <c r="K78" s="579"/>
    </row>
    <row r="79" spans="1:11" s="253" customFormat="1">
      <c r="A79" s="243" t="s">
        <v>1743</v>
      </c>
      <c r="B79" s="584">
        <f>'Sources and Uses Budget'!C80</f>
        <v>1009710</v>
      </c>
      <c r="C79" s="667">
        <f>SUM(C77:C78)</f>
        <v>0</v>
      </c>
      <c r="D79" s="667">
        <f>SUM(D77:D78)</f>
        <v>0</v>
      </c>
      <c r="E79" s="584">
        <f>'Sources and Uses Budget'!S80</f>
        <v>1009710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150000</v>
      </c>
      <c r="C81" s="585"/>
      <c r="D81" s="585"/>
      <c r="E81" s="586"/>
      <c r="F81" s="586"/>
      <c r="G81" s="586"/>
      <c r="H81" s="586"/>
      <c r="I81" s="586"/>
      <c r="J81" s="586"/>
      <c r="K81" s="579"/>
    </row>
    <row r="82" spans="1:11" s="253" customFormat="1">
      <c r="A82" s="239" t="s">
        <v>516</v>
      </c>
      <c r="B82" s="584">
        <f>'Sources and Uses Budget'!C83</f>
        <v>241220</v>
      </c>
      <c r="C82" s="585"/>
      <c r="D82" s="585"/>
      <c r="E82" s="584">
        <f>'Sources and Uses Budget'!S83</f>
        <v>241220</v>
      </c>
      <c r="F82" s="585"/>
      <c r="G82" s="585"/>
      <c r="H82" s="584">
        <f>'Sources and Uses Budget'!T83</f>
        <v>0</v>
      </c>
      <c r="I82" s="585"/>
      <c r="J82" s="585"/>
      <c r="K82" s="579"/>
    </row>
    <row r="83" spans="1:11" s="253" customFormat="1">
      <c r="A83" s="239" t="s">
        <v>517</v>
      </c>
      <c r="B83" s="584">
        <f>'Sources and Uses Budget'!C84</f>
        <v>944400</v>
      </c>
      <c r="C83" s="585"/>
      <c r="D83" s="585"/>
      <c r="E83" s="584">
        <f>'Sources and Uses Budget'!S84</f>
        <v>944400</v>
      </c>
      <c r="F83" s="585"/>
      <c r="G83" s="585"/>
      <c r="H83" s="584">
        <f>'Sources and Uses Budget'!T84</f>
        <v>0</v>
      </c>
      <c r="I83" s="585"/>
      <c r="J83" s="585"/>
      <c r="K83" s="579"/>
    </row>
    <row r="84" spans="1:11" s="253" customFormat="1">
      <c r="A84" s="239" t="s">
        <v>518</v>
      </c>
      <c r="B84" s="584">
        <f>'Sources and Uses Budget'!C85</f>
        <v>319566</v>
      </c>
      <c r="C84" s="585"/>
      <c r="D84" s="585"/>
      <c r="E84" s="584">
        <f>'Sources and Uses Budget'!S85</f>
        <v>319566</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84000</v>
      </c>
      <c r="C86" s="585"/>
      <c r="D86" s="585"/>
      <c r="E86" s="586"/>
      <c r="F86" s="586"/>
      <c r="G86" s="586"/>
      <c r="H86" s="586"/>
      <c r="I86" s="586"/>
      <c r="J86" s="586"/>
      <c r="K86" s="579"/>
    </row>
    <row r="87" spans="1:11" s="253" customFormat="1">
      <c r="A87" s="239" t="s">
        <v>521</v>
      </c>
      <c r="B87" s="584">
        <f>'Sources and Uses Budget'!C88</f>
        <v>114800</v>
      </c>
      <c r="C87" s="585"/>
      <c r="D87" s="585"/>
      <c r="E87" s="584">
        <f>'Sources and Uses Budget'!S88</f>
        <v>114800</v>
      </c>
      <c r="F87" s="585"/>
      <c r="G87" s="585"/>
      <c r="H87" s="584">
        <f>'Sources and Uses Budget'!T88</f>
        <v>0</v>
      </c>
      <c r="I87" s="585"/>
      <c r="J87" s="585"/>
      <c r="K87" s="579"/>
    </row>
    <row r="88" spans="1:11" s="253" customFormat="1">
      <c r="A88" s="239" t="s">
        <v>522</v>
      </c>
      <c r="B88" s="584">
        <f>'Sources and Uses Budget'!C89</f>
        <v>26960</v>
      </c>
      <c r="C88" s="585"/>
      <c r="D88" s="585"/>
      <c r="E88" s="584">
        <f>'Sources and Uses Budget'!S89</f>
        <v>26960</v>
      </c>
      <c r="F88" s="585"/>
      <c r="G88" s="585"/>
      <c r="H88" s="584">
        <f>'Sources and Uses Budget'!T89</f>
        <v>0</v>
      </c>
      <c r="I88" s="585"/>
      <c r="J88" s="585"/>
      <c r="K88" s="579"/>
    </row>
    <row r="89" spans="1:11" s="253" customFormat="1">
      <c r="A89" s="239" t="s">
        <v>1315</v>
      </c>
      <c r="B89" s="584">
        <f>'Sources and Uses Budget'!C90</f>
        <v>28000</v>
      </c>
      <c r="C89" s="585"/>
      <c r="D89" s="585"/>
      <c r="E89" s="584">
        <f>'Sources and Uses Budget'!S90</f>
        <v>28000</v>
      </c>
      <c r="F89" s="585"/>
      <c r="G89" s="585"/>
      <c r="H89" s="584">
        <f>'Sources and Uses Budget'!T90</f>
        <v>0</v>
      </c>
      <c r="I89" s="585"/>
      <c r="J89" s="585"/>
      <c r="K89" s="579"/>
    </row>
    <row r="90" spans="1:11" s="253" customFormat="1">
      <c r="A90" s="239" t="s">
        <v>1741</v>
      </c>
      <c r="B90" s="584">
        <f>'Sources and Uses Budget'!C91</f>
        <v>14000</v>
      </c>
      <c r="C90" s="585"/>
      <c r="D90" s="585"/>
      <c r="E90" s="584">
        <f>'Sources and Uses Budget'!S91</f>
        <v>14000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1922946</v>
      </c>
      <c r="C94" s="584">
        <f>SUM(C81:C93)</f>
        <v>0</v>
      </c>
      <c r="D94" s="584">
        <f>SUM(D81:D93)</f>
        <v>0</v>
      </c>
      <c r="E94" s="584">
        <f>'Sources and Uses Budget'!S95</f>
        <v>1688946</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21229798</v>
      </c>
      <c r="C95" s="584">
        <f>SUM(C61+C68+C75+C79+C94)</f>
        <v>0</v>
      </c>
      <c r="D95" s="584">
        <f>SUM(D61+D68+D75+D79+D94)</f>
        <v>0</v>
      </c>
      <c r="E95" s="584">
        <f>'Sources and Uses Budget'!S96</f>
        <v>19381468</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1200000</v>
      </c>
      <c r="C97" s="585"/>
      <c r="D97" s="585"/>
      <c r="E97" s="584">
        <f>'Sources and Uses Budget'!S98</f>
        <v>1200000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1200000</v>
      </c>
      <c r="C102" s="584">
        <f>SUM(C97:C101)</f>
        <v>0</v>
      </c>
      <c r="D102" s="584">
        <f>SUM(D97:D101)</f>
        <v>0</v>
      </c>
      <c r="E102" s="584">
        <f>'Sources and Uses Budget'!S103</f>
        <v>1200000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22429798</v>
      </c>
      <c r="C103" s="587">
        <f>SUM(C95+C102)</f>
        <v>0</v>
      </c>
      <c r="D103" s="587">
        <f>SUM(D95+D102)</f>
        <v>0</v>
      </c>
      <c r="E103" s="584">
        <f>'Sources and Uses Budget'!S104</f>
        <v>20581468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20581468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166" workbookViewId="0">
      <selection activeCell="R204" sqref="R20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8" t="s">
        <v>846</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72" t="s">
        <v>364</v>
      </c>
      <c r="AF4" s="1672"/>
      <c r="AG4" s="1672"/>
      <c r="AH4" s="1672"/>
      <c r="AI4" s="1672"/>
      <c r="AJ4" s="1672"/>
      <c r="AK4" s="1672"/>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2" t="s">
        <v>854</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78" t="s">
        <v>2349</v>
      </c>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78" t="s">
        <v>1243</v>
      </c>
      <c r="C11" s="1778"/>
      <c r="D11" s="1778"/>
      <c r="E11" s="1778"/>
      <c r="F11" s="1778"/>
      <c r="G11" s="1778"/>
      <c r="H11" s="1778"/>
      <c r="I11" s="1778"/>
      <c r="J11" s="1778"/>
      <c r="K11" s="1778"/>
      <c r="L11" s="1778"/>
      <c r="M11" s="1778"/>
      <c r="N11" s="1778"/>
      <c r="O11" s="1778"/>
      <c r="P11" s="1778"/>
      <c r="Q11" s="1778"/>
      <c r="R11" s="1778"/>
      <c r="S11" s="1778"/>
      <c r="T11" s="1778"/>
      <c r="U11" s="1778"/>
      <c r="V11" s="1778"/>
      <c r="W11" s="1778"/>
      <c r="X11" s="1778"/>
      <c r="Y11" s="1778"/>
      <c r="Z11" s="1778"/>
      <c r="AA11" s="1778"/>
      <c r="AB11" s="1778"/>
      <c r="AC11" s="1778"/>
      <c r="AD11" s="1778"/>
      <c r="AE11" s="1778"/>
      <c r="AF11" s="1778"/>
      <c r="AG11" s="1778"/>
      <c r="AH11" s="1778"/>
      <c r="AI11" s="1778"/>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80" t="s">
        <v>124</v>
      </c>
      <c r="AC13" s="178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78" t="s">
        <v>1119</v>
      </c>
      <c r="C16" s="1778"/>
      <c r="D16" s="1778"/>
      <c r="E16" s="1778"/>
      <c r="F16" s="1778"/>
      <c r="G16" s="1778"/>
      <c r="H16" s="1778"/>
      <c r="I16" s="1778"/>
      <c r="J16" s="1778"/>
      <c r="K16" s="1778"/>
      <c r="L16" s="1778"/>
      <c r="M16" s="1778"/>
      <c r="N16" s="1778"/>
      <c r="O16" s="1778"/>
      <c r="P16" s="1778"/>
      <c r="Q16" s="1778"/>
      <c r="R16" s="1778"/>
      <c r="S16" s="1778"/>
      <c r="T16" s="1778"/>
      <c r="U16" s="1778"/>
      <c r="V16" s="1778"/>
      <c r="W16" s="1778"/>
      <c r="X16" s="1778"/>
      <c r="Y16" s="1778"/>
      <c r="Z16" s="1778"/>
      <c r="AA16" s="1778"/>
      <c r="AB16" s="1778"/>
      <c r="AC16" s="1778"/>
      <c r="AD16" s="1778"/>
      <c r="AE16" s="1778"/>
      <c r="AF16" s="1778"/>
      <c r="AG16" s="1778"/>
      <c r="AH16" s="1778"/>
      <c r="AI16" s="1778"/>
      <c r="AJ16" s="1778"/>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68" t="s">
        <v>2210</v>
      </c>
      <c r="C20" s="1668"/>
      <c r="D20" s="1668"/>
      <c r="E20" s="1668"/>
      <c r="F20" s="1668"/>
      <c r="G20" s="1668"/>
      <c r="H20" s="1668"/>
      <c r="I20" s="1668"/>
      <c r="J20" s="1668"/>
      <c r="K20" s="1668"/>
      <c r="L20" s="1668"/>
      <c r="M20" s="1668"/>
      <c r="N20" s="1668"/>
      <c r="O20" s="1668"/>
      <c r="P20" s="1668"/>
      <c r="Q20" s="1668"/>
      <c r="R20" s="1668"/>
      <c r="S20" s="1668"/>
      <c r="T20" s="1668"/>
      <c r="U20" s="1668"/>
      <c r="V20" s="1668"/>
      <c r="W20" s="1668"/>
      <c r="X20" s="1668"/>
      <c r="Y20" s="1668"/>
      <c r="Z20" s="1668"/>
      <c r="AA20" s="1668"/>
      <c r="AB20" s="1668"/>
      <c r="AC20" s="1668"/>
      <c r="AD20" s="1668"/>
      <c r="AE20" s="1668"/>
      <c r="AF20" s="1668"/>
      <c r="AG20" s="1668"/>
      <c r="AH20" s="1668"/>
      <c r="AI20" s="1668"/>
      <c r="AJ20" s="1668"/>
      <c r="AK20" s="1668"/>
      <c r="AL20" s="103"/>
      <c r="AM20" s="27"/>
      <c r="AN20" s="670"/>
    </row>
    <row r="21" spans="1:42" s="5" customFormat="1" ht="12.75" customHeight="1">
      <c r="A21" s="27"/>
      <c r="B21" s="1668"/>
      <c r="C21" s="1668"/>
      <c r="D21" s="1668"/>
      <c r="E21" s="1668"/>
      <c r="F21" s="1668"/>
      <c r="G21" s="1668"/>
      <c r="H21" s="1668"/>
      <c r="I21" s="1668"/>
      <c r="J21" s="1668"/>
      <c r="K21" s="1668"/>
      <c r="L21" s="1668"/>
      <c r="M21" s="1668"/>
      <c r="N21" s="1668"/>
      <c r="O21" s="1668"/>
      <c r="P21" s="1668"/>
      <c r="Q21" s="1668"/>
      <c r="R21" s="1668"/>
      <c r="S21" s="1668"/>
      <c r="T21" s="1668"/>
      <c r="U21" s="1668"/>
      <c r="V21" s="1668"/>
      <c r="W21" s="1668"/>
      <c r="X21" s="1668"/>
      <c r="Y21" s="1668"/>
      <c r="Z21" s="1668"/>
      <c r="AA21" s="1668"/>
      <c r="AB21" s="1668"/>
      <c r="AC21" s="1668"/>
      <c r="AD21" s="1668"/>
      <c r="AE21" s="1668"/>
      <c r="AF21" s="1668"/>
      <c r="AG21" s="1668"/>
      <c r="AH21" s="1668"/>
      <c r="AI21" s="1668"/>
      <c r="AJ21" s="1668"/>
      <c r="AK21" s="1668"/>
      <c r="AL21" s="103"/>
      <c r="AM21" s="27"/>
      <c r="AN21" s="670"/>
      <c r="AP21" s="340"/>
    </row>
    <row r="22" spans="1:42" s="5" customFormat="1" ht="12.75" customHeight="1">
      <c r="A22" s="27"/>
      <c r="B22" s="1668"/>
      <c r="C22" s="1668"/>
      <c r="D22" s="1668"/>
      <c r="E22" s="1668"/>
      <c r="F22" s="1668"/>
      <c r="G22" s="1668"/>
      <c r="H22" s="1668"/>
      <c r="I22" s="1668"/>
      <c r="J22" s="1668"/>
      <c r="K22" s="1668"/>
      <c r="L22" s="1668"/>
      <c r="M22" s="1668"/>
      <c r="N22" s="1668"/>
      <c r="O22" s="1668"/>
      <c r="P22" s="1668"/>
      <c r="Q22" s="1668"/>
      <c r="R22" s="1668"/>
      <c r="S22" s="1668"/>
      <c r="T22" s="1668"/>
      <c r="U22" s="1668"/>
      <c r="V22" s="1668"/>
      <c r="W22" s="1668"/>
      <c r="X22" s="1668"/>
      <c r="Y22" s="1668"/>
      <c r="Z22" s="1668"/>
      <c r="AA22" s="1668"/>
      <c r="AB22" s="1668"/>
      <c r="AC22" s="1668"/>
      <c r="AD22" s="1668"/>
      <c r="AE22" s="1668"/>
      <c r="AF22" s="1668"/>
      <c r="AG22" s="1668"/>
      <c r="AH22" s="1668"/>
      <c r="AI22" s="1668"/>
      <c r="AJ22" s="1668"/>
      <c r="AK22" s="1668"/>
      <c r="AL22" s="103"/>
      <c r="AM22" s="27"/>
      <c r="AN22" s="670"/>
    </row>
    <row r="23" spans="1:42" s="4" customFormat="1" ht="12.75" customHeight="1">
      <c r="A23" s="27"/>
      <c r="B23" s="1668"/>
      <c r="C23" s="1668"/>
      <c r="D23" s="1668"/>
      <c r="E23" s="1668"/>
      <c r="F23" s="1668"/>
      <c r="G23" s="1668"/>
      <c r="H23" s="1668"/>
      <c r="I23" s="1668"/>
      <c r="J23" s="1668"/>
      <c r="K23" s="1668"/>
      <c r="L23" s="1668"/>
      <c r="M23" s="1668"/>
      <c r="N23" s="1668"/>
      <c r="O23" s="1668"/>
      <c r="P23" s="1668"/>
      <c r="Q23" s="1668"/>
      <c r="R23" s="1668"/>
      <c r="S23" s="1668"/>
      <c r="T23" s="1668"/>
      <c r="U23" s="1668"/>
      <c r="V23" s="1668"/>
      <c r="W23" s="1668"/>
      <c r="X23" s="1668"/>
      <c r="Y23" s="1668"/>
      <c r="Z23" s="1668"/>
      <c r="AA23" s="1668"/>
      <c r="AB23" s="1668"/>
      <c r="AC23" s="1668"/>
      <c r="AD23" s="1668"/>
      <c r="AE23" s="1668"/>
      <c r="AF23" s="1668"/>
      <c r="AG23" s="1668"/>
      <c r="AH23" s="1668"/>
      <c r="AI23" s="1668"/>
      <c r="AJ23" s="1668"/>
      <c r="AK23" s="1668"/>
      <c r="AL23" s="103"/>
      <c r="AM23" s="27"/>
      <c r="AN23" s="281"/>
    </row>
    <row r="24" spans="1:42" s="4" customFormat="1" ht="12.75" customHeight="1">
      <c r="A24" s="2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03"/>
      <c r="AM24" s="27"/>
      <c r="AN24" s="672"/>
      <c r="AO24" s="91"/>
    </row>
    <row r="25" spans="1:42" s="4" customFormat="1" ht="12.75" customHeight="1">
      <c r="A25" s="27"/>
      <c r="B25" s="1668"/>
      <c r="C25" s="1668"/>
      <c r="D25" s="1668"/>
      <c r="E25" s="1668"/>
      <c r="F25" s="1668"/>
      <c r="G25" s="1668"/>
      <c r="H25" s="1668"/>
      <c r="I25" s="1668"/>
      <c r="J25" s="1668"/>
      <c r="K25" s="1668"/>
      <c r="L25" s="1668"/>
      <c r="M25" s="1668"/>
      <c r="N25" s="1668"/>
      <c r="O25" s="1668"/>
      <c r="P25" s="1668"/>
      <c r="Q25" s="1668"/>
      <c r="R25" s="1668"/>
      <c r="S25" s="1668"/>
      <c r="T25" s="1668"/>
      <c r="U25" s="1668"/>
      <c r="V25" s="1668"/>
      <c r="W25" s="1668"/>
      <c r="X25" s="1668"/>
      <c r="Y25" s="1668"/>
      <c r="Z25" s="1668"/>
      <c r="AA25" s="1668"/>
      <c r="AB25" s="1668"/>
      <c r="AC25" s="1668"/>
      <c r="AD25" s="1668"/>
      <c r="AE25" s="1668"/>
      <c r="AF25" s="1668"/>
      <c r="AG25" s="1668"/>
      <c r="AH25" s="1668"/>
      <c r="AI25" s="1668"/>
      <c r="AJ25" s="1668"/>
      <c r="AK25" s="1668"/>
      <c r="AL25" s="103"/>
      <c r="AM25" s="27"/>
      <c r="AN25" s="672"/>
    </row>
    <row r="26" spans="1:42" s="4" customFormat="1" ht="12.75" customHeight="1">
      <c r="A26" s="27"/>
      <c r="B26" s="1668"/>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68"/>
      <c r="Y26" s="1668"/>
      <c r="Z26" s="1668"/>
      <c r="AA26" s="1668"/>
      <c r="AB26" s="1668"/>
      <c r="AC26" s="1668"/>
      <c r="AD26" s="1668"/>
      <c r="AE26" s="1668"/>
      <c r="AF26" s="1668"/>
      <c r="AG26" s="1668"/>
      <c r="AH26" s="1668"/>
      <c r="AI26" s="1668"/>
      <c r="AJ26" s="1668"/>
      <c r="AK26" s="1668"/>
      <c r="AL26" s="103"/>
      <c r="AM26" s="27"/>
      <c r="AN26" s="281"/>
    </row>
    <row r="27" spans="1:42" s="4" customFormat="1" ht="12.75" customHeight="1">
      <c r="A27" s="27"/>
      <c r="B27" s="1668"/>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8"/>
      <c r="Y27" s="1668"/>
      <c r="Z27" s="1668"/>
      <c r="AA27" s="1668"/>
      <c r="AB27" s="1668"/>
      <c r="AC27" s="1668"/>
      <c r="AD27" s="1668"/>
      <c r="AE27" s="1668"/>
      <c r="AF27" s="1668"/>
      <c r="AG27" s="1668"/>
      <c r="AH27" s="1668"/>
      <c r="AI27" s="1668"/>
      <c r="AJ27" s="1668"/>
      <c r="AK27" s="1668"/>
      <c r="AL27" s="103"/>
      <c r="AM27" s="27"/>
      <c r="AN27" s="614"/>
    </row>
    <row r="28" spans="1:42" s="4" customFormat="1" ht="12.75" customHeight="1">
      <c r="A28" s="27"/>
      <c r="B28" s="1668"/>
      <c r="C28" s="1668"/>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1668"/>
      <c r="AB28" s="1668"/>
      <c r="AC28" s="1668"/>
      <c r="AD28" s="1668"/>
      <c r="AE28" s="1668"/>
      <c r="AF28" s="1668"/>
      <c r="AG28" s="1668"/>
      <c r="AH28" s="1668"/>
      <c r="AI28" s="1668"/>
      <c r="AJ28" s="1668"/>
      <c r="AK28" s="1668"/>
      <c r="AL28" s="103"/>
      <c r="AM28" s="27"/>
      <c r="AN28" s="614"/>
    </row>
    <row r="29" spans="1:42" s="4" customFormat="1" ht="31.7" customHeight="1">
      <c r="A29" s="27"/>
      <c r="B29" s="1668"/>
      <c r="C29" s="1668"/>
      <c r="D29" s="1668"/>
      <c r="E29" s="1668"/>
      <c r="F29" s="1668"/>
      <c r="G29" s="1668"/>
      <c r="H29" s="1668"/>
      <c r="I29" s="1668"/>
      <c r="J29" s="1668"/>
      <c r="K29" s="1668"/>
      <c r="L29" s="1668"/>
      <c r="M29" s="1668"/>
      <c r="N29" s="1668"/>
      <c r="O29" s="1668"/>
      <c r="P29" s="1668"/>
      <c r="Q29" s="1668"/>
      <c r="R29" s="1668"/>
      <c r="S29" s="1668"/>
      <c r="T29" s="1668"/>
      <c r="U29" s="1668"/>
      <c r="V29" s="1668"/>
      <c r="W29" s="1668"/>
      <c r="X29" s="1668"/>
      <c r="Y29" s="1668"/>
      <c r="Z29" s="1668"/>
      <c r="AA29" s="1668"/>
      <c r="AB29" s="1668"/>
      <c r="AC29" s="1668"/>
      <c r="AD29" s="1668"/>
      <c r="AE29" s="1668"/>
      <c r="AF29" s="1668"/>
      <c r="AG29" s="1668"/>
      <c r="AH29" s="1668"/>
      <c r="AI29" s="1668"/>
      <c r="AJ29" s="1668"/>
      <c r="AK29" s="1668"/>
      <c r="AL29" s="103"/>
      <c r="AM29" s="27"/>
      <c r="AN29" s="614"/>
    </row>
    <row r="30" spans="1:42" s="4" customFormat="1" ht="12.75" customHeight="1">
      <c r="A30" s="5"/>
      <c r="B30" s="1782"/>
      <c r="C30" s="1782"/>
      <c r="D30" s="1782"/>
      <c r="E30" s="1782"/>
      <c r="F30" s="1782"/>
      <c r="G30" s="1782"/>
      <c r="H30" s="1782"/>
      <c r="I30" s="1782"/>
      <c r="J30" s="1782"/>
      <c r="K30" s="1782"/>
      <c r="L30" s="1782"/>
      <c r="M30" s="1782"/>
      <c r="N30" s="1782"/>
      <c r="O30" s="1782"/>
      <c r="P30" s="1782"/>
      <c r="Q30" s="1782"/>
      <c r="R30" s="1782"/>
      <c r="S30" s="1782"/>
      <c r="T30" s="1782"/>
      <c r="U30" s="1782"/>
      <c r="V30" s="1782"/>
      <c r="W30" s="1782"/>
      <c r="X30" s="1782"/>
      <c r="Y30" s="1782"/>
      <c r="Z30" s="1782"/>
      <c r="AA30" s="1782"/>
      <c r="AB30" s="1782"/>
      <c r="AC30" s="1782"/>
      <c r="AD30" s="1782"/>
      <c r="AE30" s="1782"/>
      <c r="AF30" s="1782"/>
      <c r="AG30" s="1782"/>
      <c r="AH30" s="1782"/>
      <c r="AI30" s="1782"/>
      <c r="AJ30" s="1782"/>
      <c r="AK30" s="178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2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2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61</v>
      </c>
      <c r="AG33" s="1692"/>
      <c r="AH33" s="1692"/>
      <c r="AI33" s="1692"/>
      <c r="AJ33" s="1692"/>
      <c r="AK33" s="1692"/>
      <c r="AL33" s="169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78" t="s">
        <v>2453</v>
      </c>
      <c r="C35" s="1778"/>
      <c r="D35" s="1778"/>
      <c r="E35" s="1778"/>
      <c r="F35" s="1778"/>
      <c r="G35" s="1778"/>
      <c r="H35" s="1778"/>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78" t="s">
        <v>1247</v>
      </c>
      <c r="C38" s="1778"/>
      <c r="D38" s="1778"/>
      <c r="E38" s="1778"/>
      <c r="F38" s="1778"/>
      <c r="G38" s="1778"/>
      <c r="H38" s="1778"/>
      <c r="I38" s="1778"/>
      <c r="J38" s="1778"/>
      <c r="K38" s="1778"/>
      <c r="L38" s="1778"/>
      <c r="M38" s="1778"/>
      <c r="N38" s="1778"/>
      <c r="O38" s="1778"/>
      <c r="P38" s="1778"/>
      <c r="Q38" s="1778"/>
      <c r="R38" s="1778"/>
      <c r="S38" s="1778"/>
      <c r="T38" s="1778"/>
      <c r="U38" s="1778"/>
      <c r="V38" s="1778"/>
      <c r="W38" s="1778"/>
      <c r="X38" s="1778"/>
      <c r="Y38" s="1778"/>
      <c r="Z38" s="1778"/>
      <c r="AA38" s="1778"/>
      <c r="AB38" s="1778"/>
      <c r="AC38" s="1778"/>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78" t="s">
        <v>124</v>
      </c>
      <c r="AA40" s="1778"/>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78" t="s">
        <v>1119</v>
      </c>
      <c r="C43" s="1778"/>
      <c r="D43" s="1778"/>
      <c r="E43" s="1778"/>
      <c r="F43" s="1778"/>
      <c r="G43" s="1778"/>
      <c r="H43" s="1778"/>
      <c r="I43" s="1778"/>
      <c r="J43" s="1778"/>
      <c r="K43" s="1778"/>
      <c r="L43" s="1778"/>
      <c r="M43" s="1778"/>
      <c r="N43" s="1778"/>
      <c r="O43" s="1778"/>
      <c r="P43" s="1778"/>
      <c r="Q43" s="1778"/>
      <c r="R43" s="1778"/>
      <c r="S43" s="1778"/>
      <c r="T43" s="1778"/>
      <c r="U43" s="1778"/>
      <c r="V43" s="1778"/>
      <c r="W43" s="1778"/>
      <c r="X43" s="1778"/>
      <c r="Y43" s="1778"/>
      <c r="Z43" s="1778"/>
      <c r="AA43" s="1778"/>
      <c r="AB43" s="1778"/>
      <c r="AC43" s="1778"/>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0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04"/>
      <c r="AL47" s="319"/>
      <c r="AM47" s="90"/>
      <c r="AN47" s="281"/>
    </row>
    <row r="48" spans="1:42" s="4" customFormat="1" ht="12.75" customHeight="1">
      <c r="A48" s="5"/>
      <c r="B48" s="42"/>
      <c r="R48" s="5"/>
      <c r="S48" s="42"/>
      <c r="AN48" s="281"/>
    </row>
    <row r="49" spans="1:46" s="4" customFormat="1" ht="12.75" customHeight="1">
      <c r="B49" s="1668" t="s">
        <v>1470</v>
      </c>
      <c r="C49" s="1668"/>
      <c r="D49" s="1668"/>
      <c r="E49" s="1668"/>
      <c r="F49" s="1668"/>
      <c r="G49" s="1668"/>
      <c r="H49" s="1668"/>
      <c r="I49" s="1668"/>
      <c r="J49" s="1668"/>
      <c r="K49" s="1668"/>
      <c r="L49" s="1668"/>
      <c r="M49" s="1668"/>
      <c r="N49" s="1668"/>
      <c r="O49" s="1668"/>
      <c r="P49" s="1668"/>
      <c r="Q49" s="1668"/>
      <c r="R49" s="1668"/>
      <c r="S49" s="1668"/>
      <c r="T49" s="1668"/>
      <c r="U49" s="1668"/>
      <c r="V49" s="1668"/>
      <c r="W49" s="1668"/>
      <c r="X49" s="1668"/>
      <c r="Y49" s="1668"/>
      <c r="Z49" s="1668"/>
      <c r="AA49" s="1668"/>
      <c r="AB49" s="1668"/>
      <c r="AC49" s="1668"/>
      <c r="AD49" s="1668"/>
      <c r="AE49" s="1668"/>
      <c r="AF49" s="1668"/>
      <c r="AG49" s="1668"/>
      <c r="AH49" s="1668"/>
      <c r="AI49" s="1668"/>
      <c r="AJ49" s="1668"/>
      <c r="AK49" s="1668"/>
      <c r="AL49" s="103"/>
      <c r="AM49" s="27"/>
      <c r="AN49" s="281"/>
    </row>
    <row r="50" spans="1:46" s="4" customFormat="1" ht="12.75" customHeight="1">
      <c r="A50" s="26"/>
      <c r="B50" s="1668"/>
      <c r="C50" s="1668"/>
      <c r="D50" s="1668"/>
      <c r="E50" s="1668"/>
      <c r="F50" s="1668"/>
      <c r="G50" s="1668"/>
      <c r="H50" s="1668"/>
      <c r="I50" s="1668"/>
      <c r="J50" s="1668"/>
      <c r="K50" s="1668"/>
      <c r="L50" s="1668"/>
      <c r="M50" s="1668"/>
      <c r="N50" s="1668"/>
      <c r="O50" s="1668"/>
      <c r="P50" s="1668"/>
      <c r="Q50" s="1668"/>
      <c r="R50" s="1668"/>
      <c r="S50" s="1668"/>
      <c r="T50" s="1668"/>
      <c r="U50" s="1668"/>
      <c r="V50" s="1668"/>
      <c r="W50" s="1668"/>
      <c r="X50" s="1668"/>
      <c r="Y50" s="1668"/>
      <c r="Z50" s="1668"/>
      <c r="AA50" s="1668"/>
      <c r="AB50" s="1668"/>
      <c r="AC50" s="1668"/>
      <c r="AD50" s="1668"/>
      <c r="AE50" s="1668"/>
      <c r="AF50" s="1668"/>
      <c r="AG50" s="1668"/>
      <c r="AH50" s="1668"/>
      <c r="AI50" s="1668"/>
      <c r="AJ50" s="1668"/>
      <c r="AK50" s="1668"/>
      <c r="AL50" s="103"/>
      <c r="AM50" s="27"/>
      <c r="AN50" s="281"/>
    </row>
    <row r="51" spans="1:46" s="4" customFormat="1" ht="12.75" customHeight="1">
      <c r="A51" s="26"/>
      <c r="B51" s="1668"/>
      <c r="C51" s="1668"/>
      <c r="D51" s="1668"/>
      <c r="E51" s="1668"/>
      <c r="F51" s="1668"/>
      <c r="G51" s="1668"/>
      <c r="H51" s="1668"/>
      <c r="I51" s="1668"/>
      <c r="J51" s="1668"/>
      <c r="K51" s="1668"/>
      <c r="L51" s="1668"/>
      <c r="M51" s="1668"/>
      <c r="N51" s="1668"/>
      <c r="O51" s="1668"/>
      <c r="P51" s="1668"/>
      <c r="Q51" s="1668"/>
      <c r="R51" s="1668"/>
      <c r="S51" s="1668"/>
      <c r="T51" s="1668"/>
      <c r="U51" s="1668"/>
      <c r="V51" s="1668"/>
      <c r="W51" s="1668"/>
      <c r="X51" s="1668"/>
      <c r="Y51" s="1668"/>
      <c r="Z51" s="1668"/>
      <c r="AA51" s="1668"/>
      <c r="AB51" s="1668"/>
      <c r="AC51" s="1668"/>
      <c r="AD51" s="1668"/>
      <c r="AE51" s="1668"/>
      <c r="AF51" s="1668"/>
      <c r="AG51" s="1668"/>
      <c r="AH51" s="1668"/>
      <c r="AI51" s="1668"/>
      <c r="AJ51" s="1668"/>
      <c r="AK51" s="1668"/>
      <c r="AL51" s="103"/>
      <c r="AM51" s="27"/>
      <c r="AN51" s="281"/>
    </row>
    <row r="52" spans="1:46" s="4" customFormat="1" ht="12.75" customHeight="1">
      <c r="A52" s="26"/>
      <c r="B52" s="1668"/>
      <c r="C52" s="1668"/>
      <c r="D52" s="1668"/>
      <c r="E52" s="1668"/>
      <c r="F52" s="1668"/>
      <c r="G52" s="1668"/>
      <c r="H52" s="1668"/>
      <c r="I52" s="1668"/>
      <c r="J52" s="1668"/>
      <c r="K52" s="1668"/>
      <c r="L52" s="1668"/>
      <c r="M52" s="1668"/>
      <c r="N52" s="1668"/>
      <c r="O52" s="1668"/>
      <c r="P52" s="1668"/>
      <c r="Q52" s="1668"/>
      <c r="R52" s="1668"/>
      <c r="S52" s="1668"/>
      <c r="T52" s="1668"/>
      <c r="U52" s="1668"/>
      <c r="V52" s="1668"/>
      <c r="W52" s="1668"/>
      <c r="X52" s="1668"/>
      <c r="Y52" s="1668"/>
      <c r="Z52" s="1668"/>
      <c r="AA52" s="1668"/>
      <c r="AB52" s="1668"/>
      <c r="AC52" s="1668"/>
      <c r="AD52" s="1668"/>
      <c r="AE52" s="1668"/>
      <c r="AF52" s="1668"/>
      <c r="AG52" s="1668"/>
      <c r="AH52" s="1668"/>
      <c r="AI52" s="1668"/>
      <c r="AJ52" s="1668"/>
      <c r="AK52" s="1668"/>
      <c r="AL52" s="103"/>
      <c r="AM52" s="27"/>
      <c r="AN52" s="281"/>
    </row>
    <row r="53" spans="1:46" s="4" customFormat="1" ht="12.75" customHeight="1">
      <c r="A53" s="26"/>
      <c r="B53" s="1668"/>
      <c r="C53" s="1668"/>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c r="AG53" s="1668"/>
      <c r="AH53" s="1668"/>
      <c r="AI53" s="1668"/>
      <c r="AJ53" s="1668"/>
      <c r="AK53" s="1668"/>
      <c r="AL53" s="103"/>
      <c r="AM53" s="27"/>
      <c r="AN53" s="281"/>
    </row>
    <row r="54" spans="1:46" s="4" customFormat="1" ht="12.75" customHeight="1">
      <c r="A54" s="26"/>
      <c r="B54" s="1668"/>
      <c r="C54" s="1668"/>
      <c r="D54" s="1668"/>
      <c r="E54" s="1668"/>
      <c r="F54" s="1668"/>
      <c r="G54" s="1668"/>
      <c r="H54" s="1668"/>
      <c r="I54" s="1668"/>
      <c r="J54" s="1668"/>
      <c r="K54" s="1668"/>
      <c r="L54" s="1668"/>
      <c r="M54" s="1668"/>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03"/>
      <c r="AM54" s="27"/>
      <c r="AN54" s="281"/>
    </row>
    <row r="55" spans="1:46" s="4" customFormat="1" ht="33.4" customHeight="1">
      <c r="A55" s="26"/>
      <c r="B55" s="1668"/>
      <c r="C55" s="1668"/>
      <c r="D55" s="1668"/>
      <c r="E55" s="1668"/>
      <c r="F55" s="1668"/>
      <c r="G55" s="1668"/>
      <c r="H55" s="1668"/>
      <c r="I55" s="1668"/>
      <c r="J55" s="1668"/>
      <c r="K55" s="1668"/>
      <c r="L55" s="1668"/>
      <c r="M55" s="1668"/>
      <c r="N55" s="1668"/>
      <c r="O55" s="1668"/>
      <c r="P55" s="1668"/>
      <c r="Q55" s="1668"/>
      <c r="R55" s="1668"/>
      <c r="S55" s="1668"/>
      <c r="T55" s="1668"/>
      <c r="U55" s="1668"/>
      <c r="V55" s="1668"/>
      <c r="W55" s="1668"/>
      <c r="X55" s="1668"/>
      <c r="Y55" s="1668"/>
      <c r="Z55" s="1668"/>
      <c r="AA55" s="1668"/>
      <c r="AB55" s="1668"/>
      <c r="AC55" s="1668"/>
      <c r="AD55" s="1668"/>
      <c r="AE55" s="1668"/>
      <c r="AF55" s="1668"/>
      <c r="AG55" s="1668"/>
      <c r="AH55" s="1668"/>
      <c r="AI55" s="1668"/>
      <c r="AJ55" s="1668"/>
      <c r="AK55" s="166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68" t="s">
        <v>2203</v>
      </c>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1668"/>
      <c r="AL57" s="103"/>
      <c r="AM57" s="27"/>
      <c r="AN57" s="281"/>
    </row>
    <row r="58" spans="1:46" s="4" customFormat="1" ht="12.75" customHeight="1">
      <c r="B58" s="1668"/>
      <c r="C58" s="1668"/>
      <c r="D58" s="1668"/>
      <c r="E58" s="1668"/>
      <c r="F58" s="1668"/>
      <c r="G58" s="1668"/>
      <c r="H58" s="1668"/>
      <c r="I58" s="1668"/>
      <c r="J58" s="1668"/>
      <c r="K58" s="1668"/>
      <c r="L58" s="1668"/>
      <c r="M58" s="1668"/>
      <c r="N58" s="1668"/>
      <c r="O58" s="1668"/>
      <c r="P58" s="1668"/>
      <c r="Q58" s="1668"/>
      <c r="R58" s="1668"/>
      <c r="S58" s="1668"/>
      <c r="T58" s="1668"/>
      <c r="U58" s="1668"/>
      <c r="V58" s="1668"/>
      <c r="W58" s="1668"/>
      <c r="X58" s="1668"/>
      <c r="Y58" s="1668"/>
      <c r="Z58" s="1668"/>
      <c r="AA58" s="1668"/>
      <c r="AB58" s="1668"/>
      <c r="AC58" s="1668"/>
      <c r="AD58" s="1668"/>
      <c r="AE58" s="1668"/>
      <c r="AF58" s="1668"/>
      <c r="AG58" s="1668"/>
      <c r="AH58" s="1668"/>
      <c r="AI58" s="1668"/>
      <c r="AJ58" s="1668"/>
      <c r="AK58" s="1668"/>
      <c r="AL58" s="103"/>
      <c r="AM58" s="27"/>
      <c r="AN58" s="281"/>
    </row>
    <row r="59" spans="1:46" s="4" customFormat="1" ht="22.9" customHeight="1">
      <c r="A59" s="426"/>
      <c r="B59" s="1668"/>
      <c r="C59" s="1668"/>
      <c r="D59" s="1668"/>
      <c r="E59" s="1668"/>
      <c r="F59" s="1668"/>
      <c r="G59" s="1668"/>
      <c r="H59" s="1668"/>
      <c r="I59" s="1668"/>
      <c r="J59" s="1668"/>
      <c r="K59" s="1668"/>
      <c r="L59" s="1668"/>
      <c r="M59" s="1668"/>
      <c r="N59" s="1668"/>
      <c r="O59" s="1668"/>
      <c r="P59" s="1668"/>
      <c r="Q59" s="1668"/>
      <c r="R59" s="1668"/>
      <c r="S59" s="1668"/>
      <c r="T59" s="1668"/>
      <c r="U59" s="1668"/>
      <c r="V59" s="1668"/>
      <c r="W59" s="1668"/>
      <c r="X59" s="1668"/>
      <c r="Y59" s="1668"/>
      <c r="Z59" s="1668"/>
      <c r="AA59" s="1668"/>
      <c r="AB59" s="1668"/>
      <c r="AC59" s="1668"/>
      <c r="AD59" s="1668"/>
      <c r="AE59" s="1668"/>
      <c r="AF59" s="1668"/>
      <c r="AG59" s="1668"/>
      <c r="AH59" s="1668"/>
      <c r="AI59" s="1668"/>
      <c r="AJ59" s="1668"/>
      <c r="AK59" s="166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85">
        <f>$AJ$31+$AJ$47</f>
        <v>10</v>
      </c>
      <c r="AL61" s="1786"/>
      <c r="AM61" s="178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72" t="s">
        <v>364</v>
      </c>
      <c r="AF64" s="1672"/>
      <c r="AG64" s="1672"/>
      <c r="AH64" s="1672"/>
      <c r="AI64" s="1672"/>
      <c r="AJ64" s="1672"/>
      <c r="AK64" s="167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78" t="s">
        <v>663</v>
      </c>
      <c r="C66" s="1778"/>
      <c r="D66" s="1778"/>
      <c r="E66" s="1778"/>
      <c r="F66" s="1778"/>
      <c r="G66" s="1778"/>
      <c r="H66" s="1778"/>
      <c r="I66" s="1778"/>
      <c r="J66" s="1778"/>
      <c r="K66" s="1778"/>
      <c r="AF66" s="1692" t="s">
        <v>938</v>
      </c>
      <c r="AG66" s="1692"/>
      <c r="AH66" s="1692"/>
      <c r="AI66" s="1692"/>
      <c r="AJ66" s="1692"/>
      <c r="AK66" s="1692"/>
      <c r="AL66" s="1692"/>
      <c r="AN66" s="281"/>
      <c r="AP66" s="4" t="s">
        <v>124</v>
      </c>
      <c r="AS66" s="4" t="s">
        <v>665</v>
      </c>
      <c r="AT66" s="4">
        <v>10</v>
      </c>
    </row>
    <row r="67" spans="1:46" s="4" customFormat="1" ht="12.75" customHeight="1">
      <c r="B67" s="1779" t="s">
        <v>1319</v>
      </c>
      <c r="C67" s="1779"/>
      <c r="D67" s="1779"/>
      <c r="E67" s="1779"/>
      <c r="F67" s="1779"/>
      <c r="G67" s="1779"/>
      <c r="H67" s="1779"/>
      <c r="I67" s="1779"/>
      <c r="J67" s="1779"/>
      <c r="K67" s="1779"/>
      <c r="L67" s="1779"/>
      <c r="M67" s="1779"/>
      <c r="N67" s="1779"/>
      <c r="O67" s="1779"/>
      <c r="P67" s="1779"/>
      <c r="Q67" s="1779"/>
      <c r="R67" s="1779"/>
      <c r="S67" s="1779"/>
      <c r="T67" s="1778" t="s">
        <v>124</v>
      </c>
      <c r="U67" s="1778"/>
      <c r="V67" s="1778"/>
      <c r="W67" s="1778"/>
      <c r="X67" s="1778"/>
      <c r="Y67" s="1778"/>
      <c r="Z67" s="1778"/>
      <c r="AA67" s="1778"/>
      <c r="AB67" s="1778"/>
      <c r="AC67" s="1778"/>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2" t="s">
        <v>977</v>
      </c>
      <c r="AF73" s="1672"/>
      <c r="AG73" s="1672"/>
      <c r="AH73" s="1672"/>
      <c r="AI73" s="1672"/>
      <c r="AJ73" s="1672"/>
      <c r="AK73" s="167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68" t="s">
        <v>2118</v>
      </c>
      <c r="C75" s="1668"/>
      <c r="D75" s="1668"/>
      <c r="E75" s="1668"/>
      <c r="F75" s="1668"/>
      <c r="G75" s="1668"/>
      <c r="H75" s="1668"/>
      <c r="I75" s="1668"/>
      <c r="J75" s="1668"/>
      <c r="K75" s="1668"/>
      <c r="L75" s="1668"/>
      <c r="M75" s="1668"/>
      <c r="N75" s="1668"/>
      <c r="O75" s="1668"/>
      <c r="P75" s="1668"/>
      <c r="Q75" s="1668"/>
      <c r="R75" s="1668"/>
      <c r="S75" s="1668"/>
      <c r="T75" s="1668"/>
      <c r="U75" s="1668"/>
      <c r="V75" s="1668"/>
      <c r="W75" s="1668"/>
      <c r="X75" s="1668"/>
      <c r="Y75" s="1668"/>
      <c r="Z75" s="1668"/>
      <c r="AA75" s="1668"/>
      <c r="AB75" s="1668"/>
      <c r="AC75" s="1668"/>
      <c r="AD75" s="1668"/>
      <c r="AE75" s="1668"/>
      <c r="AF75" s="1668"/>
      <c r="AG75" s="1668"/>
      <c r="AH75" s="1668"/>
      <c r="AI75" s="1668"/>
      <c r="AJ75" s="1668"/>
      <c r="AK75" s="1668"/>
      <c r="AL75" s="103"/>
      <c r="AM75" s="27"/>
      <c r="AN75" s="281"/>
    </row>
    <row r="76" spans="1:46" s="4" customFormat="1" ht="12.75" customHeight="1">
      <c r="A76" s="27"/>
      <c r="B76" s="1668"/>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68"/>
      <c r="AI76" s="1668"/>
      <c r="AJ76" s="1668"/>
      <c r="AK76" s="1668"/>
      <c r="AL76" s="103"/>
      <c r="AM76" s="27"/>
      <c r="AN76" s="281"/>
    </row>
    <row r="77" spans="1:46" s="4" customFormat="1" ht="12.75" customHeight="1">
      <c r="A77" s="27"/>
      <c r="B77" s="1668"/>
      <c r="C77" s="1668"/>
      <c r="D77" s="1668"/>
      <c r="E77" s="1668"/>
      <c r="F77" s="1668"/>
      <c r="G77" s="1668"/>
      <c r="H77" s="1668"/>
      <c r="I77" s="1668"/>
      <c r="J77" s="1668"/>
      <c r="K77" s="1668"/>
      <c r="L77" s="1668"/>
      <c r="M77" s="1668"/>
      <c r="N77" s="1668"/>
      <c r="O77" s="1668"/>
      <c r="P77" s="1668"/>
      <c r="Q77" s="1668"/>
      <c r="R77" s="1668"/>
      <c r="S77" s="1668"/>
      <c r="T77" s="1668"/>
      <c r="U77" s="1668"/>
      <c r="V77" s="1668"/>
      <c r="W77" s="1668"/>
      <c r="X77" s="1668"/>
      <c r="Y77" s="1668"/>
      <c r="Z77" s="1668"/>
      <c r="AA77" s="1668"/>
      <c r="AB77" s="1668"/>
      <c r="AC77" s="1668"/>
      <c r="AD77" s="1668"/>
      <c r="AE77" s="1668"/>
      <c r="AF77" s="1668"/>
      <c r="AG77" s="1668"/>
      <c r="AH77" s="1668"/>
      <c r="AI77" s="1668"/>
      <c r="AJ77" s="1668"/>
      <c r="AK77" s="1668"/>
      <c r="AL77" s="103"/>
      <c r="AM77" s="27"/>
      <c r="AN77" s="281"/>
    </row>
    <row r="78" spans="1:46" s="4" customFormat="1" ht="12.75" customHeight="1">
      <c r="A78" s="27"/>
      <c r="B78" s="1668"/>
      <c r="C78" s="1668"/>
      <c r="D78" s="1668"/>
      <c r="E78" s="1668"/>
      <c r="F78" s="1668"/>
      <c r="G78" s="1668"/>
      <c r="H78" s="1668"/>
      <c r="I78" s="1668"/>
      <c r="J78" s="1668"/>
      <c r="K78" s="1668"/>
      <c r="L78" s="1668"/>
      <c r="M78" s="1668"/>
      <c r="N78" s="1668"/>
      <c r="O78" s="1668"/>
      <c r="P78" s="1668"/>
      <c r="Q78" s="1668"/>
      <c r="R78" s="1668"/>
      <c r="S78" s="1668"/>
      <c r="T78" s="1668"/>
      <c r="U78" s="1668"/>
      <c r="V78" s="1668"/>
      <c r="W78" s="1668"/>
      <c r="X78" s="1668"/>
      <c r="Y78" s="1668"/>
      <c r="Z78" s="1668"/>
      <c r="AA78" s="1668"/>
      <c r="AB78" s="1668"/>
      <c r="AC78" s="1668"/>
      <c r="AD78" s="1668"/>
      <c r="AE78" s="1668"/>
      <c r="AF78" s="1668"/>
      <c r="AG78" s="1668"/>
      <c r="AH78" s="1668"/>
      <c r="AI78" s="1668"/>
      <c r="AJ78" s="1668"/>
      <c r="AK78" s="1668"/>
      <c r="AL78" s="103"/>
      <c r="AM78" s="27"/>
      <c r="AN78" s="281"/>
    </row>
    <row r="79" spans="1:46" s="4" customFormat="1" ht="12.75" customHeight="1">
      <c r="A79" s="27"/>
      <c r="B79" s="1668"/>
      <c r="C79" s="1668"/>
      <c r="D79" s="1668"/>
      <c r="E79" s="1668"/>
      <c r="F79" s="1668"/>
      <c r="G79" s="1668"/>
      <c r="H79" s="1668"/>
      <c r="I79" s="1668"/>
      <c r="J79" s="1668"/>
      <c r="K79" s="1668"/>
      <c r="L79" s="1668"/>
      <c r="M79" s="1668"/>
      <c r="N79" s="1668"/>
      <c r="O79" s="1668"/>
      <c r="P79" s="1668"/>
      <c r="Q79" s="1668"/>
      <c r="R79" s="1668"/>
      <c r="S79" s="1668"/>
      <c r="T79" s="1668"/>
      <c r="U79" s="1668"/>
      <c r="V79" s="1668"/>
      <c r="W79" s="1668"/>
      <c r="X79" s="1668"/>
      <c r="Y79" s="1668"/>
      <c r="Z79" s="1668"/>
      <c r="AA79" s="1668"/>
      <c r="AB79" s="1668"/>
      <c r="AC79" s="1668"/>
      <c r="AD79" s="1668"/>
      <c r="AE79" s="1668"/>
      <c r="AF79" s="1668"/>
      <c r="AG79" s="1668"/>
      <c r="AH79" s="1668"/>
      <c r="AI79" s="1668"/>
      <c r="AJ79" s="1668"/>
      <c r="AK79" s="1668"/>
      <c r="AL79" s="103"/>
      <c r="AM79" s="27"/>
      <c r="AN79" s="281"/>
    </row>
    <row r="80" spans="1:46" s="4" customFormat="1" ht="12.75" customHeight="1">
      <c r="A80" s="27"/>
      <c r="B80" s="1668"/>
      <c r="C80" s="1668"/>
      <c r="D80" s="1668"/>
      <c r="E80" s="1668"/>
      <c r="F80" s="1668"/>
      <c r="G80" s="1668"/>
      <c r="H80" s="1668"/>
      <c r="I80" s="1668"/>
      <c r="J80" s="1668"/>
      <c r="K80" s="1668"/>
      <c r="L80" s="1668"/>
      <c r="M80" s="1668"/>
      <c r="N80" s="1668"/>
      <c r="O80" s="1668"/>
      <c r="P80" s="1668"/>
      <c r="Q80" s="1668"/>
      <c r="R80" s="1668"/>
      <c r="S80" s="1668"/>
      <c r="T80" s="1668"/>
      <c r="U80" s="1668"/>
      <c r="V80" s="1668"/>
      <c r="W80" s="1668"/>
      <c r="X80" s="1668"/>
      <c r="Y80" s="1668"/>
      <c r="Z80" s="1668"/>
      <c r="AA80" s="1668"/>
      <c r="AB80" s="1668"/>
      <c r="AC80" s="1668"/>
      <c r="AD80" s="1668"/>
      <c r="AE80" s="1668"/>
      <c r="AF80" s="1668"/>
      <c r="AG80" s="1668"/>
      <c r="AH80" s="1668"/>
      <c r="AI80" s="1668"/>
      <c r="AJ80" s="1668"/>
      <c r="AK80" s="1668"/>
      <c r="AL80" s="103"/>
      <c r="AM80" s="27"/>
      <c r="AN80" s="281"/>
    </row>
    <row r="81" spans="1:42" ht="12.75" customHeight="1">
      <c r="A81" s="27"/>
      <c r="B81" s="1668"/>
      <c r="C81" s="1668"/>
      <c r="D81" s="1668"/>
      <c r="E81" s="1668"/>
      <c r="F81" s="1668"/>
      <c r="G81" s="1668"/>
      <c r="H81" s="1668"/>
      <c r="I81" s="1668"/>
      <c r="J81" s="1668"/>
      <c r="K81" s="1668"/>
      <c r="L81" s="1668"/>
      <c r="M81" s="1668"/>
      <c r="N81" s="1668"/>
      <c r="O81" s="1668"/>
      <c r="P81" s="1668"/>
      <c r="Q81" s="1668"/>
      <c r="R81" s="1668"/>
      <c r="S81" s="1668"/>
      <c r="T81" s="1668"/>
      <c r="U81" s="1668"/>
      <c r="V81" s="1668"/>
      <c r="W81" s="1668"/>
      <c r="X81" s="1668"/>
      <c r="Y81" s="1668"/>
      <c r="Z81" s="1668"/>
      <c r="AA81" s="1668"/>
      <c r="AB81" s="1668"/>
      <c r="AC81" s="1668"/>
      <c r="AD81" s="1668"/>
      <c r="AE81" s="1668"/>
      <c r="AF81" s="1668"/>
      <c r="AG81" s="1668"/>
      <c r="AH81" s="1668"/>
      <c r="AI81" s="1668"/>
      <c r="AJ81" s="1668"/>
      <c r="AK81" s="1668"/>
      <c r="AL81" s="103"/>
      <c r="AM81" s="27"/>
    </row>
    <row r="82" spans="1:42" s="4" customFormat="1" ht="12.75" customHeight="1">
      <c r="B82" s="1668"/>
      <c r="C82" s="1668"/>
      <c r="D82" s="1668"/>
      <c r="E82" s="1668"/>
      <c r="F82" s="1668"/>
      <c r="G82" s="1668"/>
      <c r="H82" s="1668"/>
      <c r="I82" s="1668"/>
      <c r="J82" s="1668"/>
      <c r="K82" s="1668"/>
      <c r="L82" s="1668"/>
      <c r="M82" s="1668"/>
      <c r="N82" s="1668"/>
      <c r="O82" s="1668"/>
      <c r="P82" s="1668"/>
      <c r="Q82" s="1668"/>
      <c r="R82" s="1668"/>
      <c r="S82" s="1668"/>
      <c r="T82" s="1668"/>
      <c r="U82" s="1668"/>
      <c r="V82" s="1668"/>
      <c r="W82" s="1668"/>
      <c r="X82" s="1668"/>
      <c r="Y82" s="1668"/>
      <c r="Z82" s="1668"/>
      <c r="AA82" s="1668"/>
      <c r="AB82" s="1668"/>
      <c r="AC82" s="1668"/>
      <c r="AD82" s="1668"/>
      <c r="AE82" s="1668"/>
      <c r="AF82" s="1668"/>
      <c r="AG82" s="1668"/>
      <c r="AH82" s="1668"/>
      <c r="AI82" s="1668"/>
      <c r="AJ82" s="1668"/>
      <c r="AK82" s="1668"/>
      <c r="AL82" s="103"/>
      <c r="AN82" s="281"/>
    </row>
    <row r="83" spans="1:42" s="4" customFormat="1" ht="12.75" customHeight="1">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03"/>
      <c r="AN83" s="281"/>
    </row>
    <row r="84" spans="1:42" s="4" customFormat="1" ht="14.45" customHeight="1">
      <c r="B84" s="1668"/>
      <c r="C84" s="1668"/>
      <c r="D84" s="1668"/>
      <c r="E84" s="1668"/>
      <c r="F84" s="1668"/>
      <c r="G84" s="1668"/>
      <c r="H84" s="1668"/>
      <c r="I84" s="1668"/>
      <c r="J84" s="1668"/>
      <c r="K84" s="1668"/>
      <c r="L84" s="1668"/>
      <c r="M84" s="1668"/>
      <c r="N84" s="1668"/>
      <c r="O84" s="1668"/>
      <c r="P84" s="1668"/>
      <c r="Q84" s="1668"/>
      <c r="R84" s="1668"/>
      <c r="S84" s="1668"/>
      <c r="T84" s="1668"/>
      <c r="U84" s="1668"/>
      <c r="V84" s="1668"/>
      <c r="W84" s="1668"/>
      <c r="X84" s="1668"/>
      <c r="Y84" s="1668"/>
      <c r="Z84" s="1668"/>
      <c r="AA84" s="1668"/>
      <c r="AB84" s="1668"/>
      <c r="AC84" s="1668"/>
      <c r="AD84" s="1668"/>
      <c r="AE84" s="1668"/>
      <c r="AF84" s="1668"/>
      <c r="AG84" s="1668"/>
      <c r="AH84" s="1668"/>
      <c r="AI84" s="1668"/>
      <c r="AJ84" s="1668"/>
      <c r="AK84" s="1668"/>
      <c r="AL84" s="103"/>
      <c r="AN84" s="281"/>
    </row>
    <row r="85" spans="1:42" s="4" customFormat="1" ht="12.75" customHeight="1">
      <c r="B85" s="1668"/>
      <c r="C85" s="1668"/>
      <c r="D85" s="1668"/>
      <c r="E85" s="1668"/>
      <c r="F85" s="1668"/>
      <c r="G85" s="1668"/>
      <c r="H85" s="1668"/>
      <c r="I85" s="1668"/>
      <c r="J85" s="1668"/>
      <c r="K85" s="1668"/>
      <c r="L85" s="1668"/>
      <c r="M85" s="1668"/>
      <c r="N85" s="1668"/>
      <c r="O85" s="1668"/>
      <c r="P85" s="1668"/>
      <c r="Q85" s="1668"/>
      <c r="R85" s="1668"/>
      <c r="S85" s="1668"/>
      <c r="T85" s="1668"/>
      <c r="U85" s="1668"/>
      <c r="V85" s="1668"/>
      <c r="W85" s="1668"/>
      <c r="X85" s="1668"/>
      <c r="Y85" s="1668"/>
      <c r="Z85" s="1668"/>
      <c r="AA85" s="1668"/>
      <c r="AB85" s="1668"/>
      <c r="AC85" s="1668"/>
      <c r="AD85" s="1668"/>
      <c r="AE85" s="1668"/>
      <c r="AF85" s="1668"/>
      <c r="AG85" s="1668"/>
      <c r="AH85" s="1668"/>
      <c r="AI85" s="1668"/>
      <c r="AJ85" s="1668"/>
      <c r="AK85" s="1668"/>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2" t="s">
        <v>854</v>
      </c>
      <c r="AG90" s="1692"/>
      <c r="AH90" s="1692"/>
      <c r="AI90" s="1692"/>
      <c r="AJ90" s="1692"/>
      <c r="AK90" s="1692"/>
      <c r="AL90" s="169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58</v>
      </c>
      <c r="AG95" s="1692"/>
      <c r="AH95" s="1692"/>
      <c r="AI95" s="1692"/>
      <c r="AJ95" s="1692"/>
      <c r="AK95" s="1692"/>
      <c r="AL95" s="169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59</v>
      </c>
      <c r="AG100" s="1692"/>
      <c r="AH100" s="1692"/>
      <c r="AI100" s="1692"/>
      <c r="AJ100" s="1692"/>
      <c r="AK100" s="1692"/>
      <c r="AL100" s="169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60</v>
      </c>
      <c r="AG105" s="1692"/>
      <c r="AH105" s="1692"/>
      <c r="AI105" s="1692"/>
      <c r="AJ105" s="1692"/>
      <c r="AK105" s="1692"/>
      <c r="AL105" s="169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61</v>
      </c>
      <c r="AG109" s="1692"/>
      <c r="AH109" s="1692"/>
      <c r="AI109" s="1692"/>
      <c r="AJ109" s="1692"/>
      <c r="AK109" s="1692"/>
      <c r="AL109" s="1692"/>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1" t="s">
        <v>581</v>
      </c>
      <c r="I112" s="1671"/>
      <c r="J112" s="116"/>
      <c r="K112" s="116"/>
      <c r="L112" s="116"/>
      <c r="M112" s="937" t="s">
        <v>2102</v>
      </c>
      <c r="R112" s="1784"/>
      <c r="S112" s="1784"/>
      <c r="T112" s="1784"/>
      <c r="U112" s="1784"/>
      <c r="V112" s="1784"/>
      <c r="W112" s="1784"/>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790"/>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790"/>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791" t="s">
        <v>2252</v>
      </c>
      <c r="E116" s="1791"/>
      <c r="F116" s="1791"/>
      <c r="G116" s="1791"/>
      <c r="H116" s="1791"/>
      <c r="I116" s="1791"/>
      <c r="J116" s="1791"/>
      <c r="K116" s="1791"/>
      <c r="L116" s="1791"/>
      <c r="M116" s="1791"/>
      <c r="N116" s="1791"/>
      <c r="O116" s="1791"/>
      <c r="P116" s="1791"/>
      <c r="Q116" s="1791"/>
      <c r="R116" s="1791"/>
      <c r="S116" s="1791"/>
      <c r="T116" s="1791"/>
      <c r="U116" s="1791"/>
      <c r="V116" s="1791"/>
      <c r="W116" s="1791"/>
      <c r="X116" s="1791"/>
      <c r="Y116" s="1791"/>
      <c r="Z116" s="1791"/>
      <c r="AA116" s="1791"/>
      <c r="AB116" s="1791"/>
      <c r="AC116" s="1791"/>
      <c r="AD116" s="1791"/>
      <c r="AE116" s="1791"/>
      <c r="AF116" s="1791"/>
      <c r="AG116" s="1791"/>
      <c r="AH116" s="1791"/>
      <c r="AN116" s="281"/>
      <c r="AO116" s="4" t="s">
        <v>124</v>
      </c>
      <c r="AP116" s="472">
        <v>0</v>
      </c>
    </row>
    <row r="117" spans="1:47" s="4" customFormat="1" ht="12.75" customHeight="1">
      <c r="B117" s="5"/>
      <c r="C117" s="115"/>
      <c r="D117" s="1791"/>
      <c r="E117" s="1791"/>
      <c r="F117" s="1791"/>
      <c r="G117" s="1791"/>
      <c r="H117" s="1791"/>
      <c r="I117" s="1791"/>
      <c r="J117" s="1791"/>
      <c r="K117" s="1791"/>
      <c r="L117" s="1791"/>
      <c r="M117" s="1791"/>
      <c r="N117" s="1791"/>
      <c r="O117" s="1791"/>
      <c r="P117" s="1791"/>
      <c r="Q117" s="1791"/>
      <c r="R117" s="1791"/>
      <c r="S117" s="1791"/>
      <c r="T117" s="1791"/>
      <c r="U117" s="1791"/>
      <c r="V117" s="1791"/>
      <c r="W117" s="1791"/>
      <c r="X117" s="1791"/>
      <c r="Y117" s="1791"/>
      <c r="Z117" s="1791"/>
      <c r="AA117" s="1791"/>
      <c r="AB117" s="1791"/>
      <c r="AC117" s="1791"/>
      <c r="AD117" s="1791"/>
      <c r="AE117" s="1791"/>
      <c r="AF117" s="1791"/>
      <c r="AG117" s="1791"/>
      <c r="AH117" s="1791"/>
      <c r="AN117" s="281"/>
      <c r="AO117" s="4" t="s">
        <v>1471</v>
      </c>
      <c r="AP117" s="4">
        <v>3</v>
      </c>
    </row>
    <row r="118" spans="1:47" s="4" customFormat="1" ht="12.75" customHeight="1">
      <c r="B118" s="5"/>
      <c r="C118" s="115"/>
      <c r="E118" s="4" t="s">
        <v>147</v>
      </c>
      <c r="F118" s="116"/>
      <c r="G118" s="116"/>
      <c r="H118" s="1783" t="s">
        <v>124</v>
      </c>
      <c r="I118" s="1783"/>
      <c r="J118" s="1783"/>
      <c r="K118" s="1783"/>
      <c r="L118" s="1783"/>
      <c r="M118" s="1783"/>
      <c r="N118" s="1783"/>
      <c r="O118" s="1783"/>
      <c r="P118" s="1783"/>
      <c r="Q118" s="1783"/>
      <c r="R118" s="1783"/>
      <c r="S118" s="1783"/>
      <c r="T118" s="1783"/>
      <c r="U118" s="1783"/>
      <c r="V118" s="1783"/>
      <c r="W118" s="1783"/>
      <c r="X118" s="1783"/>
      <c r="Y118" s="1783"/>
      <c r="Z118" s="1783"/>
      <c r="AA118" s="1783"/>
      <c r="AB118" s="1783"/>
      <c r="AC118" s="1783"/>
      <c r="AD118" s="1783"/>
      <c r="AE118" s="178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78" t="s">
        <v>124</v>
      </c>
      <c r="C120" s="1778"/>
      <c r="D120" s="49"/>
      <c r="E120" s="1668" t="s">
        <v>1770</v>
      </c>
      <c r="F120" s="1668"/>
      <c r="G120" s="1668"/>
      <c r="H120" s="1668"/>
      <c r="I120" s="1668"/>
      <c r="J120" s="1668"/>
      <c r="K120" s="1668"/>
      <c r="L120" s="1668"/>
      <c r="M120" s="1668"/>
      <c r="N120" s="1668"/>
      <c r="O120" s="1668"/>
      <c r="P120" s="1668"/>
      <c r="Q120" s="1668"/>
      <c r="R120" s="1668"/>
      <c r="S120" s="1668"/>
      <c r="T120" s="1668"/>
      <c r="U120" s="1668"/>
      <c r="V120" s="1668"/>
      <c r="W120" s="1668"/>
      <c r="X120" s="1668"/>
      <c r="Y120" s="1668"/>
      <c r="Z120" s="1668"/>
      <c r="AA120" s="1668"/>
      <c r="AB120" s="1668"/>
      <c r="AC120" s="1668"/>
      <c r="AD120" s="1668"/>
      <c r="AE120" s="1668"/>
      <c r="AF120" s="1668"/>
      <c r="AG120" s="1668"/>
      <c r="AH120" s="49"/>
      <c r="AI120" s="49"/>
      <c r="AJ120" s="49"/>
      <c r="AK120" s="49"/>
      <c r="AL120" s="49"/>
      <c r="AN120" s="281"/>
    </row>
    <row r="121" spans="1:47" s="4" customFormat="1" ht="12.75" customHeight="1">
      <c r="B121" s="5"/>
      <c r="C121" s="115"/>
      <c r="D121" s="49"/>
      <c r="E121" s="1668"/>
      <c r="F121" s="1668"/>
      <c r="G121" s="1668"/>
      <c r="H121" s="1668"/>
      <c r="I121" s="1668"/>
      <c r="J121" s="1668"/>
      <c r="K121" s="1668"/>
      <c r="L121" s="1668"/>
      <c r="M121" s="1668"/>
      <c r="N121" s="1668"/>
      <c r="O121" s="1668"/>
      <c r="P121" s="1668"/>
      <c r="Q121" s="1668"/>
      <c r="R121" s="1668"/>
      <c r="S121" s="1668"/>
      <c r="T121" s="1668"/>
      <c r="U121" s="1668"/>
      <c r="V121" s="1668"/>
      <c r="W121" s="1668"/>
      <c r="X121" s="1668"/>
      <c r="Y121" s="1668"/>
      <c r="Z121" s="1668"/>
      <c r="AA121" s="1668"/>
      <c r="AB121" s="1668"/>
      <c r="AC121" s="1668"/>
      <c r="AD121" s="1668"/>
      <c r="AE121" s="1668"/>
      <c r="AF121" s="1668"/>
      <c r="AG121" s="1668"/>
      <c r="AH121" s="49"/>
      <c r="AI121" s="49"/>
      <c r="AJ121" s="49"/>
      <c r="AK121" s="49"/>
      <c r="AL121" s="49"/>
      <c r="AN121" s="281"/>
    </row>
    <row r="122" spans="1:47" s="4" customFormat="1" ht="12.75" customHeight="1">
      <c r="B122" s="5"/>
      <c r="C122" s="115"/>
      <c r="D122" s="49"/>
      <c r="E122" s="1668"/>
      <c r="F122" s="1668"/>
      <c r="G122" s="1668"/>
      <c r="H122" s="1668"/>
      <c r="I122" s="1668"/>
      <c r="J122" s="1668"/>
      <c r="K122" s="1668"/>
      <c r="L122" s="1668"/>
      <c r="M122" s="1668"/>
      <c r="N122" s="1668"/>
      <c r="O122" s="1668"/>
      <c r="P122" s="1668"/>
      <c r="Q122" s="1668"/>
      <c r="R122" s="1668"/>
      <c r="S122" s="1668"/>
      <c r="T122" s="1668"/>
      <c r="U122" s="1668"/>
      <c r="V122" s="1668"/>
      <c r="W122" s="1668"/>
      <c r="X122" s="1668"/>
      <c r="Y122" s="1668"/>
      <c r="Z122" s="1668"/>
      <c r="AA122" s="1668"/>
      <c r="AB122" s="1668"/>
      <c r="AC122" s="1668"/>
      <c r="AD122" s="1668"/>
      <c r="AE122" s="1668"/>
      <c r="AF122" s="1668"/>
      <c r="AG122" s="1668"/>
      <c r="AH122" s="49"/>
      <c r="AI122" s="49"/>
      <c r="AJ122" s="49"/>
      <c r="AK122" s="49"/>
      <c r="AL122" s="49"/>
      <c r="AN122" s="281"/>
    </row>
    <row r="123" spans="1:47" s="4" customFormat="1" ht="12.75" customHeight="1">
      <c r="B123" s="5"/>
      <c r="C123" s="115"/>
      <c r="D123" s="299"/>
      <c r="E123" s="1782"/>
      <c r="F123" s="1782"/>
      <c r="G123" s="1782"/>
      <c r="H123" s="1782"/>
      <c r="I123" s="1782"/>
      <c r="J123" s="1782"/>
      <c r="K123" s="1782"/>
      <c r="L123" s="1782"/>
      <c r="M123" s="1782"/>
      <c r="N123" s="1782"/>
      <c r="O123" s="1782"/>
      <c r="P123" s="1782"/>
      <c r="Q123" s="1782"/>
      <c r="R123" s="1782"/>
      <c r="S123" s="1782"/>
      <c r="T123" s="1782"/>
      <c r="U123" s="1782"/>
      <c r="V123" s="1782"/>
      <c r="W123" s="1782"/>
      <c r="X123" s="1782"/>
      <c r="Y123" s="1782"/>
      <c r="Z123" s="1782"/>
      <c r="AA123" s="1782"/>
      <c r="AB123" s="1782"/>
      <c r="AC123" s="1782"/>
      <c r="AD123" s="1782"/>
      <c r="AE123" s="1782"/>
      <c r="AF123" s="1782"/>
      <c r="AG123" s="178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81" t="s">
        <v>1839</v>
      </c>
      <c r="F128" s="1781"/>
      <c r="G128" s="1781"/>
      <c r="H128" s="1781"/>
      <c r="I128" s="1781"/>
      <c r="J128" s="1781"/>
      <c r="K128" s="1781"/>
      <c r="L128" s="1781"/>
      <c r="M128" s="1781"/>
      <c r="N128" s="1781"/>
      <c r="O128" s="1781"/>
      <c r="P128" s="1781"/>
      <c r="Q128" s="1781"/>
      <c r="R128" s="1781"/>
      <c r="S128" s="1781"/>
      <c r="T128" s="1781"/>
      <c r="U128" s="1781"/>
      <c r="V128" s="1781"/>
      <c r="W128" s="1781"/>
      <c r="X128" s="1781"/>
      <c r="Y128" s="1781"/>
      <c r="Z128" s="1781"/>
      <c r="AA128" s="1781"/>
      <c r="AB128" s="1781"/>
      <c r="AC128" s="1781"/>
      <c r="AD128" s="1781"/>
      <c r="AF128" s="1692" t="s">
        <v>61</v>
      </c>
      <c r="AG128" s="1692"/>
      <c r="AH128" s="1692"/>
      <c r="AI128" s="1692"/>
      <c r="AJ128" s="1692"/>
      <c r="AK128" s="1692"/>
      <c r="AL128" s="1692"/>
      <c r="AM128" s="4"/>
      <c r="AN128" s="298"/>
      <c r="AO128" s="4" t="str">
        <f>S133</f>
        <v>N/A</v>
      </c>
    </row>
    <row r="129" spans="1:42" s="4" customFormat="1" ht="12.75" customHeight="1">
      <c r="A129" s="120"/>
      <c r="B129" s="5"/>
      <c r="C129" s="115"/>
      <c r="D129" s="26"/>
      <c r="E129" s="1781"/>
      <c r="F129" s="1781"/>
      <c r="G129" s="1781"/>
      <c r="H129" s="1781"/>
      <c r="I129" s="1781"/>
      <c r="J129" s="1781"/>
      <c r="K129" s="1781"/>
      <c r="L129" s="1781"/>
      <c r="M129" s="1781"/>
      <c r="N129" s="1781"/>
      <c r="O129" s="1781"/>
      <c r="P129" s="1781"/>
      <c r="Q129" s="1781"/>
      <c r="R129" s="1781"/>
      <c r="S129" s="1781"/>
      <c r="T129" s="1781"/>
      <c r="U129" s="1781"/>
      <c r="V129" s="1781"/>
      <c r="W129" s="1781"/>
      <c r="X129" s="1781"/>
      <c r="Y129" s="1781"/>
      <c r="Z129" s="1781"/>
      <c r="AA129" s="1781"/>
      <c r="AB129" s="1781"/>
      <c r="AC129" s="1781"/>
      <c r="AD129" s="1781"/>
      <c r="AF129" s="5"/>
      <c r="AN129" s="281"/>
    </row>
    <row r="130" spans="1:42" s="4" customFormat="1" ht="12.75" customHeight="1">
      <c r="B130" s="5"/>
      <c r="C130" s="45"/>
      <c r="D130" s="26"/>
      <c r="E130" s="1781"/>
      <c r="F130" s="1781"/>
      <c r="G130" s="1781"/>
      <c r="H130" s="1781"/>
      <c r="I130" s="1781"/>
      <c r="J130" s="1781"/>
      <c r="K130" s="1781"/>
      <c r="L130" s="1781"/>
      <c r="M130" s="1781"/>
      <c r="N130" s="1781"/>
      <c r="O130" s="1781"/>
      <c r="P130" s="1781"/>
      <c r="Q130" s="1781"/>
      <c r="R130" s="1781"/>
      <c r="S130" s="1781"/>
      <c r="T130" s="1781"/>
      <c r="U130" s="1781"/>
      <c r="V130" s="1781"/>
      <c r="W130" s="1781"/>
      <c r="X130" s="1781"/>
      <c r="Y130" s="1781"/>
      <c r="Z130" s="1781"/>
      <c r="AA130" s="1781"/>
      <c r="AB130" s="1781"/>
      <c r="AC130" s="1781"/>
      <c r="AD130" s="1781"/>
      <c r="AF130" s="5"/>
      <c r="AN130" s="281"/>
    </row>
    <row r="131" spans="1:42" s="4" customFormat="1" ht="12.75" customHeight="1">
      <c r="A131" s="35"/>
      <c r="B131" s="102"/>
      <c r="C131" s="121"/>
      <c r="D131" s="26"/>
      <c r="E131" s="1781"/>
      <c r="F131" s="1781"/>
      <c r="G131" s="1781"/>
      <c r="H131" s="1781"/>
      <c r="I131" s="1781"/>
      <c r="J131" s="1781"/>
      <c r="K131" s="1781"/>
      <c r="L131" s="1781"/>
      <c r="M131" s="1781"/>
      <c r="N131" s="1781"/>
      <c r="O131" s="1781"/>
      <c r="P131" s="1781"/>
      <c r="Q131" s="1781"/>
      <c r="R131" s="1781"/>
      <c r="S131" s="1781"/>
      <c r="T131" s="1781"/>
      <c r="U131" s="1781"/>
      <c r="V131" s="1781"/>
      <c r="W131" s="1781"/>
      <c r="X131" s="1781"/>
      <c r="Y131" s="1781"/>
      <c r="Z131" s="1781"/>
      <c r="AA131" s="1781"/>
      <c r="AB131" s="1781"/>
      <c r="AC131" s="1781"/>
      <c r="AD131" s="1781"/>
      <c r="AE131" s="19"/>
      <c r="AF131" s="102"/>
      <c r="AG131" s="19"/>
      <c r="AH131" s="19"/>
      <c r="AI131" s="19"/>
      <c r="AJ131" s="19"/>
      <c r="AN131" s="281"/>
    </row>
    <row r="132" spans="1:42" s="4" customFormat="1" ht="22.9" customHeight="1">
      <c r="B132" s="102"/>
      <c r="C132" s="121"/>
      <c r="D132" s="26"/>
      <c r="E132" s="1781"/>
      <c r="F132" s="1781"/>
      <c r="G132" s="1781"/>
      <c r="H132" s="1781"/>
      <c r="I132" s="1781"/>
      <c r="J132" s="1781"/>
      <c r="K132" s="1781"/>
      <c r="L132" s="1781"/>
      <c r="M132" s="1781"/>
      <c r="N132" s="1781"/>
      <c r="O132" s="1781"/>
      <c r="P132" s="1781"/>
      <c r="Q132" s="1781"/>
      <c r="R132" s="1781"/>
      <c r="S132" s="1781"/>
      <c r="T132" s="1781"/>
      <c r="U132" s="1781"/>
      <c r="V132" s="1781"/>
      <c r="W132" s="1781"/>
      <c r="X132" s="1781"/>
      <c r="Y132" s="1781"/>
      <c r="Z132" s="1781"/>
      <c r="AA132" s="1781"/>
      <c r="AB132" s="1781"/>
      <c r="AC132" s="1781"/>
      <c r="AD132" s="178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2" t="s">
        <v>124</v>
      </c>
      <c r="T133" s="1802"/>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103</v>
      </c>
      <c r="AG135" s="1692"/>
      <c r="AH135" s="1692"/>
      <c r="AI135" s="1692"/>
      <c r="AJ135" s="1692"/>
      <c r="AK135" s="1692"/>
      <c r="AL135" s="169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1" t="s">
        <v>197</v>
      </c>
      <c r="I137" s="167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2</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61</v>
      </c>
      <c r="AG143" s="1692"/>
      <c r="AH143" s="1692"/>
      <c r="AI143" s="1692"/>
      <c r="AJ143" s="1692"/>
      <c r="AK143" s="1692"/>
      <c r="AL143" s="169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103</v>
      </c>
      <c r="AG146" s="1692"/>
      <c r="AH146" s="1692"/>
      <c r="AI146" s="1692"/>
      <c r="AJ146" s="1692"/>
      <c r="AK146" s="1692"/>
      <c r="AL146" s="169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1" t="s">
        <v>124</v>
      </c>
      <c r="I149" s="167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0</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68" t="s">
        <v>746</v>
      </c>
      <c r="F156" s="1668"/>
      <c r="G156" s="1668"/>
      <c r="H156" s="1668"/>
      <c r="I156" s="1668"/>
      <c r="J156" s="1668"/>
      <c r="K156" s="1668"/>
      <c r="L156" s="1668"/>
      <c r="M156" s="1668"/>
      <c r="N156" s="1668"/>
      <c r="O156" s="1668"/>
      <c r="P156" s="1668"/>
      <c r="Q156" s="1668"/>
      <c r="R156" s="1668"/>
      <c r="S156" s="1668"/>
      <c r="T156" s="1668"/>
      <c r="U156" s="1668"/>
      <c r="V156" s="1668"/>
      <c r="W156" s="1668"/>
      <c r="X156" s="1668"/>
      <c r="Y156" s="1668"/>
      <c r="Z156" s="1668"/>
      <c r="AA156" s="1668"/>
      <c r="AB156" s="1668"/>
      <c r="AC156" s="1668"/>
      <c r="AE156" s="342"/>
      <c r="AF156" s="1110" t="s">
        <v>59</v>
      </c>
      <c r="AG156" s="1110"/>
      <c r="AH156" s="1110"/>
      <c r="AI156" s="1110"/>
      <c r="AJ156" s="1110"/>
      <c r="AK156" s="1110"/>
      <c r="AL156" s="1110"/>
      <c r="AN156" s="281"/>
    </row>
    <row r="157" spans="1:42" s="4" customFormat="1" ht="12.75" customHeight="1">
      <c r="C157" s="3"/>
      <c r="E157" s="1668"/>
      <c r="F157" s="1668"/>
      <c r="G157" s="1668"/>
      <c r="H157" s="1668"/>
      <c r="I157" s="1668"/>
      <c r="J157" s="1668"/>
      <c r="K157" s="1668"/>
      <c r="L157" s="1668"/>
      <c r="M157" s="1668"/>
      <c r="N157" s="1668"/>
      <c r="O157" s="1668"/>
      <c r="P157" s="1668"/>
      <c r="Q157" s="1668"/>
      <c r="R157" s="1668"/>
      <c r="S157" s="1668"/>
      <c r="T157" s="1668"/>
      <c r="U157" s="1668"/>
      <c r="V157" s="1668"/>
      <c r="W157" s="1668"/>
      <c r="X157" s="1668"/>
      <c r="Y157" s="1668"/>
      <c r="Z157" s="1668"/>
      <c r="AA157" s="1668"/>
      <c r="AB157" s="1668"/>
      <c r="AC157" s="1668"/>
      <c r="AE157" s="342"/>
      <c r="AF157" s="342"/>
      <c r="AG157" s="342"/>
      <c r="AH157" s="342"/>
      <c r="AI157" s="342"/>
      <c r="AJ157" s="342"/>
      <c r="AK157" s="342"/>
      <c r="AL157" s="342"/>
      <c r="AN157" s="281"/>
    </row>
    <row r="158" spans="1:42" s="4" customFormat="1" ht="12.75" customHeight="1">
      <c r="C158" s="3"/>
      <c r="D158" s="26"/>
      <c r="E158" s="1668"/>
      <c r="F158" s="1668"/>
      <c r="G158" s="1668"/>
      <c r="H158" s="1668"/>
      <c r="I158" s="1668"/>
      <c r="J158" s="1668"/>
      <c r="K158" s="1668"/>
      <c r="L158" s="1668"/>
      <c r="M158" s="1668"/>
      <c r="N158" s="1668"/>
      <c r="O158" s="1668"/>
      <c r="P158" s="1668"/>
      <c r="Q158" s="1668"/>
      <c r="R158" s="1668"/>
      <c r="S158" s="1668"/>
      <c r="T158" s="1668"/>
      <c r="U158" s="1668"/>
      <c r="V158" s="1668"/>
      <c r="W158" s="1668"/>
      <c r="X158" s="1668"/>
      <c r="Y158" s="1668"/>
      <c r="Z158" s="1668"/>
      <c r="AA158" s="1668"/>
      <c r="AB158" s="1668"/>
      <c r="AC158" s="166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68" t="s">
        <v>1714</v>
      </c>
      <c r="F160" s="1668"/>
      <c r="G160" s="1668"/>
      <c r="H160" s="1668"/>
      <c r="I160" s="1668"/>
      <c r="J160" s="1668"/>
      <c r="K160" s="1668"/>
      <c r="L160" s="1668"/>
      <c r="M160" s="1668"/>
      <c r="N160" s="1668"/>
      <c r="O160" s="1668"/>
      <c r="P160" s="1668"/>
      <c r="Q160" s="1668"/>
      <c r="R160" s="1668"/>
      <c r="S160" s="1668"/>
      <c r="T160" s="1668"/>
      <c r="U160" s="1668"/>
      <c r="V160" s="1668"/>
      <c r="W160" s="1668"/>
      <c r="X160" s="1668"/>
      <c r="Y160" s="1668"/>
      <c r="Z160" s="1668"/>
      <c r="AA160" s="1668"/>
      <c r="AB160" s="1668"/>
      <c r="AC160" s="1668"/>
      <c r="AE160" s="342"/>
      <c r="AF160" s="1110" t="s">
        <v>60</v>
      </c>
      <c r="AG160" s="1110"/>
      <c r="AH160" s="1110"/>
      <c r="AI160" s="1110"/>
      <c r="AJ160" s="1110"/>
      <c r="AK160" s="1110"/>
      <c r="AL160" s="1110"/>
      <c r="AN160" s="281"/>
    </row>
    <row r="161" spans="1:42" s="4" customFormat="1" ht="12.75" customHeight="1">
      <c r="C161" s="3"/>
      <c r="E161" s="1668"/>
      <c r="F161" s="1668"/>
      <c r="G161" s="1668"/>
      <c r="H161" s="1668"/>
      <c r="I161" s="1668"/>
      <c r="J161" s="1668"/>
      <c r="K161" s="1668"/>
      <c r="L161" s="1668"/>
      <c r="M161" s="1668"/>
      <c r="N161" s="1668"/>
      <c r="O161" s="1668"/>
      <c r="P161" s="1668"/>
      <c r="Q161" s="1668"/>
      <c r="R161" s="1668"/>
      <c r="S161" s="1668"/>
      <c r="T161" s="1668"/>
      <c r="U161" s="1668"/>
      <c r="V161" s="1668"/>
      <c r="W161" s="1668"/>
      <c r="X161" s="1668"/>
      <c r="Y161" s="1668"/>
      <c r="Z161" s="1668"/>
      <c r="AA161" s="1668"/>
      <c r="AB161" s="1668"/>
      <c r="AC161" s="1668"/>
      <c r="AE161" s="342"/>
      <c r="AF161" s="342"/>
      <c r="AG161" s="342"/>
      <c r="AH161" s="342"/>
      <c r="AI161" s="342"/>
      <c r="AJ161" s="342"/>
      <c r="AK161" s="342"/>
      <c r="AL161" s="342"/>
      <c r="AN161" s="281"/>
    </row>
    <row r="162" spans="1:42" s="4" customFormat="1" ht="15" customHeight="1">
      <c r="C162" s="3"/>
      <c r="D162" s="26"/>
      <c r="E162" s="1668"/>
      <c r="F162" s="1668"/>
      <c r="G162" s="1668"/>
      <c r="H162" s="1668"/>
      <c r="I162" s="1668"/>
      <c r="J162" s="1668"/>
      <c r="K162" s="1668"/>
      <c r="L162" s="1668"/>
      <c r="M162" s="1668"/>
      <c r="N162" s="1668"/>
      <c r="O162" s="1668"/>
      <c r="P162" s="1668"/>
      <c r="Q162" s="1668"/>
      <c r="R162" s="1668"/>
      <c r="S162" s="1668"/>
      <c r="T162" s="1668"/>
      <c r="U162" s="1668"/>
      <c r="V162" s="1668"/>
      <c r="W162" s="1668"/>
      <c r="X162" s="1668"/>
      <c r="Y162" s="1668"/>
      <c r="Z162" s="1668"/>
      <c r="AA162" s="1668"/>
      <c r="AB162" s="1668"/>
      <c r="AC162" s="166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68" t="s">
        <v>1715</v>
      </c>
      <c r="F164" s="1668"/>
      <c r="G164" s="1668"/>
      <c r="H164" s="1668"/>
      <c r="I164" s="1668"/>
      <c r="J164" s="1668"/>
      <c r="K164" s="1668"/>
      <c r="L164" s="1668"/>
      <c r="M164" s="1668"/>
      <c r="N164" s="1668"/>
      <c r="O164" s="1668"/>
      <c r="P164" s="1668"/>
      <c r="Q164" s="1668"/>
      <c r="R164" s="1668"/>
      <c r="S164" s="1668"/>
      <c r="T164" s="1668"/>
      <c r="U164" s="1668"/>
      <c r="V164" s="1668"/>
      <c r="W164" s="1668"/>
      <c r="X164" s="1668"/>
      <c r="Y164" s="1668"/>
      <c r="Z164" s="1668"/>
      <c r="AA164" s="1668"/>
      <c r="AB164" s="1668"/>
      <c r="AC164" s="1668"/>
      <c r="AE164" s="342"/>
      <c r="AF164" s="1110" t="s">
        <v>61</v>
      </c>
      <c r="AG164" s="1110"/>
      <c r="AH164" s="1110"/>
      <c r="AI164" s="1110"/>
      <c r="AJ164" s="1110"/>
      <c r="AK164" s="1110"/>
      <c r="AL164" s="1110"/>
      <c r="AN164" s="281"/>
    </row>
    <row r="165" spans="1:42" s="4" customFormat="1" ht="12.75" customHeight="1">
      <c r="B165" s="5"/>
      <c r="C165" s="45"/>
      <c r="E165" s="1668"/>
      <c r="F165" s="1668"/>
      <c r="G165" s="1668"/>
      <c r="H165" s="1668"/>
      <c r="I165" s="1668"/>
      <c r="J165" s="1668"/>
      <c r="K165" s="1668"/>
      <c r="L165" s="1668"/>
      <c r="M165" s="1668"/>
      <c r="N165" s="1668"/>
      <c r="O165" s="1668"/>
      <c r="P165" s="1668"/>
      <c r="Q165" s="1668"/>
      <c r="R165" s="1668"/>
      <c r="S165" s="1668"/>
      <c r="T165" s="1668"/>
      <c r="U165" s="1668"/>
      <c r="V165" s="1668"/>
      <c r="W165" s="1668"/>
      <c r="X165" s="1668"/>
      <c r="Y165" s="1668"/>
      <c r="Z165" s="1668"/>
      <c r="AA165" s="1668"/>
      <c r="AB165" s="1668"/>
      <c r="AC165" s="1668"/>
      <c r="AE165" s="1110"/>
      <c r="AF165" s="1110"/>
      <c r="AG165" s="1110"/>
      <c r="AH165" s="1110"/>
      <c r="AI165" s="1110"/>
      <c r="AJ165" s="1110"/>
      <c r="AK165" s="1110"/>
      <c r="AL165" s="967"/>
      <c r="AN165" s="281"/>
    </row>
    <row r="166" spans="1:42" s="4" customFormat="1" ht="12.75" customHeight="1">
      <c r="A166" s="120"/>
      <c r="D166" s="26"/>
      <c r="E166" s="1668"/>
      <c r="F166" s="1668"/>
      <c r="G166" s="1668"/>
      <c r="H166" s="1668"/>
      <c r="I166" s="1668"/>
      <c r="J166" s="1668"/>
      <c r="K166" s="1668"/>
      <c r="L166" s="1668"/>
      <c r="M166" s="1668"/>
      <c r="N166" s="1668"/>
      <c r="O166" s="1668"/>
      <c r="P166" s="1668"/>
      <c r="Q166" s="1668"/>
      <c r="R166" s="1668"/>
      <c r="S166" s="1668"/>
      <c r="T166" s="1668"/>
      <c r="U166" s="1668"/>
      <c r="V166" s="1668"/>
      <c r="W166" s="1668"/>
      <c r="X166" s="1668"/>
      <c r="Y166" s="1668"/>
      <c r="Z166" s="1668"/>
      <c r="AA166" s="1668"/>
      <c r="AB166" s="1668"/>
      <c r="AC166" s="166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68" t="s">
        <v>1716</v>
      </c>
      <c r="F168" s="1668"/>
      <c r="G168" s="1668"/>
      <c r="H168" s="1668"/>
      <c r="I168" s="1668"/>
      <c r="J168" s="1668"/>
      <c r="K168" s="1668"/>
      <c r="L168" s="1668"/>
      <c r="M168" s="1668"/>
      <c r="N168" s="1668"/>
      <c r="O168" s="1668"/>
      <c r="P168" s="1668"/>
      <c r="Q168" s="1668"/>
      <c r="R168" s="1668"/>
      <c r="S168" s="1668"/>
      <c r="T168" s="1668"/>
      <c r="U168" s="1668"/>
      <c r="V168" s="1668"/>
      <c r="W168" s="1668"/>
      <c r="X168" s="1668"/>
      <c r="Y168" s="1668"/>
      <c r="Z168" s="1668"/>
      <c r="AA168" s="1668"/>
      <c r="AB168" s="1668"/>
      <c r="AC168" s="1668"/>
      <c r="AE168" s="342"/>
      <c r="AF168" s="1110" t="s">
        <v>60</v>
      </c>
      <c r="AG168" s="1110"/>
      <c r="AH168" s="1110"/>
      <c r="AI168" s="1110"/>
      <c r="AJ168" s="1110"/>
      <c r="AK168" s="1110"/>
      <c r="AL168" s="1110"/>
      <c r="AN168" s="281"/>
    </row>
    <row r="169" spans="1:42" s="4" customFormat="1" ht="12.75" customHeight="1">
      <c r="A169" s="111"/>
      <c r="B169" s="5"/>
      <c r="C169" s="126"/>
      <c r="D169" s="26"/>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68" t="s">
        <v>1717</v>
      </c>
      <c r="F172" s="1668"/>
      <c r="G172" s="1668"/>
      <c r="H172" s="1668"/>
      <c r="I172" s="1668"/>
      <c r="J172" s="1668"/>
      <c r="K172" s="1668"/>
      <c r="L172" s="1668"/>
      <c r="M172" s="1668"/>
      <c r="N172" s="1668"/>
      <c r="O172" s="1668"/>
      <c r="P172" s="1668"/>
      <c r="Q172" s="1668"/>
      <c r="R172" s="1668"/>
      <c r="S172" s="1668"/>
      <c r="T172" s="1668"/>
      <c r="U172" s="1668"/>
      <c r="V172" s="1668"/>
      <c r="W172" s="1668"/>
      <c r="X172" s="1668"/>
      <c r="Y172" s="1668"/>
      <c r="Z172" s="1668"/>
      <c r="AA172" s="1668"/>
      <c r="AB172" s="1668"/>
      <c r="AC172" s="1668"/>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68"/>
      <c r="F173" s="1668"/>
      <c r="G173" s="1668"/>
      <c r="H173" s="1668"/>
      <c r="I173" s="1668"/>
      <c r="J173" s="1668"/>
      <c r="K173" s="1668"/>
      <c r="L173" s="1668"/>
      <c r="M173" s="1668"/>
      <c r="N173" s="1668"/>
      <c r="O173" s="1668"/>
      <c r="P173" s="1668"/>
      <c r="Q173" s="1668"/>
      <c r="R173" s="1668"/>
      <c r="S173" s="1668"/>
      <c r="T173" s="1668"/>
      <c r="U173" s="1668"/>
      <c r="V173" s="1668"/>
      <c r="W173" s="1668"/>
      <c r="X173" s="1668"/>
      <c r="Y173" s="1668"/>
      <c r="Z173" s="1668"/>
      <c r="AA173" s="1668"/>
      <c r="AB173" s="1668"/>
      <c r="AC173" s="1668"/>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68"/>
      <c r="F174" s="1668"/>
      <c r="G174" s="1668"/>
      <c r="H174" s="1668"/>
      <c r="I174" s="1668"/>
      <c r="J174" s="1668"/>
      <c r="K174" s="1668"/>
      <c r="L174" s="1668"/>
      <c r="M174" s="1668"/>
      <c r="N174" s="1668"/>
      <c r="O174" s="1668"/>
      <c r="P174" s="1668"/>
      <c r="Q174" s="1668"/>
      <c r="R174" s="1668"/>
      <c r="S174" s="1668"/>
      <c r="T174" s="1668"/>
      <c r="U174" s="1668"/>
      <c r="V174" s="1668"/>
      <c r="W174" s="1668"/>
      <c r="X174" s="1668"/>
      <c r="Y174" s="1668"/>
      <c r="Z174" s="1668"/>
      <c r="AA174" s="1668"/>
      <c r="AB174" s="1668"/>
      <c r="AC174" s="1668"/>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68" t="s">
        <v>1473</v>
      </c>
      <c r="F176" s="1668"/>
      <c r="G176" s="1668"/>
      <c r="H176" s="1668"/>
      <c r="I176" s="1668"/>
      <c r="J176" s="1668"/>
      <c r="K176" s="1668"/>
      <c r="L176" s="1668"/>
      <c r="M176" s="1668"/>
      <c r="N176" s="1668"/>
      <c r="O176" s="1668"/>
      <c r="P176" s="1668"/>
      <c r="Q176" s="1668"/>
      <c r="R176" s="1668"/>
      <c r="S176" s="1668"/>
      <c r="T176" s="1668"/>
      <c r="U176" s="1668"/>
      <c r="V176" s="1668"/>
      <c r="W176" s="1668"/>
      <c r="X176" s="1668"/>
      <c r="Y176" s="1668"/>
      <c r="Z176" s="1668"/>
      <c r="AA176" s="1668"/>
      <c r="AB176" s="1668"/>
      <c r="AC176" s="1668"/>
      <c r="AE176" s="342"/>
      <c r="AF176" s="1110" t="s">
        <v>103</v>
      </c>
      <c r="AG176" s="1110"/>
      <c r="AH176" s="1110"/>
      <c r="AI176" s="1110"/>
      <c r="AJ176" s="1110"/>
      <c r="AK176" s="1110"/>
      <c r="AL176" s="1110"/>
      <c r="AM176" s="20"/>
      <c r="AN176" s="281"/>
      <c r="AO176" s="26" t="s">
        <v>281</v>
      </c>
      <c r="AP176" s="4">
        <v>1</v>
      </c>
    </row>
    <row r="177" spans="1:61" s="4" customFormat="1" ht="22.9" customHeight="1">
      <c r="A177" s="120"/>
      <c r="B177" s="5"/>
      <c r="C177" s="45"/>
      <c r="D177" s="26"/>
      <c r="E177" s="1668"/>
      <c r="F177" s="1668"/>
      <c r="G177" s="1668"/>
      <c r="H177" s="1668"/>
      <c r="I177" s="1668"/>
      <c r="J177" s="1668"/>
      <c r="K177" s="1668"/>
      <c r="L177" s="1668"/>
      <c r="M177" s="1668"/>
      <c r="N177" s="1668"/>
      <c r="O177" s="1668"/>
      <c r="P177" s="1668"/>
      <c r="Q177" s="1668"/>
      <c r="R177" s="1668"/>
      <c r="S177" s="1668"/>
      <c r="T177" s="1668"/>
      <c r="U177" s="1668"/>
      <c r="V177" s="1668"/>
      <c r="W177" s="1668"/>
      <c r="X177" s="1668"/>
      <c r="Y177" s="1668"/>
      <c r="Z177" s="1668"/>
      <c r="AA177" s="1668"/>
      <c r="AB177" s="1668"/>
      <c r="AC177" s="166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68" t="s">
        <v>1474</v>
      </c>
      <c r="F179" s="1668"/>
      <c r="G179" s="1668"/>
      <c r="H179" s="1668"/>
      <c r="I179" s="1668"/>
      <c r="J179" s="1668"/>
      <c r="K179" s="1668"/>
      <c r="L179" s="1668"/>
      <c r="M179" s="1668"/>
      <c r="N179" s="1668"/>
      <c r="O179" s="1668"/>
      <c r="P179" s="1668"/>
      <c r="Q179" s="1668"/>
      <c r="R179" s="1668"/>
      <c r="S179" s="1668"/>
      <c r="T179" s="1668"/>
      <c r="U179" s="1668"/>
      <c r="V179" s="1668"/>
      <c r="W179" s="1668"/>
      <c r="X179" s="1668"/>
      <c r="Y179" s="1668"/>
      <c r="Z179" s="1668"/>
      <c r="AA179" s="1668"/>
      <c r="AB179" s="1668"/>
      <c r="AC179" s="1668"/>
      <c r="AE179" s="342"/>
      <c r="AF179" s="1110" t="s">
        <v>318</v>
      </c>
      <c r="AG179" s="1110"/>
      <c r="AH179" s="1110"/>
      <c r="AI179" s="1110"/>
      <c r="AJ179" s="1110"/>
      <c r="AK179" s="1110"/>
      <c r="AL179" s="1110"/>
      <c r="AM179" s="20"/>
      <c r="AN179" s="281"/>
    </row>
    <row r="180" spans="1:61" s="4" customFormat="1" ht="22.9" customHeight="1">
      <c r="A180" s="120"/>
      <c r="B180" s="5"/>
      <c r="C180" s="45"/>
      <c r="D180" s="26"/>
      <c r="E180" s="1668"/>
      <c r="F180" s="1668"/>
      <c r="G180" s="1668"/>
      <c r="H180" s="1668"/>
      <c r="I180" s="1668"/>
      <c r="J180" s="1668"/>
      <c r="K180" s="1668"/>
      <c r="L180" s="1668"/>
      <c r="M180" s="1668"/>
      <c r="N180" s="1668"/>
      <c r="O180" s="1668"/>
      <c r="P180" s="1668"/>
      <c r="Q180" s="1668"/>
      <c r="R180" s="1668"/>
      <c r="S180" s="1668"/>
      <c r="T180" s="1668"/>
      <c r="U180" s="1668"/>
      <c r="V180" s="1668"/>
      <c r="W180" s="1668"/>
      <c r="X180" s="1668"/>
      <c r="Y180" s="1668"/>
      <c r="Z180" s="1668"/>
      <c r="AA180" s="1668"/>
      <c r="AB180" s="1668"/>
      <c r="AC180" s="166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1" t="s">
        <v>581</v>
      </c>
      <c r="I182" s="167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5</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789" t="s">
        <v>2316</v>
      </c>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D188" s="5"/>
      <c r="AF188" s="1136" t="s">
        <v>61</v>
      </c>
      <c r="AG188" s="1136"/>
      <c r="AH188" s="1136"/>
      <c r="AI188" s="1136"/>
      <c r="AJ188" s="1136"/>
      <c r="AK188" s="1136"/>
      <c r="AL188" s="1136"/>
      <c r="AN188" s="281"/>
    </row>
    <row r="189" spans="1:61" s="4" customFormat="1" ht="12.75" customHeight="1">
      <c r="A189" s="120"/>
      <c r="B189" s="5"/>
      <c r="C189" s="130"/>
      <c r="D189" s="26"/>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68" t="s">
        <v>2238</v>
      </c>
      <c r="F191" s="1668"/>
      <c r="G191" s="1668"/>
      <c r="H191" s="1668"/>
      <c r="I191" s="1668"/>
      <c r="J191" s="1668"/>
      <c r="K191" s="1668"/>
      <c r="L191" s="1668"/>
      <c r="M191" s="1668"/>
      <c r="N191" s="1668"/>
      <c r="O191" s="1668"/>
      <c r="P191" s="1668"/>
      <c r="Q191" s="1668"/>
      <c r="R191" s="1668"/>
      <c r="S191" s="1668"/>
      <c r="T191" s="1668"/>
      <c r="U191" s="1668"/>
      <c r="V191" s="1668"/>
      <c r="W191" s="1668"/>
      <c r="X191" s="1668"/>
      <c r="Y191" s="1668"/>
      <c r="Z191" s="1668"/>
      <c r="AA191" s="1668"/>
      <c r="AB191" s="1668"/>
      <c r="AF191" s="1110" t="s">
        <v>61</v>
      </c>
      <c r="AG191" s="1110"/>
      <c r="AH191" s="1110"/>
      <c r="AI191" s="1110"/>
      <c r="AJ191" s="1110"/>
      <c r="AK191" s="1110"/>
      <c r="AL191" s="1110"/>
      <c r="AN191" s="281"/>
      <c r="AO191" s="26" t="s">
        <v>581</v>
      </c>
      <c r="AP191" s="4">
        <v>3</v>
      </c>
    </row>
    <row r="192" spans="1:61" s="4" customFormat="1" ht="12.75" customHeight="1">
      <c r="B192" s="5"/>
      <c r="C192" s="121"/>
      <c r="E192" s="1668"/>
      <c r="F192" s="1668"/>
      <c r="G192" s="1668"/>
      <c r="H192" s="1668"/>
      <c r="I192" s="1668"/>
      <c r="J192" s="1668"/>
      <c r="K192" s="1668"/>
      <c r="L192" s="1668"/>
      <c r="M192" s="1668"/>
      <c r="N192" s="1668"/>
      <c r="O192" s="1668"/>
      <c r="P192" s="1668"/>
      <c r="Q192" s="1668"/>
      <c r="R192" s="1668"/>
      <c r="S192" s="1668"/>
      <c r="T192" s="1668"/>
      <c r="U192" s="1668"/>
      <c r="V192" s="1668"/>
      <c r="W192" s="1668"/>
      <c r="X192" s="1668"/>
      <c r="Y192" s="1668"/>
      <c r="Z192" s="1668"/>
      <c r="AA192" s="1668"/>
      <c r="AB192" s="1668"/>
      <c r="AE192" s="19"/>
      <c r="AF192" s="1110"/>
      <c r="AG192" s="1110"/>
      <c r="AH192" s="1110"/>
      <c r="AI192" s="1110"/>
      <c r="AJ192" s="1110"/>
      <c r="AK192" s="1110"/>
      <c r="AL192" s="1110"/>
      <c r="AN192" s="281"/>
      <c r="AO192" s="26" t="s">
        <v>197</v>
      </c>
      <c r="AP192" s="26">
        <f>3*$AO$197</f>
        <v>3</v>
      </c>
    </row>
    <row r="193" spans="1:53" s="4" customFormat="1" ht="12.75" customHeight="1">
      <c r="B193" s="5"/>
      <c r="C193" s="121"/>
      <c r="E193" s="1668"/>
      <c r="F193" s="1668"/>
      <c r="G193" s="1668"/>
      <c r="H193" s="1668"/>
      <c r="I193" s="1668"/>
      <c r="J193" s="1668"/>
      <c r="K193" s="1668"/>
      <c r="L193" s="1668"/>
      <c r="M193" s="1668"/>
      <c r="N193" s="1668"/>
      <c r="O193" s="1668"/>
      <c r="P193" s="1668"/>
      <c r="Q193" s="1668"/>
      <c r="R193" s="1668"/>
      <c r="S193" s="1668"/>
      <c r="T193" s="1668"/>
      <c r="U193" s="1668"/>
      <c r="V193" s="1668"/>
      <c r="W193" s="1668"/>
      <c r="X193" s="1668"/>
      <c r="Y193" s="1668"/>
      <c r="Z193" s="1668"/>
      <c r="AA193" s="1668"/>
      <c r="AB193" s="1668"/>
      <c r="AE193" s="19"/>
      <c r="AF193" s="102"/>
      <c r="AG193" s="19"/>
      <c r="AH193" s="19"/>
      <c r="AI193" s="19"/>
      <c r="AJ193" s="19"/>
      <c r="AK193" s="19"/>
      <c r="AL193" s="19"/>
      <c r="AN193" s="281"/>
      <c r="AO193" s="4" t="s">
        <v>890</v>
      </c>
      <c r="AP193" s="26">
        <f>2*$AO$197</f>
        <v>2</v>
      </c>
    </row>
    <row r="194" spans="1:53" s="4" customFormat="1" ht="6.75" customHeight="1">
      <c r="B194" s="5"/>
      <c r="C194" s="121"/>
      <c r="E194" s="1668"/>
      <c r="F194" s="1668"/>
      <c r="G194" s="1668"/>
      <c r="H194" s="1668"/>
      <c r="I194" s="1668"/>
      <c r="J194" s="1668"/>
      <c r="K194" s="1668"/>
      <c r="L194" s="1668"/>
      <c r="M194" s="1668"/>
      <c r="N194" s="1668"/>
      <c r="O194" s="1668"/>
      <c r="P194" s="1668"/>
      <c r="Q194" s="1668"/>
      <c r="R194" s="1668"/>
      <c r="S194" s="1668"/>
      <c r="T194" s="1668"/>
      <c r="U194" s="1668"/>
      <c r="V194" s="1668"/>
      <c r="W194" s="1668"/>
      <c r="X194" s="1668"/>
      <c r="Y194" s="1668"/>
      <c r="Z194" s="1668"/>
      <c r="AA194" s="1668"/>
      <c r="AB194" s="166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68" t="s">
        <v>2239</v>
      </c>
      <c r="F196" s="1668"/>
      <c r="G196" s="1668"/>
      <c r="H196" s="1668"/>
      <c r="I196" s="1668"/>
      <c r="J196" s="1668"/>
      <c r="K196" s="1668"/>
      <c r="L196" s="1668"/>
      <c r="M196" s="1668"/>
      <c r="N196" s="1668"/>
      <c r="O196" s="1668"/>
      <c r="P196" s="1668"/>
      <c r="Q196" s="1668"/>
      <c r="R196" s="1668"/>
      <c r="S196" s="1668"/>
      <c r="T196" s="1668"/>
      <c r="U196" s="1668"/>
      <c r="V196" s="1668"/>
      <c r="W196" s="1668"/>
      <c r="X196" s="1668"/>
      <c r="Y196" s="1668"/>
      <c r="Z196" s="1668"/>
      <c r="AA196" s="1668"/>
      <c r="AB196" s="1668"/>
      <c r="AF196" s="1110" t="s">
        <v>103</v>
      </c>
      <c r="AG196" s="1110"/>
      <c r="AH196" s="1110"/>
      <c r="AI196" s="1110"/>
      <c r="AJ196" s="1110"/>
      <c r="AK196" s="1110"/>
      <c r="AL196" s="1110"/>
      <c r="AN196" s="281"/>
      <c r="AY196" s="4" t="s">
        <v>2240</v>
      </c>
      <c r="AZ196" s="959">
        <f>Application!AC215</f>
        <v>0</v>
      </c>
    </row>
    <row r="197" spans="1:53" s="4" customFormat="1" ht="12.75" customHeight="1">
      <c r="B197" s="5"/>
      <c r="C197" s="45"/>
      <c r="E197" s="1668"/>
      <c r="F197" s="1668"/>
      <c r="G197" s="1668"/>
      <c r="H197" s="1668"/>
      <c r="I197" s="1668"/>
      <c r="J197" s="1668"/>
      <c r="K197" s="1668"/>
      <c r="L197" s="1668"/>
      <c r="M197" s="1668"/>
      <c r="N197" s="1668"/>
      <c r="O197" s="1668"/>
      <c r="P197" s="1668"/>
      <c r="Q197" s="1668"/>
      <c r="R197" s="1668"/>
      <c r="S197" s="1668"/>
      <c r="T197" s="1668"/>
      <c r="U197" s="1668"/>
      <c r="V197" s="1668"/>
      <c r="W197" s="1668"/>
      <c r="X197" s="1668"/>
      <c r="Y197" s="1668"/>
      <c r="Z197" s="1668"/>
      <c r="AA197" s="1668"/>
      <c r="AB197" s="1668"/>
      <c r="AD197" s="5"/>
      <c r="AE197" s="19"/>
      <c r="AF197" s="1110"/>
      <c r="AG197" s="1110"/>
      <c r="AH197" s="1110"/>
      <c r="AI197" s="1110"/>
      <c r="AJ197" s="1110"/>
      <c r="AK197" s="1110"/>
      <c r="AL197" s="1110"/>
      <c r="AN197" s="281"/>
      <c r="AO197" s="127" t="b">
        <f>IF(AND(OR(Application!D214="Special Needs",Application!D211="At-Risk and Special Needs"),Application!E217="Large Family"),IF(BA203&gt;=0.25,TRUE,FALSE),IF(AZ203&gt;=0.25,TRUE,FALSE))</f>
        <v>1</v>
      </c>
      <c r="AY197" s="4" t="s">
        <v>2241</v>
      </c>
      <c r="AZ197" s="959">
        <f>Application!G730</f>
        <v>27</v>
      </c>
    </row>
    <row r="198" spans="1:53" s="4" customFormat="1" ht="12.75" customHeight="1">
      <c r="B198" s="5"/>
      <c r="C198" s="45"/>
      <c r="E198" s="1668"/>
      <c r="F198" s="1668"/>
      <c r="G198" s="1668"/>
      <c r="H198" s="1668"/>
      <c r="I198" s="1668"/>
      <c r="J198" s="1668"/>
      <c r="K198" s="1668"/>
      <c r="L198" s="1668"/>
      <c r="M198" s="1668"/>
      <c r="N198" s="1668"/>
      <c r="O198" s="1668"/>
      <c r="P198" s="1668"/>
      <c r="Q198" s="1668"/>
      <c r="R198" s="1668"/>
      <c r="S198" s="1668"/>
      <c r="T198" s="1668"/>
      <c r="U198" s="1668"/>
      <c r="V198" s="1668"/>
      <c r="W198" s="1668"/>
      <c r="X198" s="1668"/>
      <c r="Y198" s="1668"/>
      <c r="Z198" s="1668"/>
      <c r="AA198" s="1668"/>
      <c r="AB198" s="1668"/>
      <c r="AD198" s="5"/>
      <c r="AE198" s="19"/>
      <c r="AN198" s="281"/>
      <c r="AY198" s="4" t="s">
        <v>2243</v>
      </c>
      <c r="AZ198" s="4">
        <f>Application!CC626</f>
        <v>10</v>
      </c>
    </row>
    <row r="199" spans="1:53" customFormat="1" ht="12.75" customHeight="1">
      <c r="A199" s="4"/>
      <c r="B199" s="5"/>
      <c r="C199" s="45"/>
      <c r="D199" s="4"/>
      <c r="E199" s="1668"/>
      <c r="F199" s="1668"/>
      <c r="G199" s="1668"/>
      <c r="H199" s="1668"/>
      <c r="I199" s="1668"/>
      <c r="J199" s="1668"/>
      <c r="K199" s="1668"/>
      <c r="L199" s="1668"/>
      <c r="M199" s="1668"/>
      <c r="N199" s="1668"/>
      <c r="O199" s="1668"/>
      <c r="P199" s="1668"/>
      <c r="Q199" s="1668"/>
      <c r="R199" s="1668"/>
      <c r="S199" s="1668"/>
      <c r="T199" s="1668"/>
      <c r="U199" s="1668"/>
      <c r="V199" s="1668"/>
      <c r="W199" s="1668"/>
      <c r="X199" s="1668"/>
      <c r="Y199" s="1668"/>
      <c r="Z199" s="1668"/>
      <c r="AA199" s="1668"/>
      <c r="AB199" s="1668"/>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92" t="s">
        <v>2297</v>
      </c>
      <c r="F201" s="1792"/>
      <c r="G201" s="1792"/>
      <c r="H201" s="1792"/>
      <c r="I201" s="1792"/>
      <c r="J201" s="1792"/>
      <c r="K201" s="1792"/>
      <c r="L201" s="1792"/>
      <c r="M201" s="1792"/>
      <c r="N201" s="1792"/>
      <c r="O201" s="1792"/>
      <c r="P201" s="1792"/>
      <c r="Q201" s="1792"/>
      <c r="R201" s="1792"/>
      <c r="S201" s="1792"/>
      <c r="T201" s="1792"/>
      <c r="U201" s="1792"/>
      <c r="V201" s="1792"/>
      <c r="W201" s="1792"/>
      <c r="X201" s="1792"/>
      <c r="Y201" s="1792"/>
      <c r="Z201" s="1792"/>
      <c r="AA201" s="1792"/>
      <c r="AB201" s="1792"/>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92"/>
      <c r="F202" s="1792"/>
      <c r="G202" s="1792"/>
      <c r="H202" s="1792"/>
      <c r="I202" s="1792"/>
      <c r="J202" s="1792"/>
      <c r="K202" s="1792"/>
      <c r="L202" s="1792"/>
      <c r="M202" s="1792"/>
      <c r="N202" s="1792"/>
      <c r="O202" s="1792"/>
      <c r="P202" s="1792"/>
      <c r="Q202" s="1792"/>
      <c r="R202" s="1792"/>
      <c r="S202" s="1792"/>
      <c r="T202" s="1792"/>
      <c r="U202" s="1792"/>
      <c r="V202" s="1792"/>
      <c r="W202" s="1792"/>
      <c r="X202" s="1792"/>
      <c r="Y202" s="1792"/>
      <c r="Z202" s="1792"/>
      <c r="AA202" s="1792"/>
      <c r="AB202" s="1792"/>
      <c r="AC202" s="4"/>
      <c r="AD202" s="5"/>
      <c r="AE202" s="19"/>
      <c r="AF202" s="19"/>
      <c r="AG202" s="19"/>
      <c r="AH202" s="19"/>
      <c r="AI202" s="19"/>
      <c r="AJ202" s="4"/>
      <c r="AK202" s="4"/>
      <c r="AL202" s="4"/>
      <c r="AM202" s="4"/>
      <c r="AN202" s="204"/>
      <c r="AY202" s="4" t="s">
        <v>2246</v>
      </c>
      <c r="AZ202">
        <f>AZ198+AZ199+AZ201</f>
        <v>10</v>
      </c>
    </row>
    <row r="203" spans="1:53" customFormat="1" ht="18" customHeight="1">
      <c r="A203" s="4"/>
      <c r="B203" s="5"/>
      <c r="C203" s="45"/>
      <c r="D203" s="4"/>
      <c r="E203" s="1792"/>
      <c r="F203" s="1792"/>
      <c r="G203" s="1792"/>
      <c r="H203" s="1792"/>
      <c r="I203" s="1792"/>
      <c r="J203" s="1792"/>
      <c r="K203" s="1792"/>
      <c r="L203" s="1792"/>
      <c r="M203" s="1792"/>
      <c r="N203" s="1792"/>
      <c r="O203" s="1792"/>
      <c r="P203" s="1792"/>
      <c r="Q203" s="1792"/>
      <c r="R203" s="1792"/>
      <c r="S203" s="1792"/>
      <c r="T203" s="1792"/>
      <c r="U203" s="1792"/>
      <c r="V203" s="1792"/>
      <c r="W203" s="1792"/>
      <c r="X203" s="1792"/>
      <c r="Y203" s="1792"/>
      <c r="Z203" s="1792"/>
      <c r="AA203" s="1792"/>
      <c r="AB203" s="1792"/>
      <c r="AC203" s="4"/>
      <c r="AD203" s="5"/>
      <c r="AE203" s="19"/>
      <c r="AF203" s="19"/>
      <c r="AG203" s="19"/>
      <c r="AH203" s="19"/>
      <c r="AI203" s="19"/>
      <c r="AJ203" s="4"/>
      <c r="AK203" s="4"/>
      <c r="AL203" s="4"/>
      <c r="AM203" s="4"/>
      <c r="AN203" s="204"/>
      <c r="AY203" s="4" t="s">
        <v>2247</v>
      </c>
      <c r="AZ203">
        <f>IFERROR(AZ202/AZ197,0)</f>
        <v>0.37037037037037035</v>
      </c>
      <c r="BA203">
        <f>IFERROR(AZ202/(AZ197-AZ196),0)</f>
        <v>0.37037037037037035</v>
      </c>
    </row>
    <row r="204" spans="1:53" customFormat="1" ht="12.75" customHeight="1">
      <c r="A204" s="4"/>
      <c r="B204" s="5"/>
      <c r="C204" s="45"/>
      <c r="D204" s="4" t="s">
        <v>147</v>
      </c>
      <c r="E204" s="116"/>
      <c r="F204" s="116"/>
      <c r="G204" s="116"/>
      <c r="H204" s="1671" t="s">
        <v>197</v>
      </c>
      <c r="I204" s="167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9">
        <f>VLOOKUP($H$204,$AO$190:$AP$193,2,FALSE)</f>
        <v>3</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788" t="s">
        <v>1254</v>
      </c>
      <c r="F210" s="1788"/>
      <c r="G210" s="1788"/>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4"/>
      <c r="AD210" s="4"/>
      <c r="AF210" s="1692" t="s">
        <v>61</v>
      </c>
      <c r="AG210" s="1692"/>
      <c r="AH210" s="1692"/>
      <c r="AI210" s="1692"/>
      <c r="AJ210" s="1692"/>
      <c r="AK210" s="1692"/>
      <c r="AL210" s="1692"/>
      <c r="AM210" s="4"/>
      <c r="AN210" s="204"/>
      <c r="AO210" s="4" t="s">
        <v>124</v>
      </c>
      <c r="AP210" s="472">
        <v>0</v>
      </c>
    </row>
    <row r="211" spans="1:52" customFormat="1" ht="11.85" customHeight="1">
      <c r="A211" s="4"/>
      <c r="B211" s="5"/>
      <c r="C211" s="115"/>
      <c r="D211" s="26"/>
      <c r="E211" s="1788"/>
      <c r="F211" s="1788"/>
      <c r="G211" s="1788"/>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4"/>
      <c r="AD211" s="4"/>
      <c r="AE211" s="4"/>
      <c r="AM211" s="4"/>
      <c r="AN211" s="204"/>
      <c r="AO211" s="26" t="s">
        <v>581</v>
      </c>
      <c r="AP211" s="4">
        <v>3</v>
      </c>
    </row>
    <row r="212" spans="1:52" customFormat="1" ht="13.9" customHeight="1">
      <c r="A212" s="4"/>
      <c r="B212" s="42"/>
      <c r="C212" s="45"/>
      <c r="D212" s="26"/>
      <c r="E212" s="1788"/>
      <c r="F212" s="1788"/>
      <c r="G212" s="1788"/>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4"/>
      <c r="AD212" s="4"/>
      <c r="AE212" s="19"/>
      <c r="AM212" s="4"/>
      <c r="AN212" s="204"/>
      <c r="AO212" s="26" t="s">
        <v>197</v>
      </c>
      <c r="AP212" s="4">
        <v>2</v>
      </c>
    </row>
    <row r="213" spans="1:52" customFormat="1" ht="13.9" customHeight="1">
      <c r="A213" s="4"/>
      <c r="B213" s="5"/>
      <c r="C213" s="45"/>
      <c r="D213" s="26" t="s">
        <v>197</v>
      </c>
      <c r="E213" s="1698" t="s">
        <v>1255</v>
      </c>
      <c r="F213" s="1698"/>
      <c r="G213" s="1698"/>
      <c r="H213" s="1698"/>
      <c r="I213" s="1698"/>
      <c r="J213" s="1698"/>
      <c r="K213" s="1698"/>
      <c r="L213" s="1698"/>
      <c r="M213" s="1698"/>
      <c r="N213" s="1698"/>
      <c r="O213" s="1698"/>
      <c r="P213" s="1698"/>
      <c r="Q213" s="1698"/>
      <c r="R213" s="1698"/>
      <c r="S213" s="1698"/>
      <c r="T213" s="1698"/>
      <c r="U213" s="1698"/>
      <c r="V213" s="1698"/>
      <c r="W213" s="1698"/>
      <c r="X213" s="1698"/>
      <c r="Y213" s="1698"/>
      <c r="Z213" s="1698"/>
      <c r="AA213" s="1698"/>
      <c r="AB213" s="1698"/>
      <c r="AC213" s="4"/>
      <c r="AD213" s="4"/>
      <c r="AF213" s="1692" t="s">
        <v>103</v>
      </c>
      <c r="AG213" s="1692"/>
      <c r="AH213" s="1692"/>
      <c r="AI213" s="1692"/>
      <c r="AJ213" s="1692"/>
      <c r="AK213" s="1692"/>
      <c r="AL213" s="1692"/>
      <c r="AM213" s="4"/>
      <c r="AN213" s="673"/>
      <c r="AP213" s="21"/>
    </row>
    <row r="214" spans="1:52" customFormat="1" ht="12.75" customHeight="1">
      <c r="A214" s="4"/>
      <c r="B214" s="5"/>
      <c r="C214" s="115"/>
      <c r="D214" s="4"/>
      <c r="E214" s="1698"/>
      <c r="F214" s="1698"/>
      <c r="G214" s="1698"/>
      <c r="H214" s="1698"/>
      <c r="I214" s="1698"/>
      <c r="J214" s="1698"/>
      <c r="K214" s="1698"/>
      <c r="L214" s="1698"/>
      <c r="M214" s="1698"/>
      <c r="N214" s="1698"/>
      <c r="O214" s="1698"/>
      <c r="P214" s="1698"/>
      <c r="Q214" s="1698"/>
      <c r="R214" s="1698"/>
      <c r="S214" s="1698"/>
      <c r="T214" s="1698"/>
      <c r="U214" s="1698"/>
      <c r="V214" s="1698"/>
      <c r="W214" s="1698"/>
      <c r="X214" s="1698"/>
      <c r="Y214" s="1698"/>
      <c r="Z214" s="1698"/>
      <c r="AA214" s="1698"/>
      <c r="AB214" s="1698"/>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8"/>
      <c r="F215" s="1698"/>
      <c r="G215" s="1698"/>
      <c r="H215" s="1698"/>
      <c r="I215" s="1698"/>
      <c r="J215" s="1698"/>
      <c r="K215" s="1698"/>
      <c r="L215" s="1698"/>
      <c r="M215" s="1698"/>
      <c r="N215" s="1698"/>
      <c r="O215" s="1698"/>
      <c r="P215" s="1698"/>
      <c r="Q215" s="1698"/>
      <c r="R215" s="1698"/>
      <c r="S215" s="1698"/>
      <c r="T215" s="1698"/>
      <c r="U215" s="1698"/>
      <c r="V215" s="1698"/>
      <c r="W215" s="1698"/>
      <c r="X215" s="1698"/>
      <c r="Y215" s="1698"/>
      <c r="Z215" s="1698"/>
      <c r="AA215" s="1698"/>
      <c r="AB215" s="1698"/>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1" t="s">
        <v>124</v>
      </c>
      <c r="I216" s="167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68" t="s">
        <v>1490</v>
      </c>
      <c r="F222" s="1668"/>
      <c r="G222" s="1668"/>
      <c r="H222" s="1668"/>
      <c r="I222" s="1668"/>
      <c r="J222" s="1668"/>
      <c r="K222" s="1668"/>
      <c r="L222" s="1668"/>
      <c r="M222" s="1668"/>
      <c r="N222" s="1668"/>
      <c r="O222" s="1668"/>
      <c r="P222" s="1668"/>
      <c r="Q222" s="1668"/>
      <c r="R222" s="1668"/>
      <c r="S222" s="1668"/>
      <c r="T222" s="1668"/>
      <c r="U222" s="1668"/>
      <c r="V222" s="1668"/>
      <c r="W222" s="1668"/>
      <c r="X222" s="1668"/>
      <c r="Y222" s="1668"/>
      <c r="Z222" s="1668"/>
      <c r="AA222" s="1668"/>
      <c r="AB222" s="1668"/>
      <c r="AC222" s="4"/>
      <c r="AD222" s="4"/>
      <c r="AF222" s="1692" t="s">
        <v>61</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68" t="s">
        <v>882</v>
      </c>
      <c r="F225" s="1668"/>
      <c r="G225" s="1668"/>
      <c r="H225" s="1668"/>
      <c r="I225" s="1668"/>
      <c r="J225" s="1668"/>
      <c r="K225" s="1668"/>
      <c r="L225" s="1668"/>
      <c r="M225" s="1668"/>
      <c r="N225" s="1668"/>
      <c r="O225" s="1668"/>
      <c r="P225" s="1668"/>
      <c r="Q225" s="1668"/>
      <c r="R225" s="1668"/>
      <c r="S225" s="1668"/>
      <c r="T225" s="1668"/>
      <c r="U225" s="1668"/>
      <c r="V225" s="1668"/>
      <c r="W225" s="1668"/>
      <c r="X225" s="1668"/>
      <c r="Y225" s="1668"/>
      <c r="Z225" s="1668"/>
      <c r="AA225" s="1668"/>
      <c r="AB225" s="1668"/>
      <c r="AC225" s="4"/>
      <c r="AD225" s="4"/>
      <c r="AF225" s="1692" t="s">
        <v>103</v>
      </c>
      <c r="AG225" s="1692"/>
      <c r="AH225" s="1692"/>
      <c r="AI225" s="1692"/>
      <c r="AJ225" s="1692"/>
      <c r="AK225" s="1692"/>
      <c r="AL225" s="1692"/>
      <c r="AM225" s="4"/>
      <c r="AN225" s="204"/>
      <c r="AO225" s="4" t="s">
        <v>124</v>
      </c>
      <c r="AP225" s="472">
        <v>0</v>
      </c>
      <c r="AT225" s="21"/>
      <c r="AU225" s="21"/>
      <c r="AV225" s="21"/>
      <c r="AW225" s="21"/>
      <c r="AX225" s="21"/>
      <c r="AY225" s="21"/>
      <c r="AZ225" s="21"/>
    </row>
    <row r="226" spans="1:82" customFormat="1">
      <c r="A226" s="4"/>
      <c r="B226" s="5"/>
      <c r="C226" s="115"/>
      <c r="D226" s="4"/>
      <c r="E226" s="1668"/>
      <c r="F226" s="1668"/>
      <c r="G226" s="1668"/>
      <c r="H226" s="1668"/>
      <c r="I226" s="1668"/>
      <c r="J226" s="1668"/>
      <c r="K226" s="1668"/>
      <c r="L226" s="1668"/>
      <c r="M226" s="1668"/>
      <c r="N226" s="1668"/>
      <c r="O226" s="1668"/>
      <c r="P226" s="1668"/>
      <c r="Q226" s="1668"/>
      <c r="R226" s="1668"/>
      <c r="S226" s="1668"/>
      <c r="T226" s="1668"/>
      <c r="U226" s="1668"/>
      <c r="V226" s="1668"/>
      <c r="W226" s="1668"/>
      <c r="X226" s="1668"/>
      <c r="Y226" s="1668"/>
      <c r="Z226" s="1668"/>
      <c r="AA226" s="1668"/>
      <c r="AB226" s="1668"/>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1" t="s">
        <v>124</v>
      </c>
      <c r="I228" s="167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68" t="s">
        <v>1123</v>
      </c>
      <c r="F234" s="1668"/>
      <c r="G234" s="1668"/>
      <c r="H234" s="1668"/>
      <c r="I234" s="1668"/>
      <c r="J234" s="1668"/>
      <c r="K234" s="1668"/>
      <c r="L234" s="1668"/>
      <c r="M234" s="1668"/>
      <c r="N234" s="1668"/>
      <c r="O234" s="1668"/>
      <c r="P234" s="1668"/>
      <c r="Q234" s="1668"/>
      <c r="R234" s="1668"/>
      <c r="S234" s="1668"/>
      <c r="T234" s="1668"/>
      <c r="U234" s="1668"/>
      <c r="V234" s="1668"/>
      <c r="W234" s="1668"/>
      <c r="X234" s="1668"/>
      <c r="Y234" s="1668"/>
      <c r="Z234" s="1668"/>
      <c r="AA234" s="1668"/>
      <c r="AB234" s="1668"/>
      <c r="AC234" s="4"/>
      <c r="AD234" s="4"/>
      <c r="AF234" s="1692" t="s">
        <v>61</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68"/>
      <c r="F235" s="1668"/>
      <c r="G235" s="1668"/>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4"/>
      <c r="AD235" s="4"/>
      <c r="AL235" s="4"/>
      <c r="AM235" s="4"/>
      <c r="AN235" s="204"/>
    </row>
    <row r="236" spans="1:82" customFormat="1" ht="12.75" customHeight="1">
      <c r="A236" s="4"/>
      <c r="B236" s="5"/>
      <c r="C236" s="115"/>
      <c r="D236" s="26"/>
      <c r="E236" s="1668"/>
      <c r="F236" s="1668"/>
      <c r="G236" s="1668"/>
      <c r="H236" s="1668"/>
      <c r="I236" s="1668"/>
      <c r="J236" s="1668"/>
      <c r="K236" s="1668"/>
      <c r="L236" s="1668"/>
      <c r="M236" s="1668"/>
      <c r="N236" s="1668"/>
      <c r="O236" s="1668"/>
      <c r="P236" s="1668"/>
      <c r="Q236" s="1668"/>
      <c r="R236" s="1668"/>
      <c r="S236" s="1668"/>
      <c r="T236" s="1668"/>
      <c r="U236" s="1668"/>
      <c r="V236" s="1668"/>
      <c r="W236" s="1668"/>
      <c r="X236" s="1668"/>
      <c r="Y236" s="1668"/>
      <c r="Z236" s="1668"/>
      <c r="AA236" s="1668"/>
      <c r="AB236" s="166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68" t="s">
        <v>1124</v>
      </c>
      <c r="F238" s="1668"/>
      <c r="G238" s="1668"/>
      <c r="H238" s="1668"/>
      <c r="I238" s="1668"/>
      <c r="J238" s="1668"/>
      <c r="K238" s="1668"/>
      <c r="L238" s="1668"/>
      <c r="M238" s="1668"/>
      <c r="N238" s="1668"/>
      <c r="O238" s="1668"/>
      <c r="P238" s="1668"/>
      <c r="Q238" s="1668"/>
      <c r="R238" s="1668"/>
      <c r="S238" s="1668"/>
      <c r="T238" s="1668"/>
      <c r="U238" s="1668"/>
      <c r="V238" s="1668"/>
      <c r="W238" s="1668"/>
      <c r="X238" s="1668"/>
      <c r="Y238" s="1668"/>
      <c r="Z238" s="1668"/>
      <c r="AA238" s="1668"/>
      <c r="AB238" s="343"/>
      <c r="AC238" s="4"/>
      <c r="AD238" s="4"/>
      <c r="AF238" s="1692" t="s">
        <v>103</v>
      </c>
      <c r="AG238" s="1692"/>
      <c r="AH238" s="1692"/>
      <c r="AI238" s="1692"/>
      <c r="AJ238" s="1692"/>
      <c r="AK238" s="1692"/>
      <c r="AL238" s="1692"/>
      <c r="AM238" s="4"/>
      <c r="AN238" s="204"/>
      <c r="AO238" s="38"/>
      <c r="AP238" s="21"/>
    </row>
    <row r="239" spans="1:82" customFormat="1">
      <c r="A239" s="4"/>
      <c r="B239" s="5"/>
      <c r="C239" s="45"/>
      <c r="D239" s="4"/>
      <c r="E239" s="1668"/>
      <c r="F239" s="1668"/>
      <c r="G239" s="1668"/>
      <c r="H239" s="1668"/>
      <c r="I239" s="1668"/>
      <c r="J239" s="1668"/>
      <c r="K239" s="1668"/>
      <c r="L239" s="1668"/>
      <c r="M239" s="1668"/>
      <c r="N239" s="1668"/>
      <c r="O239" s="1668"/>
      <c r="P239" s="1668"/>
      <c r="Q239" s="1668"/>
      <c r="R239" s="1668"/>
      <c r="S239" s="1668"/>
      <c r="T239" s="1668"/>
      <c r="U239" s="1668"/>
      <c r="V239" s="1668"/>
      <c r="W239" s="1668"/>
      <c r="X239" s="1668"/>
      <c r="Y239" s="1668"/>
      <c r="Z239" s="1668"/>
      <c r="AA239" s="166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68"/>
      <c r="F240" s="1668"/>
      <c r="G240" s="1668"/>
      <c r="H240" s="1668"/>
      <c r="I240" s="1668"/>
      <c r="J240" s="1668"/>
      <c r="K240" s="1668"/>
      <c r="L240" s="1668"/>
      <c r="M240" s="1668"/>
      <c r="N240" s="1668"/>
      <c r="O240" s="1668"/>
      <c r="P240" s="1668"/>
      <c r="Q240" s="1668"/>
      <c r="R240" s="1668"/>
      <c r="S240" s="1668"/>
      <c r="T240" s="1668"/>
      <c r="U240" s="1668"/>
      <c r="V240" s="1668"/>
      <c r="W240" s="1668"/>
      <c r="X240" s="1668"/>
      <c r="Y240" s="1668"/>
      <c r="Z240" s="1668"/>
      <c r="AA240" s="166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1" t="s">
        <v>124</v>
      </c>
      <c r="I242" s="167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0</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68" t="s">
        <v>317</v>
      </c>
      <c r="F248" s="1668"/>
      <c r="G248" s="1668"/>
      <c r="H248" s="1668"/>
      <c r="I248" s="1668"/>
      <c r="J248" s="1668"/>
      <c r="K248" s="1668"/>
      <c r="L248" s="1668"/>
      <c r="M248" s="1668"/>
      <c r="N248" s="1668"/>
      <c r="O248" s="1668"/>
      <c r="P248" s="1668"/>
      <c r="Q248" s="1668"/>
      <c r="R248" s="1668"/>
      <c r="S248" s="1668"/>
      <c r="T248" s="1668"/>
      <c r="U248" s="1668"/>
      <c r="V248" s="1668"/>
      <c r="W248" s="1668"/>
      <c r="X248" s="1668"/>
      <c r="Y248" s="1668"/>
      <c r="Z248" s="1668"/>
      <c r="AA248" s="1668"/>
      <c r="AB248" s="1668"/>
      <c r="AC248" s="4"/>
      <c r="AD248" s="4"/>
      <c r="AF248" s="1692" t="s">
        <v>103</v>
      </c>
      <c r="AG248" s="1692"/>
      <c r="AH248" s="1692"/>
      <c r="AI248" s="1692"/>
      <c r="AJ248" s="1692"/>
      <c r="AK248" s="1692"/>
      <c r="AL248" s="169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8"/>
      <c r="F249" s="1668"/>
      <c r="G249" s="1668"/>
      <c r="H249" s="1668"/>
      <c r="I249" s="1668"/>
      <c r="J249" s="1668"/>
      <c r="K249" s="1668"/>
      <c r="L249" s="1668"/>
      <c r="M249" s="1668"/>
      <c r="N249" s="1668"/>
      <c r="O249" s="1668"/>
      <c r="P249" s="1668"/>
      <c r="Q249" s="1668"/>
      <c r="R249" s="1668"/>
      <c r="S249" s="1668"/>
      <c r="T249" s="1668"/>
      <c r="U249" s="1668"/>
      <c r="V249" s="1668"/>
      <c r="W249" s="1668"/>
      <c r="X249" s="1668"/>
      <c r="Y249" s="1668"/>
      <c r="Z249" s="1668"/>
      <c r="AA249" s="1668"/>
      <c r="AB249" s="166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8" t="s">
        <v>1256</v>
      </c>
      <c r="F251" s="1668"/>
      <c r="G251" s="1668"/>
      <c r="H251" s="1668"/>
      <c r="I251" s="1668"/>
      <c r="J251" s="1668"/>
      <c r="K251" s="1668"/>
      <c r="L251" s="1668"/>
      <c r="M251" s="1668"/>
      <c r="N251" s="1668"/>
      <c r="O251" s="1668"/>
      <c r="P251" s="1668"/>
      <c r="Q251" s="1668"/>
      <c r="R251" s="1668"/>
      <c r="S251" s="1668"/>
      <c r="T251" s="1668"/>
      <c r="U251" s="1668"/>
      <c r="V251" s="1668"/>
      <c r="W251" s="1668"/>
      <c r="X251" s="1668"/>
      <c r="Y251" s="1668"/>
      <c r="Z251" s="1668"/>
      <c r="AA251" s="1668"/>
      <c r="AB251" s="1668"/>
      <c r="AC251" s="4"/>
      <c r="AD251" s="4"/>
      <c r="AF251" s="1692" t="s">
        <v>318</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8"/>
      <c r="F252" s="1668"/>
      <c r="G252" s="1668"/>
      <c r="H252" s="1668"/>
      <c r="I252" s="1668"/>
      <c r="J252" s="1668"/>
      <c r="K252" s="1668"/>
      <c r="L252" s="1668"/>
      <c r="M252" s="1668"/>
      <c r="N252" s="1668"/>
      <c r="O252" s="1668"/>
      <c r="P252" s="1668"/>
      <c r="Q252" s="1668"/>
      <c r="R252" s="1668"/>
      <c r="S252" s="1668"/>
      <c r="T252" s="1668"/>
      <c r="U252" s="1668"/>
      <c r="V252" s="1668"/>
      <c r="W252" s="1668"/>
      <c r="X252" s="1668"/>
      <c r="Y252" s="1668"/>
      <c r="Z252" s="1668"/>
      <c r="AA252" s="1668"/>
      <c r="AB252" s="166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1" t="s">
        <v>581</v>
      </c>
      <c r="I254" s="167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68" t="s">
        <v>1952</v>
      </c>
      <c r="F260" s="1668"/>
      <c r="G260" s="1668"/>
      <c r="H260" s="1668"/>
      <c r="I260" s="1668"/>
      <c r="J260" s="1668"/>
      <c r="K260" s="1668"/>
      <c r="L260" s="1668"/>
      <c r="M260" s="1668"/>
      <c r="N260" s="1668"/>
      <c r="O260" s="1668"/>
      <c r="P260" s="1668"/>
      <c r="Q260" s="1668"/>
      <c r="R260" s="1668"/>
      <c r="S260" s="1668"/>
      <c r="T260" s="1668"/>
      <c r="U260" s="1668"/>
      <c r="V260" s="1668"/>
      <c r="W260" s="1668"/>
      <c r="X260" s="1668"/>
      <c r="Y260" s="1668"/>
      <c r="Z260" s="1668"/>
      <c r="AA260" s="1668"/>
      <c r="AB260" s="1668"/>
      <c r="AC260" s="1668"/>
      <c r="AD260" s="1668"/>
      <c r="AF260" s="1692" t="s">
        <v>103</v>
      </c>
      <c r="AG260" s="1692"/>
      <c r="AH260" s="1692"/>
      <c r="AI260" s="1692"/>
      <c r="AJ260" s="1692"/>
      <c r="AK260" s="1692"/>
      <c r="AL260" s="1692"/>
      <c r="AM260" s="104"/>
      <c r="AN260" s="204"/>
      <c r="AO260" s="4" t="s">
        <v>124</v>
      </c>
      <c r="AP260" s="472">
        <v>0</v>
      </c>
    </row>
    <row r="261" spans="1:82" customFormat="1">
      <c r="A261" s="4"/>
      <c r="B261" s="102"/>
      <c r="C261" s="137"/>
      <c r="D261" s="26"/>
      <c r="E261" s="1668"/>
      <c r="F261" s="1668"/>
      <c r="G261" s="1668"/>
      <c r="H261" s="1668"/>
      <c r="I261" s="1668"/>
      <c r="J261" s="1668"/>
      <c r="K261" s="1668"/>
      <c r="L261" s="1668"/>
      <c r="M261" s="1668"/>
      <c r="N261" s="1668"/>
      <c r="O261" s="1668"/>
      <c r="P261" s="1668"/>
      <c r="Q261" s="1668"/>
      <c r="R261" s="1668"/>
      <c r="S261" s="1668"/>
      <c r="T261" s="1668"/>
      <c r="U261" s="1668"/>
      <c r="V261" s="1668"/>
      <c r="W261" s="1668"/>
      <c r="X261" s="1668"/>
      <c r="Y261" s="1668"/>
      <c r="Z261" s="1668"/>
      <c r="AA261" s="1668"/>
      <c r="AB261" s="1668"/>
      <c r="AC261" s="1668"/>
      <c r="AD261" s="1668"/>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68"/>
      <c r="F262" s="1668"/>
      <c r="G262" s="1668"/>
      <c r="H262" s="1668"/>
      <c r="I262" s="1668"/>
      <c r="J262" s="1668"/>
      <c r="K262" s="1668"/>
      <c r="L262" s="1668"/>
      <c r="M262" s="1668"/>
      <c r="N262" s="1668"/>
      <c r="O262" s="1668"/>
      <c r="P262" s="1668"/>
      <c r="Q262" s="1668"/>
      <c r="R262" s="1668"/>
      <c r="S262" s="1668"/>
      <c r="T262" s="1668"/>
      <c r="U262" s="1668"/>
      <c r="V262" s="1668"/>
      <c r="W262" s="1668"/>
      <c r="X262" s="1668"/>
      <c r="Y262" s="1668"/>
      <c r="Z262" s="1668"/>
      <c r="AA262" s="1668"/>
      <c r="AB262" s="1668"/>
      <c r="AC262" s="1668"/>
      <c r="AD262" s="166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54" t="s">
        <v>1953</v>
      </c>
      <c r="F264" s="1854"/>
      <c r="G264" s="1854"/>
      <c r="H264" s="1854"/>
      <c r="I264" s="1854"/>
      <c r="J264" s="1854"/>
      <c r="K264" s="1854"/>
      <c r="L264" s="1854"/>
      <c r="M264" s="1854"/>
      <c r="N264" s="1854"/>
      <c r="O264" s="1854"/>
      <c r="P264" s="1854"/>
      <c r="Q264" s="1854"/>
      <c r="R264" s="1854"/>
      <c r="S264" s="1854"/>
      <c r="T264" s="1854"/>
      <c r="U264" s="1854"/>
      <c r="V264" s="1854"/>
      <c r="W264" s="1854"/>
      <c r="X264" s="1854"/>
      <c r="Y264" s="1854"/>
      <c r="Z264" s="1854"/>
      <c r="AA264" s="1854"/>
      <c r="AB264" s="1854"/>
      <c r="AC264" s="1854"/>
      <c r="AD264" s="1854"/>
      <c r="AF264" s="1692" t="s">
        <v>61</v>
      </c>
      <c r="AG264" s="1692"/>
      <c r="AH264" s="1692"/>
      <c r="AI264" s="1692"/>
      <c r="AJ264" s="1692"/>
      <c r="AK264" s="1692"/>
      <c r="AL264" s="1692"/>
      <c r="AM264" s="104"/>
      <c r="AN264" s="281"/>
    </row>
    <row r="265" spans="1:82" s="4" customFormat="1" ht="12.75" customHeight="1">
      <c r="B265" s="102"/>
      <c r="C265" s="137"/>
      <c r="D265" s="26"/>
      <c r="E265" s="1854"/>
      <c r="F265" s="1854"/>
      <c r="G265" s="1854"/>
      <c r="H265" s="1854"/>
      <c r="I265" s="1854"/>
      <c r="J265" s="1854"/>
      <c r="K265" s="1854"/>
      <c r="L265" s="1854"/>
      <c r="M265" s="1854"/>
      <c r="N265" s="1854"/>
      <c r="O265" s="1854"/>
      <c r="P265" s="1854"/>
      <c r="Q265" s="1854"/>
      <c r="R265" s="1854"/>
      <c r="S265" s="1854"/>
      <c r="T265" s="1854"/>
      <c r="U265" s="1854"/>
      <c r="V265" s="1854"/>
      <c r="W265" s="1854"/>
      <c r="X265" s="1854"/>
      <c r="Y265" s="1854"/>
      <c r="Z265" s="1854"/>
      <c r="AA265" s="1854"/>
      <c r="AB265" s="1854"/>
      <c r="AC265" s="1854"/>
      <c r="AD265" s="1854"/>
      <c r="AE265" s="108"/>
      <c r="AF265" s="108"/>
      <c r="AG265" s="108"/>
      <c r="AH265" s="108"/>
      <c r="AI265" s="108"/>
      <c r="AJ265" s="108"/>
      <c r="AK265" s="108"/>
      <c r="AL265" s="108"/>
      <c r="AM265" s="104"/>
      <c r="AN265" s="281"/>
    </row>
    <row r="266" spans="1:82" s="4" customFormat="1" ht="12.75" customHeight="1">
      <c r="B266" s="102"/>
      <c r="C266" s="137"/>
      <c r="D266" s="26"/>
      <c r="E266" s="1854"/>
      <c r="F266" s="1854"/>
      <c r="G266" s="1854"/>
      <c r="H266" s="1854"/>
      <c r="I266" s="1854"/>
      <c r="J266" s="1854"/>
      <c r="K266" s="1854"/>
      <c r="L266" s="1854"/>
      <c r="M266" s="1854"/>
      <c r="N266" s="1854"/>
      <c r="O266" s="1854"/>
      <c r="P266" s="1854"/>
      <c r="Q266" s="1854"/>
      <c r="R266" s="1854"/>
      <c r="S266" s="1854"/>
      <c r="T266" s="1854"/>
      <c r="U266" s="1854"/>
      <c r="V266" s="1854"/>
      <c r="W266" s="1854"/>
      <c r="X266" s="1854"/>
      <c r="Y266" s="1854"/>
      <c r="Z266" s="1854"/>
      <c r="AA266" s="1854"/>
      <c r="AB266" s="1854"/>
      <c r="AC266" s="1854"/>
      <c r="AD266" s="1854"/>
      <c r="AE266" s="108"/>
      <c r="AF266" s="108"/>
      <c r="AG266" s="108"/>
      <c r="AH266" s="108"/>
      <c r="AI266" s="108"/>
      <c r="AJ266" s="108"/>
      <c r="AK266" s="108"/>
      <c r="AL266" s="108"/>
      <c r="AM266" s="104"/>
      <c r="AN266" s="281"/>
    </row>
    <row r="267" spans="1:82" s="4" customFormat="1" ht="12.75" customHeight="1">
      <c r="B267" s="102"/>
      <c r="C267" s="137"/>
      <c r="D267" s="26"/>
      <c r="E267" s="1854"/>
      <c r="F267" s="1854"/>
      <c r="G267" s="1854"/>
      <c r="H267" s="1854"/>
      <c r="I267" s="1854"/>
      <c r="J267" s="1854"/>
      <c r="K267" s="1854"/>
      <c r="L267" s="1854"/>
      <c r="M267" s="1854"/>
      <c r="N267" s="1854"/>
      <c r="O267" s="1854"/>
      <c r="P267" s="1854"/>
      <c r="Q267" s="1854"/>
      <c r="R267" s="1854"/>
      <c r="S267" s="1854"/>
      <c r="T267" s="1854"/>
      <c r="U267" s="1854"/>
      <c r="V267" s="1854"/>
      <c r="W267" s="1854"/>
      <c r="X267" s="1854"/>
      <c r="Y267" s="1854"/>
      <c r="Z267" s="1854"/>
      <c r="AA267" s="1854"/>
      <c r="AB267" s="1854"/>
      <c r="AC267" s="1854"/>
      <c r="AD267" s="185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1" t="s">
        <v>124</v>
      </c>
      <c r="I269" s="167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68" t="s">
        <v>2212</v>
      </c>
      <c r="F275" s="1668"/>
      <c r="G275" s="1668"/>
      <c r="H275" s="1668"/>
      <c r="I275" s="1668"/>
      <c r="J275" s="1668"/>
      <c r="K275" s="1668"/>
      <c r="L275" s="1668"/>
      <c r="M275" s="1668"/>
      <c r="N275" s="1668"/>
      <c r="O275" s="1668"/>
      <c r="P275" s="1668"/>
      <c r="Q275" s="1668"/>
      <c r="R275" s="1668"/>
      <c r="S275" s="1668"/>
      <c r="T275" s="1668"/>
      <c r="U275" s="1668"/>
      <c r="V275" s="1668"/>
      <c r="W275" s="1668"/>
      <c r="X275" s="1668"/>
      <c r="Y275" s="1668"/>
      <c r="Z275" s="1668"/>
      <c r="AA275" s="1668"/>
      <c r="AB275" s="1668"/>
      <c r="AC275" s="1668"/>
      <c r="AD275" s="1668"/>
      <c r="AF275" s="1692" t="s">
        <v>1633</v>
      </c>
      <c r="AG275" s="1692"/>
      <c r="AH275" s="1692"/>
      <c r="AI275" s="1692"/>
      <c r="AJ275" s="1692"/>
      <c r="AK275" s="1692"/>
      <c r="AL275" s="1692"/>
      <c r="AM275" s="104"/>
      <c r="AN275" s="204"/>
      <c r="AO275" s="26" t="s">
        <v>108</v>
      </c>
      <c r="AP275" s="4">
        <v>8</v>
      </c>
      <c r="AT275" s="428"/>
      <c r="AU275" s="428"/>
      <c r="AV275" s="428"/>
      <c r="AW275" s="428"/>
      <c r="AX275" s="428"/>
      <c r="AY275" s="428"/>
      <c r="AZ275" s="428"/>
    </row>
    <row r="276" spans="1:82" customFormat="1">
      <c r="A276" s="4"/>
      <c r="B276" s="102"/>
      <c r="C276" s="137"/>
      <c r="D276" s="26"/>
      <c r="E276" s="1668"/>
      <c r="F276" s="1668"/>
      <c r="G276" s="1668"/>
      <c r="H276" s="1668"/>
      <c r="I276" s="1668"/>
      <c r="J276" s="1668"/>
      <c r="K276" s="1668"/>
      <c r="L276" s="1668"/>
      <c r="M276" s="1668"/>
      <c r="N276" s="1668"/>
      <c r="O276" s="1668"/>
      <c r="P276" s="1668"/>
      <c r="Q276" s="1668"/>
      <c r="R276" s="1668"/>
      <c r="S276" s="1668"/>
      <c r="T276" s="1668"/>
      <c r="U276" s="1668"/>
      <c r="V276" s="1668"/>
      <c r="W276" s="1668"/>
      <c r="X276" s="1668"/>
      <c r="Y276" s="1668"/>
      <c r="Z276" s="1668"/>
      <c r="AA276" s="1668"/>
      <c r="AB276" s="1668"/>
      <c r="AC276" s="1668"/>
      <c r="AD276" s="166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68"/>
      <c r="F277" s="1668"/>
      <c r="G277" s="1668"/>
      <c r="H277" s="1668"/>
      <c r="I277" s="1668"/>
      <c r="J277" s="1668"/>
      <c r="K277" s="1668"/>
      <c r="L277" s="1668"/>
      <c r="M277" s="1668"/>
      <c r="N277" s="1668"/>
      <c r="O277" s="1668"/>
      <c r="P277" s="1668"/>
      <c r="Q277" s="1668"/>
      <c r="R277" s="1668"/>
      <c r="S277" s="1668"/>
      <c r="T277" s="1668"/>
      <c r="U277" s="1668"/>
      <c r="V277" s="1668"/>
      <c r="W277" s="1668"/>
      <c r="X277" s="1668"/>
      <c r="Y277" s="1668"/>
      <c r="Z277" s="1668"/>
      <c r="AA277" s="1668"/>
      <c r="AB277" s="1668"/>
      <c r="AC277" s="1668"/>
      <c r="AD277" s="166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1" t="s">
        <v>124</v>
      </c>
      <c r="I279" s="167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19</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656" t="s">
        <v>2454</v>
      </c>
      <c r="I287" s="1656"/>
      <c r="J287" s="1656"/>
      <c r="K287" s="1656"/>
      <c r="L287" s="1656"/>
      <c r="M287" s="1656"/>
      <c r="N287" s="1656"/>
      <c r="O287" s="1656"/>
      <c r="P287" s="1656"/>
      <c r="Q287" s="1656"/>
      <c r="R287" s="1656"/>
      <c r="S287"/>
      <c r="T287" s="41" t="s">
        <v>89</v>
      </c>
      <c r="U287"/>
      <c r="V287" s="41"/>
      <c r="W287" s="41"/>
      <c r="X287" s="41"/>
      <c r="Y287" s="41"/>
      <c r="Z287"/>
      <c r="AA287" s="1656" t="s">
        <v>2460</v>
      </c>
      <c r="AB287" s="1656"/>
      <c r="AC287" s="1656"/>
      <c r="AD287" s="1656"/>
      <c r="AE287" s="1656"/>
      <c r="AF287" s="1656"/>
      <c r="AG287" s="1656"/>
      <c r="AH287" s="1656"/>
      <c r="AI287" s="1656"/>
      <c r="AJ287" s="1656"/>
      <c r="AK287" s="1656"/>
      <c r="AL287" s="10"/>
      <c r="AN287" s="281"/>
      <c r="AP287" t="s">
        <v>91</v>
      </c>
    </row>
    <row r="288" spans="1:82" s="4" customFormat="1" ht="12.75" customHeight="1">
      <c r="B288" s="41" t="s">
        <v>699</v>
      </c>
      <c r="C288" s="41"/>
      <c r="D288" s="41"/>
      <c r="E288" s="41"/>
      <c r="F288" s="41"/>
      <c r="G288"/>
      <c r="H288" s="1642" t="s">
        <v>2455</v>
      </c>
      <c r="I288" s="1642"/>
      <c r="J288" s="1642"/>
      <c r="K288" s="1642"/>
      <c r="L288" s="1642"/>
      <c r="M288" s="1642"/>
      <c r="N288" s="1642"/>
      <c r="O288" s="1642"/>
      <c r="P288" s="1642"/>
      <c r="Q288" s="1642"/>
      <c r="R288" s="1642"/>
      <c r="S288"/>
      <c r="T288" s="41" t="s">
        <v>699</v>
      </c>
      <c r="U288"/>
      <c r="V288" s="41"/>
      <c r="W288" s="41"/>
      <c r="X288" s="41"/>
      <c r="Y288" s="41"/>
      <c r="Z288"/>
      <c r="AA288" s="1642" t="s">
        <v>2461</v>
      </c>
      <c r="AB288" s="1642"/>
      <c r="AC288" s="1642"/>
      <c r="AD288" s="1642"/>
      <c r="AE288" s="1642"/>
      <c r="AF288" s="1642"/>
      <c r="AG288" s="1642"/>
      <c r="AH288" s="1642"/>
      <c r="AI288" s="1642"/>
      <c r="AJ288" s="1642"/>
      <c r="AK288" s="1642"/>
      <c r="AL288" s="10"/>
      <c r="AN288" s="281"/>
      <c r="AP288" t="s">
        <v>92</v>
      </c>
    </row>
    <row r="289" spans="1:42" s="4" customFormat="1" ht="12.75" customHeight="1">
      <c r="B289" s="41" t="s">
        <v>99</v>
      </c>
      <c r="C289" s="41"/>
      <c r="D289" s="41"/>
      <c r="E289" s="41"/>
      <c r="F289" s="41"/>
      <c r="G289"/>
      <c r="H289" s="1642" t="s">
        <v>2456</v>
      </c>
      <c r="I289" s="1642"/>
      <c r="J289" s="1642"/>
      <c r="K289" s="1642"/>
      <c r="L289" s="1642"/>
      <c r="M289" s="1642"/>
      <c r="N289" s="1642"/>
      <c r="O289" s="1642"/>
      <c r="P289" s="1642"/>
      <c r="Q289" s="1642"/>
      <c r="R289" s="1642"/>
      <c r="S289"/>
      <c r="T289" s="41" t="s">
        <v>99</v>
      </c>
      <c r="U289"/>
      <c r="V289" s="41"/>
      <c r="W289" s="41"/>
      <c r="X289" s="41"/>
      <c r="Y289" s="41"/>
      <c r="Z289"/>
      <c r="AA289" s="1642" t="s">
        <v>2408</v>
      </c>
      <c r="AB289" s="1642"/>
      <c r="AC289" s="1642"/>
      <c r="AD289" s="1642"/>
      <c r="AE289" s="1642"/>
      <c r="AF289" s="1642"/>
      <c r="AG289" s="1642"/>
      <c r="AH289" s="1642"/>
      <c r="AI289" s="1642"/>
      <c r="AJ289" s="1642"/>
      <c r="AK289" s="1642"/>
      <c r="AL289" s="10"/>
      <c r="AN289" s="281"/>
      <c r="AO289" s="211"/>
      <c r="AP289" t="s">
        <v>93</v>
      </c>
    </row>
    <row r="290" spans="1:42" s="4" customFormat="1" ht="12.75" customHeight="1">
      <c r="B290" s="41" t="s">
        <v>374</v>
      </c>
      <c r="C290" s="41"/>
      <c r="D290" s="41"/>
      <c r="E290" s="41"/>
      <c r="F290" s="41"/>
      <c r="G290"/>
      <c r="H290" s="1642" t="s">
        <v>2457</v>
      </c>
      <c r="I290" s="1642"/>
      <c r="J290" s="1642"/>
      <c r="K290" s="1642"/>
      <c r="L290" s="1642"/>
      <c r="M290" s="1642"/>
      <c r="N290" s="1642"/>
      <c r="O290" s="1642"/>
      <c r="P290" s="1642"/>
      <c r="Q290" s="1642"/>
      <c r="R290" s="1642"/>
      <c r="S290"/>
      <c r="T290" s="41" t="s">
        <v>374</v>
      </c>
      <c r="U290"/>
      <c r="V290" s="41"/>
      <c r="W290" s="41"/>
      <c r="X290" s="41"/>
      <c r="Y290" s="41"/>
      <c r="Z290"/>
      <c r="AA290" s="1642" t="s">
        <v>2462</v>
      </c>
      <c r="AB290" s="1642"/>
      <c r="AC290" s="1642"/>
      <c r="AD290" s="1642"/>
      <c r="AE290" s="1642"/>
      <c r="AF290" s="1642"/>
      <c r="AG290" s="1642"/>
      <c r="AH290" s="1642"/>
      <c r="AI290" s="1642"/>
      <c r="AJ290" s="1642"/>
      <c r="AK290" s="1642"/>
      <c r="AL290" s="10"/>
      <c r="AN290" s="281"/>
      <c r="AO290" s="211"/>
      <c r="AP290" t="s">
        <v>347</v>
      </c>
    </row>
    <row r="291" spans="1:42" s="4" customFormat="1" ht="12.75" customHeight="1">
      <c r="B291" s="41" t="s">
        <v>375</v>
      </c>
      <c r="C291" s="41"/>
      <c r="D291" s="41"/>
      <c r="E291" s="41"/>
      <c r="F291" s="41"/>
      <c r="G291" s="41"/>
      <c r="H291" s="1643" t="s">
        <v>2458</v>
      </c>
      <c r="I291" s="1643"/>
      <c r="J291" s="1643"/>
      <c r="K291" s="1643"/>
      <c r="L291" s="1643"/>
      <c r="M291" s="1643"/>
      <c r="N291" s="5" t="s">
        <v>818</v>
      </c>
      <c r="O291" s="5"/>
      <c r="P291" s="1054"/>
      <c r="Q291" s="1054"/>
      <c r="R291" s="1054"/>
      <c r="S291" s="41"/>
      <c r="T291" s="41" t="s">
        <v>375</v>
      </c>
      <c r="U291"/>
      <c r="V291" s="41"/>
      <c r="W291" s="41"/>
      <c r="X291" s="41"/>
      <c r="Y291" s="41"/>
      <c r="Z291"/>
      <c r="AA291" s="1643" t="s">
        <v>2463</v>
      </c>
      <c r="AB291" s="1643"/>
      <c r="AC291" s="1643"/>
      <c r="AD291" s="1643"/>
      <c r="AE291" s="1643"/>
      <c r="AF291" s="1643"/>
      <c r="AG291" s="5" t="s">
        <v>818</v>
      </c>
      <c r="AH291" s="5"/>
      <c r="AI291" s="1054"/>
      <c r="AJ291" s="1054"/>
      <c r="AK291" s="1054"/>
      <c r="AL291" s="10"/>
      <c r="AN291" s="281"/>
      <c r="AO291" s="211"/>
      <c r="AP291" t="s">
        <v>100</v>
      </c>
    </row>
    <row r="292" spans="1:42" s="4" customFormat="1" ht="12.75" customHeight="1">
      <c r="B292" s="41" t="s">
        <v>88</v>
      </c>
      <c r="C292" s="41"/>
      <c r="D292" s="41"/>
      <c r="E292" s="41"/>
      <c r="F292" s="41"/>
      <c r="G292" s="41"/>
      <c r="H292" s="1055" t="s">
        <v>91</v>
      </c>
      <c r="I292" s="1055"/>
      <c r="J292" s="1055"/>
      <c r="K292" s="1055"/>
      <c r="L292" s="1055"/>
      <c r="M292" s="1055"/>
      <c r="N292" s="1055"/>
      <c r="O292" s="1055"/>
      <c r="P292" s="1055"/>
      <c r="Q292" s="1055"/>
      <c r="R292" s="1055"/>
      <c r="S292" s="41"/>
      <c r="T292" s="41" t="s">
        <v>88</v>
      </c>
      <c r="U292"/>
      <c r="V292" s="41"/>
      <c r="W292" s="41"/>
      <c r="X292" s="41"/>
      <c r="Y292" s="41"/>
      <c r="Z292"/>
      <c r="AA292" s="1055" t="s">
        <v>347</v>
      </c>
      <c r="AB292" s="1055"/>
      <c r="AC292" s="1055"/>
      <c r="AD292" s="1055"/>
      <c r="AE292" s="1055"/>
      <c r="AF292" s="1055"/>
      <c r="AG292" s="1055"/>
      <c r="AH292" s="1055"/>
      <c r="AI292" s="1055"/>
      <c r="AJ292" s="1055"/>
      <c r="AK292" s="1055"/>
      <c r="AL292" s="10"/>
      <c r="AN292" s="281"/>
      <c r="AO292" s="211"/>
      <c r="AP292" t="s">
        <v>97</v>
      </c>
    </row>
    <row r="293" spans="1:42" s="4" customFormat="1" ht="12.75" customHeight="1">
      <c r="B293" s="41" t="s">
        <v>90</v>
      </c>
      <c r="C293" s="41"/>
      <c r="D293" s="41"/>
      <c r="E293" s="41"/>
      <c r="F293" s="41"/>
      <c r="G293" s="41"/>
      <c r="H293" s="1642" t="s">
        <v>2459</v>
      </c>
      <c r="I293" s="1642"/>
      <c r="J293" s="1642"/>
      <c r="K293" s="1642"/>
      <c r="L293" s="1642"/>
      <c r="M293" s="1642"/>
      <c r="N293" s="1642"/>
      <c r="O293" s="1642"/>
      <c r="P293" s="1642"/>
      <c r="Q293" s="1642"/>
      <c r="R293" s="1642"/>
      <c r="S293" s="41"/>
      <c r="T293" s="41" t="s">
        <v>90</v>
      </c>
      <c r="U293"/>
      <c r="V293" s="41"/>
      <c r="W293" s="41"/>
      <c r="X293" s="41"/>
      <c r="Y293" s="41"/>
      <c r="Z293"/>
      <c r="AA293" s="1642" t="s">
        <v>2464</v>
      </c>
      <c r="AB293" s="1642"/>
      <c r="AC293" s="1642"/>
      <c r="AD293" s="1642"/>
      <c r="AE293" s="1642"/>
      <c r="AF293" s="1642"/>
      <c r="AG293" s="1642"/>
      <c r="AH293" s="1642"/>
      <c r="AI293" s="1642"/>
      <c r="AJ293" s="1642"/>
      <c r="AK293" s="1642"/>
      <c r="AL293" s="10"/>
      <c r="AN293" s="281"/>
      <c r="AP293" t="s">
        <v>98</v>
      </c>
    </row>
    <row r="294" spans="1:42" s="4" customFormat="1" ht="12.75" customHeight="1">
      <c r="B294" s="41" t="s">
        <v>101</v>
      </c>
      <c r="C294" s="41"/>
      <c r="D294" s="41"/>
      <c r="E294" s="41"/>
      <c r="F294" s="41"/>
      <c r="G294" s="41"/>
      <c r="H294" s="1856">
        <v>0.28000000000000003</v>
      </c>
      <c r="I294" s="1856"/>
      <c r="J294" s="1856"/>
      <c r="K294" s="1856"/>
      <c r="L294" s="1856"/>
      <c r="M294" s="1856"/>
      <c r="N294" s="1856"/>
      <c r="O294" s="1856"/>
      <c r="P294" s="1856"/>
      <c r="Q294" s="1856"/>
      <c r="R294" s="1856"/>
      <c r="S294" s="41"/>
      <c r="T294" s="41" t="s">
        <v>101</v>
      </c>
      <c r="U294" s="41"/>
      <c r="V294" s="41"/>
      <c r="W294" s="41"/>
      <c r="X294" s="41"/>
      <c r="Y294" s="41"/>
      <c r="Z294" s="12"/>
      <c r="AA294" s="1856">
        <v>0.4</v>
      </c>
      <c r="AB294" s="1856"/>
      <c r="AC294" s="1856"/>
      <c r="AD294" s="1856"/>
      <c r="AE294" s="1856"/>
      <c r="AF294" s="1856"/>
      <c r="AG294" s="1856"/>
      <c r="AH294" s="1856"/>
      <c r="AI294" s="1856"/>
      <c r="AJ294" s="1856"/>
      <c r="AK294" s="1856"/>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656" t="s">
        <v>2460</v>
      </c>
      <c r="I296" s="1656"/>
      <c r="J296" s="1656"/>
      <c r="K296" s="1656"/>
      <c r="L296" s="1656"/>
      <c r="M296" s="1656"/>
      <c r="N296" s="1656"/>
      <c r="O296" s="1656"/>
      <c r="P296" s="1656"/>
      <c r="Q296" s="1656"/>
      <c r="R296" s="1656"/>
      <c r="S296"/>
      <c r="T296" s="41" t="s">
        <v>89</v>
      </c>
      <c r="U296"/>
      <c r="V296" s="41"/>
      <c r="W296" s="41"/>
      <c r="X296" s="41"/>
      <c r="Y296" s="41"/>
      <c r="Z296"/>
      <c r="AA296" s="1656" t="s">
        <v>2465</v>
      </c>
      <c r="AB296" s="1656"/>
      <c r="AC296" s="1656"/>
      <c r="AD296" s="1656"/>
      <c r="AE296" s="1656"/>
      <c r="AF296" s="1656"/>
      <c r="AG296" s="1656"/>
      <c r="AH296" s="1656"/>
      <c r="AI296" s="1656"/>
      <c r="AJ296" s="1656"/>
      <c r="AK296" s="1656"/>
      <c r="AL296" s="10"/>
      <c r="AN296" s="281"/>
      <c r="AP296" s="48" t="s">
        <v>348</v>
      </c>
    </row>
    <row r="297" spans="1:42" s="20" customFormat="1" ht="12.75" customHeight="1">
      <c r="A297" s="4"/>
      <c r="B297" s="41" t="s">
        <v>699</v>
      </c>
      <c r="C297" s="41"/>
      <c r="D297" s="41"/>
      <c r="E297" s="41"/>
      <c r="F297" s="41"/>
      <c r="G297"/>
      <c r="H297" s="1642" t="s">
        <v>2461</v>
      </c>
      <c r="I297" s="1642"/>
      <c r="J297" s="1642"/>
      <c r="K297" s="1642"/>
      <c r="L297" s="1642"/>
      <c r="M297" s="1642"/>
      <c r="N297" s="1642"/>
      <c r="O297" s="1642"/>
      <c r="P297" s="1642"/>
      <c r="Q297" s="1642"/>
      <c r="R297" s="1642"/>
      <c r="S297"/>
      <c r="T297" s="41" t="s">
        <v>699</v>
      </c>
      <c r="U297"/>
      <c r="V297" s="41"/>
      <c r="W297" s="41"/>
      <c r="X297" s="41"/>
      <c r="Y297" s="41"/>
      <c r="Z297"/>
      <c r="AA297" s="1642" t="s">
        <v>2466</v>
      </c>
      <c r="AB297" s="1642"/>
      <c r="AC297" s="1642"/>
      <c r="AD297" s="1642"/>
      <c r="AE297" s="1642"/>
      <c r="AF297" s="1642"/>
      <c r="AG297" s="1642"/>
      <c r="AH297" s="1642"/>
      <c r="AI297" s="1642"/>
      <c r="AJ297" s="1642"/>
      <c r="AK297" s="1642"/>
      <c r="AL297" s="10"/>
      <c r="AM297" s="4"/>
      <c r="AN297" s="281"/>
      <c r="AO297" s="4"/>
    </row>
    <row r="298" spans="1:42" s="20" customFormat="1" ht="12.75" customHeight="1">
      <c r="A298" s="4"/>
      <c r="B298" s="41" t="s">
        <v>99</v>
      </c>
      <c r="C298" s="41"/>
      <c r="D298" s="41"/>
      <c r="E298" s="41"/>
      <c r="F298" s="41"/>
      <c r="G298"/>
      <c r="H298" s="1642" t="s">
        <v>2408</v>
      </c>
      <c r="I298" s="1642"/>
      <c r="J298" s="1642"/>
      <c r="K298" s="1642"/>
      <c r="L298" s="1642"/>
      <c r="M298" s="1642"/>
      <c r="N298" s="1642"/>
      <c r="O298" s="1642"/>
      <c r="P298" s="1642"/>
      <c r="Q298" s="1642"/>
      <c r="R298" s="1642"/>
      <c r="S298"/>
      <c r="T298" s="41" t="s">
        <v>99</v>
      </c>
      <c r="U298"/>
      <c r="V298" s="41"/>
      <c r="W298" s="41"/>
      <c r="X298" s="41"/>
      <c r="Y298" s="41"/>
      <c r="Z298"/>
      <c r="AA298" s="1642" t="s">
        <v>2408</v>
      </c>
      <c r="AB298" s="1642"/>
      <c r="AC298" s="1642"/>
      <c r="AD298" s="1642"/>
      <c r="AE298" s="1642"/>
      <c r="AF298" s="1642"/>
      <c r="AG298" s="1642"/>
      <c r="AH298" s="1642"/>
      <c r="AI298" s="1642"/>
      <c r="AJ298" s="1642"/>
      <c r="AK298" s="1642"/>
      <c r="AL298" s="10"/>
      <c r="AM298" s="4"/>
      <c r="AN298" s="281"/>
      <c r="AO298" s="4"/>
    </row>
    <row r="299" spans="1:42" s="4" customFormat="1" ht="12.75" customHeight="1">
      <c r="B299" s="41" t="s">
        <v>374</v>
      </c>
      <c r="C299" s="41"/>
      <c r="D299" s="41"/>
      <c r="E299" s="41"/>
      <c r="F299" s="41"/>
      <c r="G299"/>
      <c r="H299" s="1642" t="s">
        <v>2462</v>
      </c>
      <c r="I299" s="1642"/>
      <c r="J299" s="1642"/>
      <c r="K299" s="1642"/>
      <c r="L299" s="1642"/>
      <c r="M299" s="1642"/>
      <c r="N299" s="1642"/>
      <c r="O299" s="1642"/>
      <c r="P299" s="1642"/>
      <c r="Q299" s="1642"/>
      <c r="R299" s="1642"/>
      <c r="S299"/>
      <c r="T299" s="41" t="s">
        <v>374</v>
      </c>
      <c r="U299"/>
      <c r="V299" s="41"/>
      <c r="W299" s="41"/>
      <c r="X299" s="41"/>
      <c r="Y299" s="41"/>
      <c r="Z299"/>
      <c r="AA299" s="1642" t="s">
        <v>2467</v>
      </c>
      <c r="AB299" s="1642"/>
      <c r="AC299" s="1642"/>
      <c r="AD299" s="1642"/>
      <c r="AE299" s="1642"/>
      <c r="AF299" s="1642"/>
      <c r="AG299" s="1642"/>
      <c r="AH299" s="1642"/>
      <c r="AI299" s="1642"/>
      <c r="AJ299" s="1642"/>
      <c r="AK299" s="1642"/>
      <c r="AL299" s="10"/>
      <c r="AN299" s="281"/>
    </row>
    <row r="300" spans="1:42" s="4" customFormat="1" ht="12.75" customHeight="1">
      <c r="B300" s="41" t="s">
        <v>375</v>
      </c>
      <c r="C300" s="41"/>
      <c r="D300" s="41"/>
      <c r="E300" s="41"/>
      <c r="F300" s="41"/>
      <c r="G300" s="41"/>
      <c r="H300" s="1643" t="s">
        <v>2463</v>
      </c>
      <c r="I300" s="1643"/>
      <c r="J300" s="1643"/>
      <c r="K300" s="1643"/>
      <c r="L300" s="1643"/>
      <c r="M300" s="1643"/>
      <c r="N300" s="5" t="s">
        <v>818</v>
      </c>
      <c r="O300" s="5"/>
      <c r="P300" s="1054"/>
      <c r="Q300" s="1054"/>
      <c r="R300" s="1054"/>
      <c r="S300" s="41"/>
      <c r="T300" s="41" t="s">
        <v>375</v>
      </c>
      <c r="U300"/>
      <c r="V300" s="41"/>
      <c r="W300" s="41"/>
      <c r="X300" s="41"/>
      <c r="Y300" s="41"/>
      <c r="Z300"/>
      <c r="AA300" s="1643" t="s">
        <v>2468</v>
      </c>
      <c r="AB300" s="1643"/>
      <c r="AC300" s="1643"/>
      <c r="AD300" s="1643"/>
      <c r="AE300" s="1643"/>
      <c r="AF300" s="1643"/>
      <c r="AG300" s="5" t="s">
        <v>818</v>
      </c>
      <c r="AH300" s="5"/>
      <c r="AI300" s="1054"/>
      <c r="AJ300" s="1054"/>
      <c r="AK300" s="1054"/>
      <c r="AL300" s="10"/>
      <c r="AN300" s="281"/>
    </row>
    <row r="301" spans="1:42" s="4" customFormat="1" ht="12.75" customHeight="1">
      <c r="B301" s="41" t="s">
        <v>88</v>
      </c>
      <c r="C301" s="41"/>
      <c r="D301" s="41"/>
      <c r="E301" s="41"/>
      <c r="F301" s="41"/>
      <c r="G301" s="41"/>
      <c r="H301" s="1642" t="s">
        <v>96</v>
      </c>
      <c r="I301" s="1642"/>
      <c r="J301" s="1642"/>
      <c r="K301" s="1642"/>
      <c r="L301" s="1642"/>
      <c r="M301" s="1642"/>
      <c r="N301" s="1642"/>
      <c r="O301" s="1642"/>
      <c r="P301" s="1642"/>
      <c r="Q301" s="1642"/>
      <c r="R301" s="1642"/>
      <c r="S301" s="41"/>
      <c r="T301" s="41" t="s">
        <v>88</v>
      </c>
      <c r="U301"/>
      <c r="V301" s="41"/>
      <c r="W301" s="41"/>
      <c r="X301" s="41"/>
      <c r="Y301" s="41"/>
      <c r="Z301"/>
      <c r="AA301" s="1055" t="s">
        <v>92</v>
      </c>
      <c r="AB301" s="1055"/>
      <c r="AC301" s="1055"/>
      <c r="AD301" s="1055"/>
      <c r="AE301" s="1055"/>
      <c r="AF301" s="1055"/>
      <c r="AG301" s="1055"/>
      <c r="AH301" s="1055"/>
      <c r="AI301" s="1055"/>
      <c r="AJ301" s="1055"/>
      <c r="AK301" s="1055"/>
      <c r="AL301" s="10"/>
      <c r="AN301" s="281"/>
    </row>
    <row r="302" spans="1:42" s="4" customFormat="1" ht="12.75" customHeight="1">
      <c r="B302" s="41" t="s">
        <v>90</v>
      </c>
      <c r="C302" s="41"/>
      <c r="D302" s="41"/>
      <c r="E302" s="41"/>
      <c r="F302" s="41"/>
      <c r="G302" s="41"/>
      <c r="H302" s="1642" t="s">
        <v>2464</v>
      </c>
      <c r="I302" s="1642"/>
      <c r="J302" s="1642"/>
      <c r="K302" s="1642"/>
      <c r="L302" s="1642"/>
      <c r="M302" s="1642"/>
      <c r="N302" s="1642"/>
      <c r="O302" s="1642"/>
      <c r="P302" s="1642"/>
      <c r="Q302" s="1642"/>
      <c r="R302" s="1642"/>
      <c r="S302" s="41"/>
      <c r="T302" s="41" t="s">
        <v>90</v>
      </c>
      <c r="U302"/>
      <c r="V302" s="41"/>
      <c r="W302" s="41"/>
      <c r="X302" s="41"/>
      <c r="Y302" s="41"/>
      <c r="Z302"/>
      <c r="AA302" s="1642" t="s">
        <v>2469</v>
      </c>
      <c r="AB302" s="1642"/>
      <c r="AC302" s="1642"/>
      <c r="AD302" s="1642"/>
      <c r="AE302" s="1642"/>
      <c r="AF302" s="1642"/>
      <c r="AG302" s="1642"/>
      <c r="AH302" s="1642"/>
      <c r="AI302" s="1642"/>
      <c r="AJ302" s="1642"/>
      <c r="AK302" s="1642"/>
      <c r="AL302" s="10"/>
      <c r="AN302" s="281"/>
    </row>
    <row r="303" spans="1:42" s="4" customFormat="1" ht="12.75" customHeight="1">
      <c r="B303" s="41" t="s">
        <v>101</v>
      </c>
      <c r="C303" s="41"/>
      <c r="D303" s="41"/>
      <c r="E303" s="41"/>
      <c r="F303" s="41"/>
      <c r="G303" s="41"/>
      <c r="H303" s="1856">
        <v>0.4</v>
      </c>
      <c r="I303" s="1856"/>
      <c r="J303" s="1856"/>
      <c r="K303" s="1856"/>
      <c r="L303" s="1856"/>
      <c r="M303" s="1856"/>
      <c r="N303" s="1856"/>
      <c r="O303" s="1856"/>
      <c r="P303" s="1856"/>
      <c r="Q303" s="1856"/>
      <c r="R303" s="1856"/>
      <c r="S303" s="41"/>
      <c r="T303" s="41" t="s">
        <v>101</v>
      </c>
      <c r="U303" s="41"/>
      <c r="V303" s="41"/>
      <c r="W303" s="41"/>
      <c r="X303" s="41"/>
      <c r="Y303" s="41"/>
      <c r="Z303" s="12"/>
      <c r="AA303" s="1856">
        <v>0.6</v>
      </c>
      <c r="AB303" s="1856"/>
      <c r="AC303" s="1856"/>
      <c r="AD303" s="1856"/>
      <c r="AE303" s="1856"/>
      <c r="AF303" s="1856"/>
      <c r="AG303" s="1856"/>
      <c r="AH303" s="1856"/>
      <c r="AI303" s="1856"/>
      <c r="AJ303" s="1856"/>
      <c r="AK303" s="185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656" t="s">
        <v>2470</v>
      </c>
      <c r="I305" s="1656"/>
      <c r="J305" s="1656"/>
      <c r="K305" s="1656"/>
      <c r="L305" s="1656"/>
      <c r="M305" s="1656"/>
      <c r="N305" s="1656"/>
      <c r="O305" s="1656"/>
      <c r="P305" s="1656"/>
      <c r="Q305" s="1656"/>
      <c r="R305" s="1656"/>
      <c r="S305"/>
      <c r="T305" s="41" t="s">
        <v>89</v>
      </c>
      <c r="U305"/>
      <c r="V305" s="41"/>
      <c r="W305" s="41"/>
      <c r="X305" s="41"/>
      <c r="Y305" s="41"/>
      <c r="Z305"/>
      <c r="AA305" s="1057"/>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642" t="s">
        <v>2471</v>
      </c>
      <c r="I306" s="1642"/>
      <c r="J306" s="1642"/>
      <c r="K306" s="1642"/>
      <c r="L306" s="1642"/>
      <c r="M306" s="1642"/>
      <c r="N306" s="1642"/>
      <c r="O306" s="1642"/>
      <c r="P306" s="1642"/>
      <c r="Q306" s="1642"/>
      <c r="R306" s="1642"/>
      <c r="S306"/>
      <c r="T306" s="41" t="s">
        <v>699</v>
      </c>
      <c r="U306"/>
      <c r="V306" s="41"/>
      <c r="W306" s="41"/>
      <c r="X306" s="41"/>
      <c r="Y306" s="41"/>
      <c r="Z306"/>
      <c r="AA306" s="1055"/>
      <c r="AB306" s="1055"/>
      <c r="AC306" s="1055"/>
      <c r="AD306" s="1055"/>
      <c r="AE306" s="1055"/>
      <c r="AF306" s="1055"/>
      <c r="AG306" s="1055"/>
      <c r="AH306" s="1055"/>
      <c r="AI306" s="1055"/>
      <c r="AJ306" s="1055"/>
      <c r="AK306" s="1055"/>
      <c r="AL306" s="10"/>
      <c r="AN306" s="281"/>
    </row>
    <row r="307" spans="2:40" s="4" customFormat="1" ht="12.75" customHeight="1">
      <c r="B307" s="41" t="s">
        <v>99</v>
      </c>
      <c r="C307" s="41"/>
      <c r="D307" s="41"/>
      <c r="E307" s="41"/>
      <c r="F307" s="41"/>
      <c r="G307"/>
      <c r="H307" s="1642" t="s">
        <v>2408</v>
      </c>
      <c r="I307" s="1642"/>
      <c r="J307" s="1642"/>
      <c r="K307" s="1642"/>
      <c r="L307" s="1642"/>
      <c r="M307" s="1642"/>
      <c r="N307" s="1642"/>
      <c r="O307" s="1642"/>
      <c r="P307" s="1642"/>
      <c r="Q307" s="1642"/>
      <c r="R307" s="1642"/>
      <c r="S307"/>
      <c r="T307" s="41" t="s">
        <v>99</v>
      </c>
      <c r="U307"/>
      <c r="V307" s="41"/>
      <c r="W307" s="41"/>
      <c r="X307" s="41"/>
      <c r="Y307" s="41"/>
      <c r="Z307"/>
      <c r="AA307" s="1055"/>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642" t="s">
        <v>2472</v>
      </c>
      <c r="I308" s="1642"/>
      <c r="J308" s="1642"/>
      <c r="K308" s="1642"/>
      <c r="L308" s="1642"/>
      <c r="M308" s="1642"/>
      <c r="N308" s="1642"/>
      <c r="O308" s="1642"/>
      <c r="P308" s="1642"/>
      <c r="Q308" s="1642"/>
      <c r="R308" s="1642"/>
      <c r="S308"/>
      <c r="T308" s="41" t="s">
        <v>374</v>
      </c>
      <c r="U308"/>
      <c r="V308" s="41"/>
      <c r="W308" s="41"/>
      <c r="X308" s="41"/>
      <c r="Y308" s="41"/>
      <c r="Z308"/>
      <c r="AA308" s="1055"/>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643" t="s">
        <v>2473</v>
      </c>
      <c r="I309" s="1643"/>
      <c r="J309" s="1643"/>
      <c r="K309" s="1643"/>
      <c r="L309" s="1643"/>
      <c r="M309" s="1643"/>
      <c r="N309" s="5" t="s">
        <v>818</v>
      </c>
      <c r="O309" s="5"/>
      <c r="P309" s="1054"/>
      <c r="Q309" s="1054"/>
      <c r="R309" s="1054"/>
      <c r="S309" s="41"/>
      <c r="T309" s="41" t="s">
        <v>375</v>
      </c>
      <c r="U309"/>
      <c r="V309" s="41"/>
      <c r="W309" s="41"/>
      <c r="X309" s="41"/>
      <c r="Y309" s="41"/>
      <c r="Z309"/>
      <c r="AA309" s="1058"/>
      <c r="AB309" s="1058"/>
      <c r="AC309" s="1058"/>
      <c r="AD309" s="1058"/>
      <c r="AE309" s="1058"/>
      <c r="AF309" s="1058"/>
      <c r="AG309" s="5" t="s">
        <v>818</v>
      </c>
      <c r="AH309" s="5"/>
      <c r="AI309" s="1054"/>
      <c r="AJ309" s="1054"/>
      <c r="AK309" s="1054"/>
      <c r="AL309" s="10"/>
      <c r="AN309" s="281"/>
    </row>
    <row r="310" spans="2:40" s="4" customFormat="1" ht="12.75" customHeight="1">
      <c r="B310" s="41" t="s">
        <v>88</v>
      </c>
      <c r="C310" s="41"/>
      <c r="D310" s="41"/>
      <c r="E310" s="41"/>
      <c r="F310" s="41"/>
      <c r="G310" s="41"/>
      <c r="H310" s="1642" t="s">
        <v>100</v>
      </c>
      <c r="I310" s="1642"/>
      <c r="J310" s="1642"/>
      <c r="K310" s="1642"/>
      <c r="L310" s="1642"/>
      <c r="M310" s="1642"/>
      <c r="N310" s="1642"/>
      <c r="O310" s="1642"/>
      <c r="P310" s="1642"/>
      <c r="Q310" s="1642"/>
      <c r="R310" s="1642"/>
      <c r="S310" s="41"/>
      <c r="T310" s="41" t="s">
        <v>88</v>
      </c>
      <c r="U310"/>
      <c r="V310" s="41"/>
      <c r="W310" s="41"/>
      <c r="X310" s="41"/>
      <c r="Y310" s="41"/>
      <c r="Z310"/>
      <c r="AA310" s="1055"/>
      <c r="AB310" s="1055"/>
      <c r="AC310" s="1055"/>
      <c r="AD310" s="1055"/>
      <c r="AE310" s="1055"/>
      <c r="AF310" s="1055"/>
      <c r="AG310" s="1055"/>
      <c r="AH310" s="1055"/>
      <c r="AI310" s="1055"/>
      <c r="AJ310" s="1055"/>
      <c r="AK310" s="1055"/>
      <c r="AL310" s="10"/>
      <c r="AN310" s="281"/>
    </row>
    <row r="311" spans="2:40" s="4" customFormat="1" ht="12.75" customHeight="1">
      <c r="B311" s="41" t="s">
        <v>90</v>
      </c>
      <c r="C311" s="41"/>
      <c r="D311" s="41"/>
      <c r="E311" s="41"/>
      <c r="F311" s="41"/>
      <c r="G311" s="41"/>
      <c r="H311" s="1642" t="s">
        <v>2474</v>
      </c>
      <c r="I311" s="1642"/>
      <c r="J311" s="1642"/>
      <c r="K311" s="1642"/>
      <c r="L311" s="1642"/>
      <c r="M311" s="1642"/>
      <c r="N311" s="1642"/>
      <c r="O311" s="1642"/>
      <c r="P311" s="1642"/>
      <c r="Q311" s="1642"/>
      <c r="R311" s="1642"/>
      <c r="S311" s="41"/>
      <c r="T311" s="41" t="s">
        <v>90</v>
      </c>
      <c r="U311"/>
      <c r="V311" s="41"/>
      <c r="W311" s="41"/>
      <c r="X311" s="41"/>
      <c r="Y311" s="41"/>
      <c r="Z311"/>
      <c r="AA311" s="1055"/>
      <c r="AB311" s="1055"/>
      <c r="AC311" s="1055"/>
      <c r="AD311" s="1055"/>
      <c r="AE311" s="1055"/>
      <c r="AF311" s="1055"/>
      <c r="AG311" s="1055"/>
      <c r="AH311" s="1055"/>
      <c r="AI311" s="1055"/>
      <c r="AJ311" s="1055"/>
      <c r="AK311" s="1055"/>
      <c r="AL311" s="10"/>
      <c r="AN311" s="281"/>
    </row>
    <row r="312" spans="2:40" s="4" customFormat="1" ht="12.75" customHeight="1">
      <c r="B312" s="41" t="s">
        <v>101</v>
      </c>
      <c r="C312" s="41"/>
      <c r="D312" s="41"/>
      <c r="E312" s="41"/>
      <c r="F312" s="41"/>
      <c r="G312" s="41"/>
      <c r="H312" s="1856">
        <v>0.73</v>
      </c>
      <c r="I312" s="1856"/>
      <c r="J312" s="1856"/>
      <c r="K312" s="1856"/>
      <c r="L312" s="1856"/>
      <c r="M312" s="1856"/>
      <c r="N312" s="1856"/>
      <c r="O312" s="1856"/>
      <c r="P312" s="1856"/>
      <c r="Q312" s="1856"/>
      <c r="R312" s="1856"/>
      <c r="S312" s="41"/>
      <c r="T312" s="41" t="s">
        <v>101</v>
      </c>
      <c r="U312" s="41"/>
      <c r="V312" s="41"/>
      <c r="W312" s="41"/>
      <c r="X312" s="41"/>
      <c r="Y312" s="41"/>
      <c r="Z312" s="12"/>
      <c r="AA312" s="1856"/>
      <c r="AB312" s="1856"/>
      <c r="AC312" s="1856"/>
      <c r="AD312" s="1856"/>
      <c r="AE312" s="1856"/>
      <c r="AF312" s="1856"/>
      <c r="AG312" s="1856"/>
      <c r="AH312" s="1856"/>
      <c r="AI312" s="1856"/>
      <c r="AJ312" s="1856"/>
      <c r="AK312" s="185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5"/>
      <c r="I315" s="1055"/>
      <c r="J315" s="1055"/>
      <c r="K315" s="1055"/>
      <c r="L315" s="1055"/>
      <c r="M315" s="1055"/>
      <c r="N315" s="1055"/>
      <c r="O315" s="1055"/>
      <c r="P315" s="1055"/>
      <c r="Q315" s="1055"/>
      <c r="R315" s="1055"/>
      <c r="S315"/>
      <c r="T315" s="41" t="s">
        <v>699</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99</v>
      </c>
      <c r="C316" s="41"/>
      <c r="D316" s="41"/>
      <c r="E316" s="41"/>
      <c r="F316" s="41"/>
      <c r="G316"/>
      <c r="H316" s="1055"/>
      <c r="I316" s="1055"/>
      <c r="J316" s="1055"/>
      <c r="K316" s="1055"/>
      <c r="L316" s="1055"/>
      <c r="M316" s="1055"/>
      <c r="N316" s="1055"/>
      <c r="O316" s="1055"/>
      <c r="P316" s="1055"/>
      <c r="Q316" s="1055"/>
      <c r="R316" s="1055"/>
      <c r="S316"/>
      <c r="T316" s="41" t="s">
        <v>99</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58"/>
      <c r="I318" s="1058"/>
      <c r="J318" s="1058"/>
      <c r="K318" s="1058"/>
      <c r="L318" s="1058"/>
      <c r="M318" s="1058"/>
      <c r="N318" s="5" t="s">
        <v>818</v>
      </c>
      <c r="O318" s="5"/>
      <c r="P318" s="1054"/>
      <c r="Q318" s="1054"/>
      <c r="R318" s="1054"/>
      <c r="S318" s="41"/>
      <c r="T318" s="41" t="s">
        <v>375</v>
      </c>
      <c r="U318"/>
      <c r="V318" s="41"/>
      <c r="W318" s="41"/>
      <c r="X318" s="41"/>
      <c r="Y318" s="41"/>
      <c r="Z318"/>
      <c r="AA318" s="1058"/>
      <c r="AB318" s="1058"/>
      <c r="AC318" s="1058"/>
      <c r="AD318" s="1058"/>
      <c r="AE318" s="1058"/>
      <c r="AF318" s="1058"/>
      <c r="AG318" s="5" t="s">
        <v>818</v>
      </c>
      <c r="AH318" s="5"/>
      <c r="AI318" s="1054"/>
      <c r="AJ318" s="1054"/>
      <c r="AK318" s="1054"/>
      <c r="AL318" s="10"/>
      <c r="AN318" s="281"/>
    </row>
    <row r="319" spans="2:40" s="4" customFormat="1" ht="12.75" customHeight="1">
      <c r="B319" s="41" t="s">
        <v>88</v>
      </c>
      <c r="C319" s="41"/>
      <c r="D319" s="41"/>
      <c r="E319" s="41"/>
      <c r="F319" s="41"/>
      <c r="G319" s="41"/>
      <c r="H319" s="1055"/>
      <c r="I319" s="1055"/>
      <c r="J319" s="1055"/>
      <c r="K319" s="1055"/>
      <c r="L319" s="1055"/>
      <c r="M319" s="1055"/>
      <c r="N319" s="1055"/>
      <c r="O319" s="1055"/>
      <c r="P319" s="1055"/>
      <c r="Q319" s="1055"/>
      <c r="R319" s="1055"/>
      <c r="S319" s="41"/>
      <c r="T319" s="41" t="s">
        <v>88</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90</v>
      </c>
      <c r="C320" s="41"/>
      <c r="D320" s="41"/>
      <c r="E320" s="41"/>
      <c r="F320" s="41"/>
      <c r="G320" s="41"/>
      <c r="H320" s="1055"/>
      <c r="I320" s="1055"/>
      <c r="J320" s="1055"/>
      <c r="K320" s="1055"/>
      <c r="L320" s="1055"/>
      <c r="M320" s="1055"/>
      <c r="N320" s="1055"/>
      <c r="O320" s="1055"/>
      <c r="P320" s="1055"/>
      <c r="Q320" s="1055"/>
      <c r="R320" s="1055"/>
      <c r="S320" s="41"/>
      <c r="T320" s="41" t="s">
        <v>90</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101</v>
      </c>
      <c r="C321" s="41"/>
      <c r="D321" s="41"/>
      <c r="E321" s="41"/>
      <c r="F321" s="41"/>
      <c r="G321" s="41"/>
      <c r="H321" s="1856"/>
      <c r="I321" s="1856"/>
      <c r="J321" s="1856"/>
      <c r="K321" s="1856"/>
      <c r="L321" s="1856"/>
      <c r="M321" s="1856"/>
      <c r="N321" s="1856"/>
      <c r="O321" s="1856"/>
      <c r="P321" s="1856"/>
      <c r="Q321" s="1856"/>
      <c r="R321" s="1856"/>
      <c r="S321" s="41"/>
      <c r="T321" s="41" t="s">
        <v>101</v>
      </c>
      <c r="U321" s="41"/>
      <c r="V321" s="41"/>
      <c r="W321" s="41"/>
      <c r="X321" s="41"/>
      <c r="Y321" s="41"/>
      <c r="Z321" s="12"/>
      <c r="AA321" s="1856"/>
      <c r="AB321" s="1856"/>
      <c r="AC321" s="1856"/>
      <c r="AD321" s="1856"/>
      <c r="AE321" s="1856"/>
      <c r="AF321" s="1856"/>
      <c r="AG321" s="1856"/>
      <c r="AH321" s="1856"/>
      <c r="AI321" s="1856"/>
      <c r="AJ321" s="1856"/>
      <c r="AK321" s="185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5"/>
      <c r="I324" s="1055"/>
      <c r="J324" s="1055"/>
      <c r="K324" s="1055"/>
      <c r="L324" s="1055"/>
      <c r="M324" s="1055"/>
      <c r="N324" s="1055"/>
      <c r="O324" s="1055"/>
      <c r="P324" s="1055"/>
      <c r="Q324" s="1055"/>
      <c r="R324" s="1055"/>
      <c r="S324"/>
      <c r="T324" s="41" t="s">
        <v>699</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99</v>
      </c>
      <c r="C325" s="41"/>
      <c r="D325" s="41"/>
      <c r="E325" s="41"/>
      <c r="F325" s="41"/>
      <c r="G325"/>
      <c r="H325" s="1055"/>
      <c r="I325" s="1055"/>
      <c r="J325" s="1055"/>
      <c r="K325" s="1055"/>
      <c r="L325" s="1055"/>
      <c r="M325" s="1055"/>
      <c r="N325" s="1055"/>
      <c r="O325" s="1055"/>
      <c r="P325" s="1055"/>
      <c r="Q325" s="1055"/>
      <c r="R325" s="1055"/>
      <c r="S325"/>
      <c r="T325" s="41" t="s">
        <v>99</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8"/>
      <c r="I327" s="1058"/>
      <c r="J327" s="1058"/>
      <c r="K327" s="1058"/>
      <c r="L327" s="1058"/>
      <c r="M327" s="1058"/>
      <c r="N327" s="5" t="s">
        <v>818</v>
      </c>
      <c r="O327" s="5"/>
      <c r="P327" s="1054"/>
      <c r="Q327" s="1054"/>
      <c r="R327" s="1054"/>
      <c r="S327" s="41"/>
      <c r="T327" s="41" t="s">
        <v>375</v>
      </c>
      <c r="U327"/>
      <c r="V327" s="41"/>
      <c r="W327" s="41"/>
      <c r="X327" s="41"/>
      <c r="Y327" s="41"/>
      <c r="Z327"/>
      <c r="AA327" s="1058"/>
      <c r="AB327" s="1058"/>
      <c r="AC327" s="1058"/>
      <c r="AD327" s="1058"/>
      <c r="AE327" s="1058"/>
      <c r="AF327" s="1058"/>
      <c r="AG327" s="5" t="s">
        <v>818</v>
      </c>
      <c r="AH327" s="5"/>
      <c r="AI327" s="1054"/>
      <c r="AJ327" s="1054"/>
      <c r="AK327" s="1054"/>
      <c r="AL327" s="41"/>
      <c r="AN327" s="281"/>
    </row>
    <row r="328" spans="1:76" s="4" customFormat="1" ht="12.75" customHeight="1">
      <c r="B328" s="41" t="s">
        <v>88</v>
      </c>
      <c r="C328" s="41"/>
      <c r="D328" s="41"/>
      <c r="E328" s="41"/>
      <c r="F328" s="41"/>
      <c r="G328" s="41"/>
      <c r="H328" s="1055"/>
      <c r="I328" s="1055"/>
      <c r="J328" s="1055"/>
      <c r="K328" s="1055"/>
      <c r="L328" s="1055"/>
      <c r="M328" s="1055"/>
      <c r="N328" s="1055"/>
      <c r="O328" s="1055"/>
      <c r="P328" s="1055"/>
      <c r="Q328" s="1055"/>
      <c r="R328" s="1055"/>
      <c r="S328" s="41"/>
      <c r="T328" s="41" t="s">
        <v>88</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90</v>
      </c>
      <c r="C329" s="41"/>
      <c r="D329" s="41"/>
      <c r="E329" s="41"/>
      <c r="F329" s="41"/>
      <c r="G329" s="41"/>
      <c r="H329" s="1055"/>
      <c r="I329" s="1055"/>
      <c r="J329" s="1055"/>
      <c r="K329" s="1055"/>
      <c r="L329" s="1055"/>
      <c r="M329" s="1055"/>
      <c r="N329" s="1055"/>
      <c r="O329" s="1055"/>
      <c r="P329" s="1055"/>
      <c r="Q329" s="1055"/>
      <c r="R329" s="1055"/>
      <c r="S329" s="41"/>
      <c r="T329" s="41" t="s">
        <v>90</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101</v>
      </c>
      <c r="C330" s="41"/>
      <c r="D330" s="41"/>
      <c r="E330" s="41"/>
      <c r="F330" s="41"/>
      <c r="G330" s="41"/>
      <c r="H330" s="1856"/>
      <c r="I330" s="1856"/>
      <c r="J330" s="1856"/>
      <c r="K330" s="1856"/>
      <c r="L330" s="1856"/>
      <c r="M330" s="1856"/>
      <c r="N330" s="1856"/>
      <c r="O330" s="1856"/>
      <c r="P330" s="1856"/>
      <c r="Q330" s="1856"/>
      <c r="R330" s="1856"/>
      <c r="S330" s="41"/>
      <c r="T330" s="41" t="s">
        <v>101</v>
      </c>
      <c r="U330" s="41"/>
      <c r="V330" s="41"/>
      <c r="W330" s="41"/>
      <c r="X330" s="41"/>
      <c r="Y330" s="41"/>
      <c r="Z330" s="12"/>
      <c r="AA330" s="1856"/>
      <c r="AB330" s="1856"/>
      <c r="AC330" s="1856"/>
      <c r="AD330" s="1856"/>
      <c r="AE330" s="1856"/>
      <c r="AF330" s="1856"/>
      <c r="AG330" s="1856"/>
      <c r="AH330" s="1856"/>
      <c r="AI330" s="1856"/>
      <c r="AJ330" s="1856"/>
      <c r="AK330" s="185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72" t="s">
        <v>364</v>
      </c>
      <c r="AF333" s="1672"/>
      <c r="AG333" s="1672"/>
      <c r="AH333" s="1672"/>
      <c r="AI333" s="1672"/>
      <c r="AJ333" s="1672"/>
      <c r="AK333" s="1672"/>
      <c r="AL333" s="3"/>
      <c r="AM333" s="827"/>
      <c r="AN333" s="3"/>
    </row>
    <row r="334" spans="1:76" s="4" customFormat="1" ht="12.75" customHeight="1">
      <c r="A334" s="3"/>
      <c r="B334" s="5"/>
      <c r="C334" s="1855" t="s">
        <v>1840</v>
      </c>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5"/>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5"/>
      <c r="D338" s="1855"/>
      <c r="E338" s="1855"/>
      <c r="F338" s="1855"/>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5"/>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27"/>
      <c r="AL341" s="27"/>
      <c r="AM341" s="27"/>
      <c r="AN341" s="281"/>
      <c r="AO341" s="185"/>
    </row>
    <row r="342" spans="1:76" s="4" customFormat="1" ht="12.75" customHeight="1">
      <c r="A342" s="27"/>
      <c r="B342" s="26"/>
      <c r="C342" s="1855" t="s">
        <v>1841</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27"/>
      <c r="AL342" s="27"/>
      <c r="AM342" s="27"/>
      <c r="AN342" s="281"/>
    </row>
    <row r="343" spans="1:76" s="4" customFormat="1" ht="12.75" customHeight="1">
      <c r="A343" s="27"/>
      <c r="B343" s="26"/>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27"/>
      <c r="AL343" s="27"/>
      <c r="AM343" s="27"/>
      <c r="AN343" s="281"/>
    </row>
    <row r="344" spans="1:76" s="4" customFormat="1" ht="12.75" customHeight="1">
      <c r="A344" s="27"/>
      <c r="B344" s="26"/>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27"/>
      <c r="AL344" s="27"/>
      <c r="AM344" s="27"/>
      <c r="AN344" s="281"/>
      <c r="AQ344"/>
    </row>
    <row r="345" spans="1:76" s="4" customFormat="1" ht="12.75" customHeight="1">
      <c r="A345" s="27"/>
      <c r="B345" s="26"/>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27"/>
      <c r="AL345" s="27"/>
      <c r="AM345" s="27"/>
      <c r="AN345" s="281"/>
      <c r="AQ345"/>
    </row>
    <row r="346" spans="1:76" s="4" customFormat="1" ht="12.4" customHeight="1">
      <c r="A346" s="27"/>
      <c r="B346" s="26"/>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27"/>
      <c r="AL346" s="27"/>
      <c r="AM346" s="27"/>
      <c r="AN346" s="281"/>
      <c r="AQ346"/>
      <c r="AR346"/>
    </row>
    <row r="347" spans="1:76" s="4" customFormat="1" ht="12.75" customHeight="1">
      <c r="A347" s="27"/>
      <c r="B347" s="26"/>
      <c r="C347" s="1855" t="s">
        <v>2298</v>
      </c>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27"/>
      <c r="AL347" s="27"/>
      <c r="AM347" s="27"/>
      <c r="AN347" s="281"/>
      <c r="AQ347"/>
      <c r="AR347"/>
    </row>
    <row r="348" spans="1:76" s="4" customFormat="1" ht="12.75" customHeight="1">
      <c r="A348" s="27"/>
      <c r="B348" s="26"/>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27"/>
      <c r="AL348" s="27"/>
      <c r="AM348" s="27"/>
      <c r="AN348" s="281"/>
      <c r="AR348"/>
    </row>
    <row r="349" spans="1:76" s="4" customFormat="1" ht="12.75" customHeight="1">
      <c r="A349" s="27"/>
      <c r="B349" s="26"/>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27"/>
      <c r="AL349" s="27"/>
      <c r="AM349" s="27"/>
      <c r="AN349" s="281"/>
      <c r="AR349"/>
    </row>
    <row r="350" spans="1:76" s="4" customFormat="1" ht="12.75" customHeight="1">
      <c r="A350" s="27"/>
      <c r="B350" s="26"/>
      <c r="C350" s="1855" t="s">
        <v>1842</v>
      </c>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27"/>
      <c r="AL350" s="27"/>
      <c r="AM350" s="27"/>
      <c r="AN350" s="281"/>
      <c r="AQ350"/>
      <c r="AR350"/>
    </row>
    <row r="351" spans="1:76" s="4" customFormat="1" ht="12.75" customHeight="1">
      <c r="A351" s="27"/>
      <c r="B351" s="26"/>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27"/>
      <c r="AL351" s="27"/>
      <c r="AM351" s="27"/>
      <c r="AN351" s="281"/>
      <c r="AQ351"/>
      <c r="AR351"/>
    </row>
    <row r="352" spans="1:76" s="4" customFormat="1" ht="13.15" customHeight="1">
      <c r="A352" s="27"/>
      <c r="B352" s="26"/>
      <c r="C352" s="1855"/>
      <c r="D352" s="1855"/>
      <c r="E352" s="1855"/>
      <c r="F352" s="1855"/>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27"/>
      <c r="AL352" s="27"/>
      <c r="AM352" s="27"/>
      <c r="AN352" s="281"/>
      <c r="AQ352"/>
      <c r="AR352"/>
    </row>
    <row r="353" spans="1:46" s="4" customFormat="1" ht="12.75" customHeight="1">
      <c r="A353" s="27"/>
      <c r="B353" s="26"/>
      <c r="C353" s="1855"/>
      <c r="D353" s="1855"/>
      <c r="E353" s="185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27"/>
      <c r="AL353" s="27"/>
      <c r="AM353" s="27"/>
      <c r="AN353" s="281"/>
      <c r="AO353" s="170"/>
      <c r="AP353" s="170"/>
      <c r="AQ353"/>
    </row>
    <row r="354" spans="1:46" s="4" customFormat="1" ht="11.85" customHeight="1">
      <c r="A354" s="27"/>
      <c r="B354" s="26"/>
      <c r="C354" s="1855"/>
      <c r="D354" s="1855"/>
      <c r="E354" s="185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27"/>
      <c r="AL354" s="27"/>
      <c r="AM354" s="27"/>
      <c r="AN354" s="281"/>
      <c r="AO354" s="688" t="s">
        <v>900</v>
      </c>
      <c r="AP354" s="71">
        <f>IF(C379="Yes",5,0)</f>
        <v>0</v>
      </c>
      <c r="AS354" s="3" t="s">
        <v>1778</v>
      </c>
    </row>
    <row r="355" spans="1:46" s="4" customFormat="1" ht="12.75" customHeight="1">
      <c r="A355" s="27"/>
      <c r="B355" s="26"/>
      <c r="C355" s="1855"/>
      <c r="D355" s="1855"/>
      <c r="E355" s="1855"/>
      <c r="F355" s="1855"/>
      <c r="G355" s="1855"/>
      <c r="H355" s="1855"/>
      <c r="I355" s="1855"/>
      <c r="J355" s="1855"/>
      <c r="K355" s="1855"/>
      <c r="L355" s="1855"/>
      <c r="M355" s="1855"/>
      <c r="N355" s="1855"/>
      <c r="O355" s="1855"/>
      <c r="P355" s="1855"/>
      <c r="Q355" s="1855"/>
      <c r="R355" s="1855"/>
      <c r="S355" s="1855"/>
      <c r="T355" s="1855"/>
      <c r="U355" s="1855"/>
      <c r="V355" s="1855"/>
      <c r="W355" s="1855"/>
      <c r="X355" s="1855"/>
      <c r="Y355" s="1855"/>
      <c r="Z355" s="1855"/>
      <c r="AA355" s="1855"/>
      <c r="AB355" s="1855"/>
      <c r="AC355" s="1855"/>
      <c r="AD355" s="1855"/>
      <c r="AE355" s="1855"/>
      <c r="AF355" s="1855"/>
      <c r="AG355" s="1855"/>
      <c r="AH355" s="1855"/>
      <c r="AI355" s="1855"/>
      <c r="AJ355" s="1855"/>
      <c r="AK355" s="27"/>
      <c r="AL355" s="27"/>
      <c r="AM355" s="27"/>
      <c r="AN355" s="281"/>
      <c r="AO355" s="688"/>
      <c r="AP355" s="71"/>
      <c r="AS355" s="1874">
        <f>IF(AQ368=0,AQ381,AQ368)</f>
        <v>10</v>
      </c>
      <c r="AT355" s="1874"/>
    </row>
    <row r="356" spans="1:46" s="4" customFormat="1" ht="12.75" customHeight="1">
      <c r="A356" s="27"/>
      <c r="B356" s="26"/>
      <c r="C356" s="1855"/>
      <c r="D356" s="1855"/>
      <c r="E356" s="1855"/>
      <c r="F356" s="1855"/>
      <c r="G356" s="1855"/>
      <c r="H356" s="1855"/>
      <c r="I356" s="1855"/>
      <c r="J356" s="1855"/>
      <c r="K356" s="1855"/>
      <c r="L356" s="1855"/>
      <c r="M356" s="1855"/>
      <c r="N356" s="1855"/>
      <c r="O356" s="1855"/>
      <c r="P356" s="1855"/>
      <c r="Q356" s="1855"/>
      <c r="R356" s="1855"/>
      <c r="S356" s="1855"/>
      <c r="T356" s="1855"/>
      <c r="U356" s="1855"/>
      <c r="V356" s="1855"/>
      <c r="W356" s="1855"/>
      <c r="X356" s="1855"/>
      <c r="Y356" s="1855"/>
      <c r="Z356" s="1855"/>
      <c r="AA356" s="1855"/>
      <c r="AB356" s="1855"/>
      <c r="AC356" s="1855"/>
      <c r="AD356" s="1855"/>
      <c r="AE356" s="1855"/>
      <c r="AF356" s="1855"/>
      <c r="AG356" s="1855"/>
      <c r="AH356" s="1855"/>
      <c r="AI356" s="1855"/>
      <c r="AJ356" s="1855"/>
      <c r="AK356" s="27"/>
      <c r="AL356" s="27"/>
      <c r="AM356" s="27"/>
      <c r="AN356" s="281"/>
      <c r="AO356" s="688" t="s">
        <v>901</v>
      </c>
      <c r="AP356" s="71">
        <f>IF(C389="Yes",5,0)</f>
        <v>0</v>
      </c>
      <c r="AS356" s="3" t="s">
        <v>1811</v>
      </c>
    </row>
    <row r="357" spans="1:46" s="4" customFormat="1" ht="12.75" customHeight="1">
      <c r="A357" s="27"/>
      <c r="B357" s="26"/>
      <c r="C357" s="1855"/>
      <c r="D357" s="1855"/>
      <c r="E357" s="1855"/>
      <c r="F357" s="1855"/>
      <c r="G357" s="1855"/>
      <c r="H357" s="1855"/>
      <c r="I357" s="1855"/>
      <c r="J357" s="1855"/>
      <c r="K357" s="1855"/>
      <c r="L357" s="1855"/>
      <c r="M357" s="1855"/>
      <c r="N357" s="1855"/>
      <c r="O357" s="1855"/>
      <c r="P357" s="1855"/>
      <c r="Q357" s="1855"/>
      <c r="R357" s="1855"/>
      <c r="S357" s="1855"/>
      <c r="T357" s="1855"/>
      <c r="U357" s="1855"/>
      <c r="V357" s="1855"/>
      <c r="W357" s="1855"/>
      <c r="X357" s="1855"/>
      <c r="Y357" s="1855"/>
      <c r="Z357" s="1855"/>
      <c r="AA357" s="1855"/>
      <c r="AB357" s="1855"/>
      <c r="AC357" s="1855"/>
      <c r="AD357" s="1855"/>
      <c r="AE357" s="1855"/>
      <c r="AF357" s="1855"/>
      <c r="AG357" s="1855"/>
      <c r="AH357" s="1855"/>
      <c r="AI357" s="1855"/>
      <c r="AJ357" s="1855"/>
      <c r="AK357" s="27"/>
      <c r="AL357" s="27"/>
      <c r="AM357" s="27"/>
      <c r="AN357" s="281"/>
      <c r="AO357" s="688"/>
      <c r="AP357" s="71"/>
      <c r="AS357" s="1874">
        <f>IF(AND(AQ368&gt;0,AQ381&gt;0),(AQ368+AQ381)/2,0)</f>
        <v>0</v>
      </c>
      <c r="AT357" s="1874"/>
    </row>
    <row r="358" spans="1:46" s="4" customFormat="1" ht="12.75" customHeight="1">
      <c r="A358" s="27"/>
      <c r="B358" s="26"/>
      <c r="C358" s="1855"/>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27"/>
      <c r="AL358" s="27"/>
      <c r="AM358" s="27"/>
      <c r="AN358" s="281"/>
      <c r="AO358" s="688" t="s">
        <v>907</v>
      </c>
      <c r="AP358" s="71">
        <f>IF(C399="Yes",7,0)</f>
        <v>7</v>
      </c>
    </row>
    <row r="359" spans="1:46" s="4" customFormat="1" ht="12.75" customHeight="1">
      <c r="A359" s="27"/>
      <c r="B359" s="26"/>
      <c r="C359" s="1855" t="s">
        <v>1843</v>
      </c>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27"/>
      <c r="AL359" s="27"/>
      <c r="AM359" s="27"/>
      <c r="AN359" s="281"/>
      <c r="AO359" s="281"/>
      <c r="AP359" s="71">
        <f>IF(C401="Yes",5,0)</f>
        <v>0</v>
      </c>
    </row>
    <row r="360" spans="1:46" s="4" customFormat="1" ht="12.75" customHeight="1">
      <c r="A360" s="27"/>
      <c r="B360" s="26"/>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27"/>
      <c r="AL360" s="27"/>
      <c r="AM360" s="27"/>
      <c r="AN360" s="281"/>
      <c r="AO360" s="281"/>
      <c r="AP360" s="71"/>
    </row>
    <row r="361" spans="1:46" s="4" customFormat="1" ht="12.75" customHeight="1">
      <c r="A361" s="27"/>
      <c r="B361" s="26"/>
      <c r="C361" s="1855"/>
      <c r="D361" s="1855"/>
      <c r="E361" s="1855"/>
      <c r="F361" s="1855"/>
      <c r="G361" s="1855"/>
      <c r="H361" s="1855"/>
      <c r="I361" s="1855"/>
      <c r="J361" s="1855"/>
      <c r="K361" s="1855"/>
      <c r="L361" s="1855"/>
      <c r="M361" s="1855"/>
      <c r="N361" s="1855"/>
      <c r="O361" s="1855"/>
      <c r="P361" s="1855"/>
      <c r="Q361" s="1855"/>
      <c r="R361" s="1855"/>
      <c r="S361" s="1855"/>
      <c r="T361" s="1855"/>
      <c r="U361" s="1855"/>
      <c r="V361" s="1855"/>
      <c r="W361" s="1855"/>
      <c r="X361" s="1855"/>
      <c r="Y361" s="1855"/>
      <c r="Z361" s="1855"/>
      <c r="AA361" s="1855"/>
      <c r="AB361" s="1855"/>
      <c r="AC361" s="1855"/>
      <c r="AD361" s="1855"/>
      <c r="AE361" s="1855"/>
      <c r="AF361" s="1855"/>
      <c r="AG361" s="1855"/>
      <c r="AH361" s="1855"/>
      <c r="AI361" s="1855"/>
      <c r="AJ361" s="1855"/>
      <c r="AK361" s="27"/>
      <c r="AL361" s="27"/>
      <c r="AM361" s="27"/>
      <c r="AN361" s="281"/>
      <c r="AO361" s="688" t="s">
        <v>431</v>
      </c>
      <c r="AP361" s="71">
        <f>IF(C409="Yes",5,0)</f>
        <v>0</v>
      </c>
    </row>
    <row r="362" spans="1:46" s="4" customFormat="1" ht="11.85" customHeight="1">
      <c r="A362" s="27"/>
      <c r="B362" s="26"/>
      <c r="C362" s="1855"/>
      <c r="D362" s="1855"/>
      <c r="E362" s="1855"/>
      <c r="F362" s="1855"/>
      <c r="G362" s="1855"/>
      <c r="H362" s="1855"/>
      <c r="I362" s="1855"/>
      <c r="J362" s="1855"/>
      <c r="K362" s="1855"/>
      <c r="L362" s="1855"/>
      <c r="M362" s="1855"/>
      <c r="N362" s="1855"/>
      <c r="O362" s="1855"/>
      <c r="P362" s="1855"/>
      <c r="Q362" s="1855"/>
      <c r="R362" s="1855"/>
      <c r="S362" s="1855"/>
      <c r="T362" s="1855"/>
      <c r="U362" s="1855"/>
      <c r="V362" s="1855"/>
      <c r="W362" s="1855"/>
      <c r="X362" s="1855"/>
      <c r="Y362" s="1855"/>
      <c r="Z362" s="1855"/>
      <c r="AA362" s="1855"/>
      <c r="AB362" s="1855"/>
      <c r="AC362" s="1855"/>
      <c r="AD362" s="1855"/>
      <c r="AE362" s="1855"/>
      <c r="AF362" s="1855"/>
      <c r="AG362" s="1855"/>
      <c r="AH362" s="1855"/>
      <c r="AI362" s="1855"/>
      <c r="AJ362" s="1855"/>
      <c r="AK362" s="27"/>
      <c r="AL362" s="27"/>
      <c r="AM362" s="27"/>
      <c r="AN362" s="281"/>
      <c r="AO362" s="281"/>
      <c r="AP362" s="71">
        <f>IF(C411="Yes",3,0)</f>
        <v>3</v>
      </c>
    </row>
    <row r="363" spans="1:46" s="4" customFormat="1" ht="12.4" customHeight="1">
      <c r="A363" s="27"/>
      <c r="B363" s="26"/>
      <c r="C363" s="1855"/>
      <c r="D363" s="1855"/>
      <c r="E363" s="1855"/>
      <c r="F363" s="1855"/>
      <c r="G363" s="1855"/>
      <c r="H363" s="1855"/>
      <c r="I363" s="1855"/>
      <c r="J363" s="1855"/>
      <c r="K363" s="1855"/>
      <c r="L363" s="1855"/>
      <c r="M363" s="1855"/>
      <c r="N363" s="1855"/>
      <c r="O363" s="1855"/>
      <c r="P363" s="1855"/>
      <c r="Q363" s="1855"/>
      <c r="R363" s="1855"/>
      <c r="S363" s="1855"/>
      <c r="T363" s="1855"/>
      <c r="U363" s="1855"/>
      <c r="V363" s="1855"/>
      <c r="W363" s="1855"/>
      <c r="X363" s="1855"/>
      <c r="Y363" s="1855"/>
      <c r="Z363" s="1855"/>
      <c r="AA363" s="1855"/>
      <c r="AB363" s="1855"/>
      <c r="AC363" s="1855"/>
      <c r="AD363" s="1855"/>
      <c r="AE363" s="1855"/>
      <c r="AF363" s="1855"/>
      <c r="AG363" s="1855"/>
      <c r="AH363" s="1855"/>
      <c r="AI363" s="1855"/>
      <c r="AJ363" s="1855"/>
      <c r="AK363" s="27"/>
      <c r="AL363" s="27"/>
      <c r="AM363" s="27"/>
      <c r="AN363" s="281"/>
      <c r="AO363" s="281"/>
      <c r="AP363" s="71"/>
    </row>
    <row r="364" spans="1:46" s="4" customFormat="1" ht="12.75" customHeight="1">
      <c r="A364" s="27"/>
      <c r="B364" s="26"/>
      <c r="C364" s="1855"/>
      <c r="D364" s="1855"/>
      <c r="E364" s="1855"/>
      <c r="F364" s="1855"/>
      <c r="G364" s="1855"/>
      <c r="H364" s="1855"/>
      <c r="I364" s="1855"/>
      <c r="J364" s="1855"/>
      <c r="K364" s="1855"/>
      <c r="L364" s="1855"/>
      <c r="M364" s="1855"/>
      <c r="N364" s="1855"/>
      <c r="O364" s="1855"/>
      <c r="P364" s="1855"/>
      <c r="Q364" s="1855"/>
      <c r="R364" s="1855"/>
      <c r="S364" s="1855"/>
      <c r="T364" s="1855"/>
      <c r="U364" s="1855"/>
      <c r="V364" s="1855"/>
      <c r="W364" s="1855"/>
      <c r="X364" s="1855"/>
      <c r="Y364" s="1855"/>
      <c r="Z364" s="1855"/>
      <c r="AA364" s="1855"/>
      <c r="AB364" s="1855"/>
      <c r="AC364" s="1855"/>
      <c r="AD364" s="1855"/>
      <c r="AE364" s="1855"/>
      <c r="AF364" s="1855"/>
      <c r="AG364" s="1855"/>
      <c r="AH364" s="1855"/>
      <c r="AI364" s="1855"/>
      <c r="AJ364" s="1855"/>
      <c r="AK364" s="27"/>
      <c r="AL364" s="27"/>
      <c r="AM364" s="27"/>
      <c r="AN364" s="281"/>
      <c r="AO364" s="688" t="s">
        <v>171</v>
      </c>
      <c r="AP364" s="71">
        <f>IF(C414="Yes",5,0)</f>
        <v>0</v>
      </c>
    </row>
    <row r="365" spans="1:46" s="4" customFormat="1" ht="12.75" customHeight="1">
      <c r="A365" s="27"/>
      <c r="B365" s="26"/>
      <c r="C365" s="1855"/>
      <c r="D365" s="1855"/>
      <c r="E365" s="1855"/>
      <c r="F365" s="1855"/>
      <c r="G365" s="1855"/>
      <c r="H365" s="1855"/>
      <c r="I365" s="1855"/>
      <c r="J365" s="1855"/>
      <c r="K365" s="1855"/>
      <c r="L365" s="1855"/>
      <c r="M365" s="1855"/>
      <c r="N365" s="1855"/>
      <c r="O365" s="1855"/>
      <c r="P365" s="1855"/>
      <c r="Q365" s="1855"/>
      <c r="R365" s="1855"/>
      <c r="S365" s="1855"/>
      <c r="T365" s="1855"/>
      <c r="U365" s="1855"/>
      <c r="V365" s="1855"/>
      <c r="W365" s="1855"/>
      <c r="X365" s="1855"/>
      <c r="Y365" s="1855"/>
      <c r="Z365" s="1855"/>
      <c r="AA365" s="1855"/>
      <c r="AB365" s="1855"/>
      <c r="AC365" s="1855"/>
      <c r="AD365" s="1855"/>
      <c r="AE365" s="1855"/>
      <c r="AF365" s="1855"/>
      <c r="AG365" s="1855"/>
      <c r="AH365" s="1855"/>
      <c r="AI365" s="1855"/>
      <c r="AJ365" s="1855"/>
      <c r="AK365" s="27"/>
      <c r="AL365" s="27"/>
      <c r="AM365" s="27"/>
      <c r="AN365" s="281"/>
      <c r="AO365" s="688" t="s">
        <v>434</v>
      </c>
      <c r="AP365" s="71">
        <f>IF(C423="Yes",5,0)</f>
        <v>0</v>
      </c>
    </row>
    <row r="366" spans="1:46" s="4" customFormat="1" ht="12.75" customHeight="1">
      <c r="A366" s="27"/>
      <c r="B366" s="26"/>
      <c r="C366" s="1855" t="s">
        <v>1844</v>
      </c>
      <c r="D366" s="1855"/>
      <c r="E366" s="1855"/>
      <c r="F366" s="1855"/>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1855"/>
      <c r="AH366" s="1855"/>
      <c r="AI366" s="1855"/>
      <c r="AJ366" s="1855"/>
      <c r="AK366" s="27"/>
      <c r="AL366" s="27"/>
      <c r="AM366" s="27"/>
      <c r="AN366" s="281"/>
      <c r="AO366" s="281"/>
      <c r="AP366" s="71">
        <f>IF(C425="Yes",3,0)</f>
        <v>0</v>
      </c>
    </row>
    <row r="367" spans="1:46" s="4" customFormat="1" ht="12.75" customHeight="1">
      <c r="A367" s="27"/>
      <c r="B367" s="26"/>
      <c r="C367" s="1855"/>
      <c r="D367" s="1855"/>
      <c r="E367" s="1855"/>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27"/>
      <c r="AL367" s="27"/>
      <c r="AM367" s="27"/>
      <c r="AN367" s="281"/>
      <c r="AO367" s="689"/>
      <c r="AP367" s="55"/>
    </row>
    <row r="368" spans="1:46" s="4" customFormat="1" ht="68.099999999999994" customHeight="1">
      <c r="A368" s="27"/>
      <c r="B368" s="26"/>
      <c r="C368" s="1855"/>
      <c r="D368" s="185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27"/>
      <c r="AL368" s="27"/>
      <c r="AM368" s="27"/>
      <c r="AN368" s="281"/>
      <c r="AO368" s="690" t="s">
        <v>610</v>
      </c>
      <c r="AP368" s="168">
        <f>SUM(AP354:AP367)</f>
        <v>10</v>
      </c>
      <c r="AQ368" s="1226">
        <f>IF(AP368&gt;0,AP368,0)</f>
        <v>10</v>
      </c>
      <c r="AR368" s="1226"/>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687">
        <f>Application!CQ649-U371</f>
        <v>64</v>
      </c>
      <c r="V370" s="1687"/>
      <c r="W370" s="168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688">
        <f>Application!AG733</f>
        <v>0</v>
      </c>
      <c r="V371" s="1688"/>
      <c r="W371" s="168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5" t="s">
        <v>1787</v>
      </c>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68"/>
      <c r="G376" s="1668"/>
      <c r="H376" s="1668"/>
      <c r="I376" s="1668"/>
      <c r="J376" s="1668"/>
      <c r="K376" s="1668"/>
      <c r="L376" s="1668"/>
      <c r="M376" s="1668"/>
      <c r="N376" s="1668"/>
      <c r="O376" s="1668"/>
      <c r="P376" s="1668"/>
      <c r="Q376" s="1668"/>
      <c r="R376" s="1668"/>
      <c r="S376" s="1668"/>
      <c r="T376" s="1668"/>
      <c r="U376" s="1668"/>
      <c r="V376" s="1668"/>
      <c r="W376" s="1668"/>
      <c r="X376" s="1668"/>
      <c r="Y376" s="1668"/>
      <c r="Z376" s="1668"/>
      <c r="AA376" s="1668"/>
      <c r="AB376" s="1668"/>
      <c r="AC376" s="1668"/>
      <c r="AD376" s="1668"/>
      <c r="AE376" s="1668"/>
      <c r="AF376" s="166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68"/>
      <c r="G377" s="1668"/>
      <c r="H377" s="1668"/>
      <c r="I377" s="1668"/>
      <c r="J377" s="1668"/>
      <c r="K377" s="1668"/>
      <c r="L377" s="1668"/>
      <c r="M377" s="1668"/>
      <c r="N377" s="1668"/>
      <c r="O377" s="1668"/>
      <c r="P377" s="1668"/>
      <c r="Q377" s="1668"/>
      <c r="R377" s="1668"/>
      <c r="S377" s="1668"/>
      <c r="T377" s="1668"/>
      <c r="U377" s="1668"/>
      <c r="V377" s="1668"/>
      <c r="W377" s="1668"/>
      <c r="X377" s="1668"/>
      <c r="Y377" s="1668"/>
      <c r="Z377" s="1668"/>
      <c r="AA377" s="1668"/>
      <c r="AB377" s="1668"/>
      <c r="AC377" s="1668"/>
      <c r="AD377" s="1668"/>
      <c r="AE377" s="1668"/>
      <c r="AF377" s="166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68"/>
      <c r="G378" s="1668"/>
      <c r="H378" s="1668"/>
      <c r="I378" s="1668"/>
      <c r="J378" s="1668"/>
      <c r="K378" s="1668"/>
      <c r="L378" s="1668"/>
      <c r="M378" s="1668"/>
      <c r="N378" s="1668"/>
      <c r="O378" s="1668"/>
      <c r="P378" s="1668"/>
      <c r="Q378" s="1668"/>
      <c r="R378" s="1668"/>
      <c r="S378" s="1668"/>
      <c r="T378" s="1668"/>
      <c r="U378" s="1668"/>
      <c r="V378" s="1668"/>
      <c r="W378" s="1668"/>
      <c r="X378" s="1668"/>
      <c r="Y378" s="1668"/>
      <c r="Z378" s="1668"/>
      <c r="AA378" s="1668"/>
      <c r="AB378" s="1668"/>
      <c r="AC378" s="1668"/>
      <c r="AD378" s="1668"/>
      <c r="AE378" s="1668"/>
      <c r="AF378" s="166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9" t="s">
        <v>124</v>
      </c>
      <c r="D379" s="1116"/>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319</v>
      </c>
      <c r="AG379" s="1542"/>
      <c r="AH379" s="1542"/>
      <c r="AI379" s="1542"/>
      <c r="AJ379" s="1542"/>
      <c r="AK379" s="1542"/>
      <c r="AL379" s="168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5" t="s">
        <v>1786</v>
      </c>
      <c r="G384" s="1685"/>
      <c r="H384" s="1685"/>
      <c r="I384" s="1685"/>
      <c r="J384" s="1685"/>
      <c r="K384" s="1685"/>
      <c r="L384" s="1685"/>
      <c r="M384" s="1685"/>
      <c r="N384" s="1685"/>
      <c r="O384" s="1685"/>
      <c r="P384" s="1685"/>
      <c r="Q384" s="1685"/>
      <c r="R384" s="1685"/>
      <c r="S384" s="1685"/>
      <c r="T384" s="1685"/>
      <c r="U384" s="1685"/>
      <c r="V384" s="1685"/>
      <c r="W384" s="1685"/>
      <c r="X384" s="1685"/>
      <c r="Y384" s="1685"/>
      <c r="Z384" s="1685"/>
      <c r="AA384" s="1685"/>
      <c r="AB384" s="1685"/>
      <c r="AC384" s="1685"/>
      <c r="AD384" s="1685"/>
      <c r="AE384" s="1685"/>
      <c r="AF384" s="168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68"/>
      <c r="G385" s="1668"/>
      <c r="H385" s="1668"/>
      <c r="I385" s="1668"/>
      <c r="J385" s="1668"/>
      <c r="K385" s="1668"/>
      <c r="L385" s="1668"/>
      <c r="M385" s="1668"/>
      <c r="N385" s="1668"/>
      <c r="O385" s="1668"/>
      <c r="P385" s="1668"/>
      <c r="Q385" s="1668"/>
      <c r="R385" s="1668"/>
      <c r="S385" s="1668"/>
      <c r="T385" s="1668"/>
      <c r="U385" s="1668"/>
      <c r="V385" s="1668"/>
      <c r="W385" s="1668"/>
      <c r="X385" s="1668"/>
      <c r="Y385" s="1668"/>
      <c r="Z385" s="1668"/>
      <c r="AA385" s="1668"/>
      <c r="AB385" s="1668"/>
      <c r="AC385" s="1668"/>
      <c r="AD385" s="1668"/>
      <c r="AE385" s="1668"/>
      <c r="AF385" s="166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68"/>
      <c r="G386" s="1668"/>
      <c r="H386" s="1668"/>
      <c r="I386" s="1668"/>
      <c r="J386" s="1668"/>
      <c r="K386" s="1668"/>
      <c r="L386" s="1668"/>
      <c r="M386" s="1668"/>
      <c r="N386" s="1668"/>
      <c r="O386" s="1668"/>
      <c r="P386" s="1668"/>
      <c r="Q386" s="1668"/>
      <c r="R386" s="1668"/>
      <c r="S386" s="1668"/>
      <c r="T386" s="1668"/>
      <c r="U386" s="1668"/>
      <c r="V386" s="1668"/>
      <c r="W386" s="1668"/>
      <c r="X386" s="1668"/>
      <c r="Y386" s="1668"/>
      <c r="Z386" s="1668"/>
      <c r="AA386" s="1668"/>
      <c r="AB386" s="1668"/>
      <c r="AC386" s="1668"/>
      <c r="AD386" s="1668"/>
      <c r="AE386" s="1668"/>
      <c r="AF386" s="166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68"/>
      <c r="G387" s="1668"/>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68"/>
      <c r="G388" s="1668"/>
      <c r="H388" s="1668"/>
      <c r="I388" s="1668"/>
      <c r="J388" s="1668"/>
      <c r="K388" s="1668"/>
      <c r="L388" s="1668"/>
      <c r="M388" s="1668"/>
      <c r="N388" s="1668"/>
      <c r="O388" s="1668"/>
      <c r="P388" s="1668"/>
      <c r="Q388" s="1668"/>
      <c r="R388" s="1668"/>
      <c r="S388" s="1668"/>
      <c r="T388" s="1668"/>
      <c r="U388" s="1668"/>
      <c r="V388" s="1668"/>
      <c r="W388" s="1668"/>
      <c r="X388" s="1668"/>
      <c r="Y388" s="1668"/>
      <c r="Z388" s="1668"/>
      <c r="AA388" s="1668"/>
      <c r="AB388" s="1668"/>
      <c r="AC388" s="1668"/>
      <c r="AD388" s="1668"/>
      <c r="AE388" s="1668"/>
      <c r="AF388" s="166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9" t="s">
        <v>124</v>
      </c>
      <c r="D389" s="1116"/>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319</v>
      </c>
      <c r="AG389" s="1542"/>
      <c r="AH389" s="1542"/>
      <c r="AI389" s="1542"/>
      <c r="AJ389" s="1542"/>
      <c r="AK389" s="1542"/>
      <c r="AL389" s="168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1951</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92"/>
      <c r="G395" s="1792"/>
      <c r="H395" s="1792"/>
      <c r="I395" s="1792"/>
      <c r="J395" s="1792"/>
      <c r="K395" s="1792"/>
      <c r="L395" s="1792"/>
      <c r="M395" s="1792"/>
      <c r="N395" s="1792"/>
      <c r="O395" s="1792"/>
      <c r="P395" s="1792"/>
      <c r="Q395" s="1792"/>
      <c r="R395" s="1792"/>
      <c r="S395" s="1792"/>
      <c r="T395" s="1792"/>
      <c r="U395" s="1792"/>
      <c r="V395" s="1792"/>
      <c r="W395" s="1792"/>
      <c r="X395" s="1792"/>
      <c r="Y395" s="1792"/>
      <c r="Z395" s="1792"/>
      <c r="AA395" s="1792"/>
      <c r="AB395" s="1792"/>
      <c r="AC395" s="1792"/>
      <c r="AD395" s="1792"/>
      <c r="AE395" s="1792"/>
      <c r="AF395" s="179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92"/>
      <c r="G396" s="1792"/>
      <c r="H396" s="1792"/>
      <c r="I396" s="1792"/>
      <c r="J396" s="1792"/>
      <c r="K396" s="1792"/>
      <c r="L396" s="1792"/>
      <c r="M396" s="1792"/>
      <c r="N396" s="1792"/>
      <c r="O396" s="1792"/>
      <c r="P396" s="1792"/>
      <c r="Q396" s="1792"/>
      <c r="R396" s="1792"/>
      <c r="S396" s="1792"/>
      <c r="T396" s="1792"/>
      <c r="U396" s="1792"/>
      <c r="V396" s="1792"/>
      <c r="W396" s="1792"/>
      <c r="X396" s="1792"/>
      <c r="Y396" s="1792"/>
      <c r="Z396" s="1792"/>
      <c r="AA396" s="1792"/>
      <c r="AB396" s="1792"/>
      <c r="AC396" s="1792"/>
      <c r="AD396" s="1792"/>
      <c r="AE396" s="1792"/>
      <c r="AF396" s="179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92"/>
      <c r="G397" s="1792"/>
      <c r="H397" s="1792"/>
      <c r="I397" s="1792"/>
      <c r="J397" s="1792"/>
      <c r="K397" s="1792"/>
      <c r="L397" s="1792"/>
      <c r="M397" s="1792"/>
      <c r="N397" s="1792"/>
      <c r="O397" s="1792"/>
      <c r="P397" s="1792"/>
      <c r="Q397" s="1792"/>
      <c r="R397" s="1792"/>
      <c r="S397" s="1792"/>
      <c r="T397" s="1792"/>
      <c r="U397" s="1792"/>
      <c r="V397" s="1792"/>
      <c r="W397" s="1792"/>
      <c r="X397" s="1792"/>
      <c r="Y397" s="1792"/>
      <c r="Z397" s="1792"/>
      <c r="AA397" s="1792"/>
      <c r="AB397" s="1792"/>
      <c r="AC397" s="1792"/>
      <c r="AD397" s="1792"/>
      <c r="AE397" s="1792"/>
      <c r="AF397" s="179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92"/>
      <c r="G398" s="1792"/>
      <c r="H398" s="1792"/>
      <c r="I398" s="1792"/>
      <c r="J398" s="1792"/>
      <c r="K398" s="1792"/>
      <c r="L398" s="1792"/>
      <c r="M398" s="1792"/>
      <c r="N398" s="1792"/>
      <c r="O398" s="1792"/>
      <c r="P398" s="1792"/>
      <c r="Q398" s="1792"/>
      <c r="R398" s="1792"/>
      <c r="S398" s="1792"/>
      <c r="T398" s="1792"/>
      <c r="U398" s="1792"/>
      <c r="V398" s="1792"/>
      <c r="W398" s="1792"/>
      <c r="X398" s="1792"/>
      <c r="Y398" s="1792"/>
      <c r="Z398" s="1792"/>
      <c r="AA398" s="1792"/>
      <c r="AB398" s="1792"/>
      <c r="AC398" s="1792"/>
      <c r="AD398" s="1792"/>
      <c r="AE398" s="1792"/>
      <c r="AF398" s="179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9" t="s">
        <v>108</v>
      </c>
      <c r="D399" s="1116"/>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963</v>
      </c>
      <c r="AG399" s="1542"/>
      <c r="AH399" s="1542"/>
      <c r="AI399" s="1542"/>
      <c r="AJ399" s="1542"/>
      <c r="AK399" s="1542"/>
      <c r="AL399" s="168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9" t="s">
        <v>124</v>
      </c>
      <c r="D401" s="1116"/>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319</v>
      </c>
      <c r="AG401" s="1542"/>
      <c r="AH401" s="1542"/>
      <c r="AI401" s="1542"/>
      <c r="AJ401" s="1542"/>
      <c r="AK401" s="1542"/>
      <c r="AL401" s="168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5" t="s">
        <v>1785</v>
      </c>
      <c r="G405" s="1685"/>
      <c r="H405" s="1685"/>
      <c r="I405" s="1685"/>
      <c r="J405" s="1685"/>
      <c r="K405" s="1685"/>
      <c r="L405" s="1685"/>
      <c r="M405" s="1685"/>
      <c r="N405" s="1685"/>
      <c r="O405" s="1685"/>
      <c r="P405" s="1685"/>
      <c r="Q405" s="1685"/>
      <c r="R405" s="1685"/>
      <c r="S405" s="1685"/>
      <c r="T405" s="1685"/>
      <c r="U405" s="1685"/>
      <c r="V405" s="1685"/>
      <c r="W405" s="1685"/>
      <c r="X405" s="1685"/>
      <c r="Y405" s="1685"/>
      <c r="Z405" s="1685"/>
      <c r="AA405" s="1685"/>
      <c r="AB405" s="1685"/>
      <c r="AC405" s="1685"/>
      <c r="AD405" s="1685"/>
      <c r="AE405" s="1685"/>
      <c r="AF405" s="168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68"/>
      <c r="G406" s="1668"/>
      <c r="H406" s="1668"/>
      <c r="I406" s="1668"/>
      <c r="J406" s="1668"/>
      <c r="K406" s="1668"/>
      <c r="L406" s="1668"/>
      <c r="M406" s="1668"/>
      <c r="N406" s="1668"/>
      <c r="O406" s="1668"/>
      <c r="P406" s="1668"/>
      <c r="Q406" s="1668"/>
      <c r="R406" s="1668"/>
      <c r="S406" s="1668"/>
      <c r="T406" s="1668"/>
      <c r="U406" s="1668"/>
      <c r="V406" s="1668"/>
      <c r="W406" s="1668"/>
      <c r="X406" s="1668"/>
      <c r="Y406" s="1668"/>
      <c r="Z406" s="1668"/>
      <c r="AA406" s="1668"/>
      <c r="AB406" s="1668"/>
      <c r="AC406" s="1668"/>
      <c r="AD406" s="1668"/>
      <c r="AE406" s="1668"/>
      <c r="AF406" s="166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68"/>
      <c r="G407" s="1668"/>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68"/>
      <c r="G408" s="1668"/>
      <c r="H408" s="1668"/>
      <c r="I408" s="1668"/>
      <c r="J408" s="1668"/>
      <c r="K408" s="1668"/>
      <c r="L408" s="1668"/>
      <c r="M408" s="1668"/>
      <c r="N408" s="1668"/>
      <c r="O408" s="1668"/>
      <c r="P408" s="1668"/>
      <c r="Q408" s="1668"/>
      <c r="R408" s="1668"/>
      <c r="S408" s="1668"/>
      <c r="T408" s="1668"/>
      <c r="U408" s="1668"/>
      <c r="V408" s="1668"/>
      <c r="W408" s="1668"/>
      <c r="X408" s="1668"/>
      <c r="Y408" s="1668"/>
      <c r="Z408" s="1668"/>
      <c r="AA408" s="1668"/>
      <c r="AB408" s="1668"/>
      <c r="AC408" s="1668"/>
      <c r="AD408" s="1668"/>
      <c r="AE408" s="1668"/>
      <c r="AF408" s="166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9" t="s">
        <v>124</v>
      </c>
      <c r="D409" s="1116"/>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319</v>
      </c>
      <c r="AG409" s="1542"/>
      <c r="AH409" s="1542"/>
      <c r="AI409" s="1542"/>
      <c r="AJ409" s="1542"/>
      <c r="AK409" s="1542"/>
      <c r="AL409" s="168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9" t="s">
        <v>108</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962</v>
      </c>
      <c r="AG411" s="1542"/>
      <c r="AH411" s="1542"/>
      <c r="AI411" s="1542"/>
      <c r="AJ411" s="1542"/>
      <c r="AK411" s="1542"/>
      <c r="AL411" s="168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9" t="s">
        <v>124</v>
      </c>
      <c r="D414" s="1116"/>
      <c r="E414" s="698" t="s">
        <v>193</v>
      </c>
      <c r="F414" s="1685" t="s">
        <v>1789</v>
      </c>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68"/>
      <c r="G415" s="1668"/>
      <c r="H415" s="1668"/>
      <c r="I415" s="1668"/>
      <c r="J415" s="1668"/>
      <c r="K415" s="1668"/>
      <c r="L415" s="1668"/>
      <c r="M415" s="1668"/>
      <c r="N415" s="1668"/>
      <c r="O415" s="1668"/>
      <c r="P415" s="1668"/>
      <c r="Q415" s="1668"/>
      <c r="R415" s="1668"/>
      <c r="S415" s="1668"/>
      <c r="T415" s="1668"/>
      <c r="U415" s="1668"/>
      <c r="V415" s="1668"/>
      <c r="W415" s="1668"/>
      <c r="X415" s="1668"/>
      <c r="Y415" s="1668"/>
      <c r="Z415" s="1668"/>
      <c r="AA415" s="1668"/>
      <c r="AB415" s="1668"/>
      <c r="AC415" s="1668"/>
      <c r="AD415" s="1668"/>
      <c r="AE415" s="1668"/>
      <c r="AF415" s="1692" t="s">
        <v>319</v>
      </c>
      <c r="AG415" s="1692"/>
      <c r="AH415" s="1692"/>
      <c r="AI415" s="1692"/>
      <c r="AJ415" s="1692"/>
      <c r="AK415" s="1692"/>
      <c r="AL415" s="169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68"/>
      <c r="G416" s="1668"/>
      <c r="H416" s="1668"/>
      <c r="I416" s="1668"/>
      <c r="J416" s="1668"/>
      <c r="K416" s="1668"/>
      <c r="L416" s="1668"/>
      <c r="M416" s="1668"/>
      <c r="N416" s="1668"/>
      <c r="O416" s="1668"/>
      <c r="P416" s="1668"/>
      <c r="Q416" s="1668"/>
      <c r="R416" s="1668"/>
      <c r="S416" s="1668"/>
      <c r="T416" s="1668"/>
      <c r="U416" s="1668"/>
      <c r="V416" s="1668"/>
      <c r="W416" s="1668"/>
      <c r="X416" s="1668"/>
      <c r="Y416" s="1668"/>
      <c r="Z416" s="1668"/>
      <c r="AA416" s="1668"/>
      <c r="AB416" s="1668"/>
      <c r="AC416" s="1668"/>
      <c r="AD416" s="1668"/>
      <c r="AE416" s="166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86"/>
      <c r="G417" s="1686"/>
      <c r="H417" s="1686"/>
      <c r="I417" s="1686"/>
      <c r="J417" s="1686"/>
      <c r="K417" s="1686"/>
      <c r="L417" s="1686"/>
      <c r="M417" s="1686"/>
      <c r="N417" s="1686"/>
      <c r="O417" s="1686"/>
      <c r="P417" s="1686"/>
      <c r="Q417" s="1686"/>
      <c r="R417" s="1686"/>
      <c r="S417" s="1686"/>
      <c r="T417" s="1686"/>
      <c r="U417" s="1686"/>
      <c r="V417" s="1686"/>
      <c r="W417" s="1686"/>
      <c r="X417" s="1686"/>
      <c r="Y417" s="1686"/>
      <c r="Z417" s="1686"/>
      <c r="AA417" s="1686"/>
      <c r="AB417" s="1686"/>
      <c r="AC417" s="1686"/>
      <c r="AD417" s="1686"/>
      <c r="AE417" s="168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5" t="s">
        <v>1791</v>
      </c>
      <c r="G419" s="1685"/>
      <c r="H419" s="1685"/>
      <c r="I419" s="1685"/>
      <c r="J419" s="1685"/>
      <c r="K419" s="1685"/>
      <c r="L419" s="1685"/>
      <c r="M419" s="1685"/>
      <c r="N419" s="1685"/>
      <c r="O419" s="1685"/>
      <c r="P419" s="1685"/>
      <c r="Q419" s="1685"/>
      <c r="R419" s="1685"/>
      <c r="S419" s="1685"/>
      <c r="T419" s="1685"/>
      <c r="U419" s="1685"/>
      <c r="V419" s="1685"/>
      <c r="W419" s="1685"/>
      <c r="X419" s="1685"/>
      <c r="Y419" s="1685"/>
      <c r="Z419" s="1685"/>
      <c r="AA419" s="1685"/>
      <c r="AB419" s="1685"/>
      <c r="AC419" s="1685"/>
      <c r="AD419" s="1685"/>
      <c r="AE419" s="1685"/>
      <c r="AF419" s="718"/>
      <c r="AG419" s="718"/>
      <c r="AH419" s="718"/>
      <c r="AI419" s="718"/>
      <c r="AJ419" s="718"/>
      <c r="AK419" s="718"/>
      <c r="AL419" s="719"/>
      <c r="AM419"/>
    </row>
    <row r="420" spans="1:55">
      <c r="A420" s="5"/>
      <c r="C420" s="704"/>
      <c r="E420" s="194"/>
      <c r="F420" s="1668"/>
      <c r="G420" s="1668"/>
      <c r="H420" s="1668"/>
      <c r="I420" s="1668"/>
      <c r="J420" s="1668"/>
      <c r="K420" s="1668"/>
      <c r="L420" s="1668"/>
      <c r="M420" s="1668"/>
      <c r="N420" s="1668"/>
      <c r="O420" s="1668"/>
      <c r="P420" s="1668"/>
      <c r="Q420" s="1668"/>
      <c r="R420" s="1668"/>
      <c r="S420" s="1668"/>
      <c r="T420" s="1668"/>
      <c r="U420" s="1668"/>
      <c r="V420" s="1668"/>
      <c r="W420" s="1668"/>
      <c r="X420" s="1668"/>
      <c r="Y420" s="1668"/>
      <c r="Z420" s="1668"/>
      <c r="AA420" s="1668"/>
      <c r="AB420" s="1668"/>
      <c r="AC420" s="1668"/>
      <c r="AD420" s="1668"/>
      <c r="AE420" s="1668"/>
      <c r="AF420" s="3"/>
      <c r="AG420" s="5"/>
      <c r="AH420" s="4"/>
      <c r="AI420" s="4"/>
      <c r="AJ420" s="4"/>
      <c r="AK420" s="4"/>
      <c r="AL420" s="705"/>
      <c r="AM420"/>
    </row>
    <row r="421" spans="1:55" s="4" customFormat="1" ht="12.75" customHeight="1">
      <c r="A421" s="5"/>
      <c r="B421" s="21"/>
      <c r="C421" s="704"/>
      <c r="D421" s="21"/>
      <c r="E421" s="194"/>
      <c r="F421" s="1668"/>
      <c r="G421" s="1668"/>
      <c r="H421" s="1668"/>
      <c r="I421" s="1668"/>
      <c r="J421" s="1668"/>
      <c r="K421" s="1668"/>
      <c r="L421" s="1668"/>
      <c r="M421" s="1668"/>
      <c r="N421" s="1668"/>
      <c r="O421" s="1668"/>
      <c r="P421" s="1668"/>
      <c r="Q421" s="1668"/>
      <c r="R421" s="1668"/>
      <c r="S421" s="1668"/>
      <c r="T421" s="1668"/>
      <c r="U421" s="1668"/>
      <c r="V421" s="1668"/>
      <c r="W421" s="1668"/>
      <c r="X421" s="1668"/>
      <c r="Y421" s="1668"/>
      <c r="Z421" s="1668"/>
      <c r="AA421" s="1668"/>
      <c r="AB421" s="1668"/>
      <c r="AC421" s="1668"/>
      <c r="AD421" s="1668"/>
      <c r="AE421" s="1668"/>
      <c r="AL421" s="705"/>
      <c r="AM421"/>
      <c r="AN421" s="281"/>
    </row>
    <row r="422" spans="1:55" s="4" customFormat="1" ht="12.75" customHeight="1">
      <c r="A422" s="5"/>
      <c r="B422" s="21"/>
      <c r="C422" s="707"/>
      <c r="F422" s="1668"/>
      <c r="G422" s="1668"/>
      <c r="H422" s="1668"/>
      <c r="I422" s="1668"/>
      <c r="J422" s="1668"/>
      <c r="K422" s="1668"/>
      <c r="L422" s="1668"/>
      <c r="M422" s="1668"/>
      <c r="N422" s="1668"/>
      <c r="O422" s="1668"/>
      <c r="P422" s="1668"/>
      <c r="Q422" s="1668"/>
      <c r="R422" s="1668"/>
      <c r="S422" s="1668"/>
      <c r="T422" s="1668"/>
      <c r="U422" s="1668"/>
      <c r="V422" s="1668"/>
      <c r="W422" s="1668"/>
      <c r="X422" s="1668"/>
      <c r="Y422" s="1668"/>
      <c r="Z422" s="1668"/>
      <c r="AA422" s="1668"/>
      <c r="AB422" s="1668"/>
      <c r="AC422" s="1668"/>
      <c r="AD422" s="1668"/>
      <c r="AE422" s="1668"/>
      <c r="AL422" s="705"/>
      <c r="AM422"/>
      <c r="AN422" s="281"/>
    </row>
    <row r="423" spans="1:55" s="4" customFormat="1" ht="12.75" customHeight="1">
      <c r="A423" s="5"/>
      <c r="B423" s="21"/>
      <c r="C423" s="1689" t="s">
        <v>124</v>
      </c>
      <c r="D423" s="1116"/>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319</v>
      </c>
      <c r="AG423" s="1692"/>
      <c r="AH423" s="1692"/>
      <c r="AI423" s="1692"/>
      <c r="AJ423" s="1692"/>
      <c r="AK423" s="1692"/>
      <c r="AL423" s="1693"/>
      <c r="AM423"/>
      <c r="AN423" s="281"/>
    </row>
    <row r="424" spans="1:55" s="4" customFormat="1" ht="12.75" customHeight="1">
      <c r="A424" s="5"/>
      <c r="B424" s="21"/>
      <c r="C424" s="707"/>
      <c r="AL424" s="705"/>
      <c r="AM424"/>
      <c r="AN424" s="281"/>
    </row>
    <row r="425" spans="1:55" s="4" customFormat="1" ht="12.75" customHeight="1">
      <c r="A425" s="5"/>
      <c r="B425" s="21"/>
      <c r="C425" s="1689"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962</v>
      </c>
      <c r="AG425" s="1692"/>
      <c r="AH425" s="1692"/>
      <c r="AI425" s="1692"/>
      <c r="AJ425" s="1692"/>
      <c r="AK425" s="1692"/>
      <c r="AL425" s="169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5" t="s">
        <v>1792</v>
      </c>
      <c r="G429" s="1685"/>
      <c r="H429" s="1685"/>
      <c r="I429" s="1685"/>
      <c r="J429" s="1685"/>
      <c r="K429" s="1685"/>
      <c r="L429" s="1685"/>
      <c r="M429" s="1685"/>
      <c r="N429" s="1685"/>
      <c r="O429" s="1685"/>
      <c r="P429" s="1685"/>
      <c r="Q429" s="1685"/>
      <c r="R429" s="1685"/>
      <c r="S429" s="1685"/>
      <c r="T429" s="1685"/>
      <c r="U429" s="1685"/>
      <c r="V429" s="1685"/>
      <c r="W429" s="1685"/>
      <c r="X429" s="1685"/>
      <c r="Y429" s="1685"/>
      <c r="Z429" s="1685"/>
      <c r="AA429" s="1685"/>
      <c r="AB429" s="1685"/>
      <c r="AC429" s="1685"/>
      <c r="AD429" s="1685"/>
      <c r="AE429" s="1685"/>
      <c r="AF429" s="697"/>
      <c r="AG429" s="697"/>
      <c r="AH429" s="697"/>
      <c r="AI429" s="697"/>
      <c r="AJ429" s="697"/>
      <c r="AK429" s="697"/>
      <c r="AL429" s="721"/>
      <c r="AM429"/>
      <c r="AN429" s="281"/>
    </row>
    <row r="430" spans="1:55" s="4" customFormat="1" ht="12.75" customHeight="1">
      <c r="A430" s="5"/>
      <c r="B430" s="73"/>
      <c r="C430" s="722"/>
      <c r="D430" s="73"/>
      <c r="E430" s="194"/>
      <c r="F430" s="1668"/>
      <c r="G430" s="1668"/>
      <c r="H430" s="1668"/>
      <c r="I430" s="1668"/>
      <c r="J430" s="1668"/>
      <c r="K430" s="1668"/>
      <c r="L430" s="1668"/>
      <c r="M430" s="1668"/>
      <c r="N430" s="1668"/>
      <c r="O430" s="1668"/>
      <c r="P430" s="1668"/>
      <c r="Q430" s="1668"/>
      <c r="R430" s="1668"/>
      <c r="S430" s="1668"/>
      <c r="T430" s="1668"/>
      <c r="U430" s="1668"/>
      <c r="V430" s="1668"/>
      <c r="W430" s="1668"/>
      <c r="X430" s="1668"/>
      <c r="Y430" s="1668"/>
      <c r="Z430" s="1668"/>
      <c r="AA430" s="1668"/>
      <c r="AB430" s="1668"/>
      <c r="AC430" s="1668"/>
      <c r="AD430" s="1668"/>
      <c r="AE430" s="1668"/>
      <c r="AF430" s="3"/>
      <c r="AG430" s="5"/>
      <c r="AL430" s="705"/>
      <c r="AM430"/>
      <c r="AN430" s="281"/>
    </row>
    <row r="431" spans="1:55" s="4" customFormat="1" ht="12.4" customHeight="1">
      <c r="A431" s="5"/>
      <c r="B431" s="73"/>
      <c r="C431" s="722"/>
      <c r="D431" s="73"/>
      <c r="E431" s="194"/>
      <c r="F431" s="1668"/>
      <c r="G431" s="1668"/>
      <c r="H431" s="1668"/>
      <c r="I431" s="1668"/>
      <c r="J431" s="1668"/>
      <c r="K431" s="1668"/>
      <c r="L431" s="1668"/>
      <c r="M431" s="1668"/>
      <c r="N431" s="1668"/>
      <c r="O431" s="1668"/>
      <c r="P431" s="1668"/>
      <c r="Q431" s="1668"/>
      <c r="R431" s="1668"/>
      <c r="S431" s="1668"/>
      <c r="T431" s="1668"/>
      <c r="U431" s="1668"/>
      <c r="V431" s="1668"/>
      <c r="W431" s="1668"/>
      <c r="X431" s="1668"/>
      <c r="Y431" s="1668"/>
      <c r="Z431" s="1668"/>
      <c r="AA431" s="1668"/>
      <c r="AB431" s="1668"/>
      <c r="AC431" s="1668"/>
      <c r="AD431" s="1668"/>
      <c r="AE431" s="1668"/>
      <c r="AL431" s="705"/>
      <c r="AM431"/>
      <c r="AN431" s="281"/>
    </row>
    <row r="432" spans="1:55" s="4" customFormat="1" ht="12.75" customHeight="1">
      <c r="A432" s="5"/>
      <c r="B432" s="73"/>
      <c r="C432" s="1689" t="s">
        <v>124</v>
      </c>
      <c r="D432" s="1116"/>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319</v>
      </c>
      <c r="AG432" s="1692"/>
      <c r="AH432" s="1692"/>
      <c r="AI432" s="1692"/>
      <c r="AJ432" s="1692"/>
      <c r="AK432" s="1692"/>
      <c r="AL432" s="169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85" t="s">
        <v>1793</v>
      </c>
      <c r="G435" s="1685"/>
      <c r="H435" s="1685"/>
      <c r="I435" s="1685"/>
      <c r="J435" s="1685"/>
      <c r="K435" s="1685"/>
      <c r="L435" s="1685"/>
      <c r="M435" s="1685"/>
      <c r="N435" s="1685"/>
      <c r="O435" s="1685"/>
      <c r="P435" s="1685"/>
      <c r="Q435" s="1685"/>
      <c r="R435" s="1685"/>
      <c r="S435" s="1685"/>
      <c r="T435" s="1685"/>
      <c r="U435" s="1685"/>
      <c r="V435" s="1685"/>
      <c r="W435" s="1685"/>
      <c r="X435" s="1685"/>
      <c r="Y435" s="1685"/>
      <c r="Z435" s="1685"/>
      <c r="AA435" s="1685"/>
      <c r="AB435" s="1685"/>
      <c r="AC435" s="1685"/>
      <c r="AD435" s="1685"/>
      <c r="AE435" s="168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68"/>
      <c r="G436" s="1668"/>
      <c r="H436" s="1668"/>
      <c r="I436" s="1668"/>
      <c r="J436" s="1668"/>
      <c r="K436" s="1668"/>
      <c r="L436" s="1668"/>
      <c r="M436" s="1668"/>
      <c r="N436" s="1668"/>
      <c r="O436" s="1668"/>
      <c r="P436" s="1668"/>
      <c r="Q436" s="1668"/>
      <c r="R436" s="1668"/>
      <c r="S436" s="1668"/>
      <c r="T436" s="1668"/>
      <c r="U436" s="1668"/>
      <c r="V436" s="1668"/>
      <c r="W436" s="1668"/>
      <c r="X436" s="1668"/>
      <c r="Y436" s="1668"/>
      <c r="Z436" s="1668"/>
      <c r="AA436" s="1668"/>
      <c r="AB436" s="1668"/>
      <c r="AC436" s="1668"/>
      <c r="AD436" s="1668"/>
      <c r="AE436" s="1668"/>
      <c r="AF436" s="108"/>
      <c r="AG436" s="108"/>
      <c r="AH436" s="108"/>
      <c r="AI436" s="108"/>
      <c r="AJ436" s="108"/>
      <c r="AK436" s="108"/>
      <c r="AL436" s="784"/>
      <c r="AM436"/>
      <c r="AO436" s="4"/>
      <c r="AP436" s="4"/>
    </row>
    <row r="437" spans="1:60" s="4" customFormat="1" ht="12.75" customHeight="1">
      <c r="A437" s="5"/>
      <c r="B437" s="73"/>
      <c r="C437" s="722"/>
      <c r="D437" s="73"/>
      <c r="E437" s="194"/>
      <c r="F437" s="1668"/>
      <c r="G437" s="1668"/>
      <c r="H437" s="1668"/>
      <c r="I437" s="1668"/>
      <c r="J437" s="1668"/>
      <c r="K437" s="1668"/>
      <c r="L437" s="1668"/>
      <c r="M437" s="1668"/>
      <c r="N437" s="1668"/>
      <c r="O437" s="1668"/>
      <c r="P437" s="1668"/>
      <c r="Q437" s="1668"/>
      <c r="R437" s="1668"/>
      <c r="S437" s="1668"/>
      <c r="T437" s="1668"/>
      <c r="U437" s="1668"/>
      <c r="V437" s="1668"/>
      <c r="W437" s="1668"/>
      <c r="X437" s="1668"/>
      <c r="Y437" s="1668"/>
      <c r="Z437" s="1668"/>
      <c r="AA437" s="1668"/>
      <c r="AB437" s="1668"/>
      <c r="AC437" s="1668"/>
      <c r="AD437" s="1668"/>
      <c r="AE437" s="1668"/>
      <c r="AF437" s="108"/>
      <c r="AG437" s="108"/>
      <c r="AH437" s="108"/>
      <c r="AI437" s="108"/>
      <c r="AJ437" s="108"/>
      <c r="AK437" s="108"/>
      <c r="AL437" s="784"/>
      <c r="AM437"/>
      <c r="AN437" s="281"/>
    </row>
    <row r="438" spans="1:60" s="4" customFormat="1" ht="12.75" customHeight="1">
      <c r="A438" s="5"/>
      <c r="B438" s="73"/>
      <c r="C438" s="723"/>
      <c r="D438" s="1"/>
      <c r="E438" s="225"/>
      <c r="F438" s="1668"/>
      <c r="G438" s="1668"/>
      <c r="H438" s="1668"/>
      <c r="I438" s="1668"/>
      <c r="J438" s="1668"/>
      <c r="K438" s="1668"/>
      <c r="L438" s="1668"/>
      <c r="M438" s="1668"/>
      <c r="N438" s="1668"/>
      <c r="O438" s="1668"/>
      <c r="P438" s="1668"/>
      <c r="Q438" s="1668"/>
      <c r="R438" s="1668"/>
      <c r="S438" s="1668"/>
      <c r="T438" s="1668"/>
      <c r="U438" s="1668"/>
      <c r="V438" s="1668"/>
      <c r="W438" s="1668"/>
      <c r="X438" s="1668"/>
      <c r="Y438" s="1668"/>
      <c r="Z438" s="1668"/>
      <c r="AA438" s="1668"/>
      <c r="AB438" s="1668"/>
      <c r="AC438" s="1668"/>
      <c r="AD438" s="1668"/>
      <c r="AE438" s="166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68"/>
      <c r="G439" s="1668"/>
      <c r="H439" s="1668"/>
      <c r="I439" s="1668"/>
      <c r="J439" s="1668"/>
      <c r="K439" s="1668"/>
      <c r="L439" s="1668"/>
      <c r="M439" s="1668"/>
      <c r="N439" s="1668"/>
      <c r="O439" s="1668"/>
      <c r="P439" s="1668"/>
      <c r="Q439" s="1668"/>
      <c r="R439" s="1668"/>
      <c r="S439" s="1668"/>
      <c r="T439" s="1668"/>
      <c r="U439" s="1668"/>
      <c r="V439" s="1668"/>
      <c r="W439" s="1668"/>
      <c r="X439" s="1668"/>
      <c r="Y439" s="1668"/>
      <c r="Z439" s="1668"/>
      <c r="AA439" s="1668"/>
      <c r="AB439" s="1668"/>
      <c r="AC439" s="1668"/>
      <c r="AD439" s="1668"/>
      <c r="AE439" s="1668"/>
      <c r="AF439" s="108"/>
      <c r="AG439" s="108"/>
      <c r="AH439" s="108"/>
      <c r="AI439" s="108"/>
      <c r="AJ439" s="108"/>
      <c r="AK439" s="108"/>
      <c r="AL439" s="784"/>
      <c r="AM439"/>
      <c r="AN439" s="281"/>
    </row>
    <row r="440" spans="1:60" s="4" customFormat="1" ht="12.75" customHeight="1">
      <c r="A440" s="5"/>
      <c r="B440" s="73"/>
      <c r="C440" s="723"/>
      <c r="D440" s="1"/>
      <c r="E440" s="225"/>
      <c r="F440" s="1668"/>
      <c r="G440" s="1668"/>
      <c r="H440" s="1668"/>
      <c r="I440" s="1668"/>
      <c r="J440" s="1668"/>
      <c r="K440" s="1668"/>
      <c r="L440" s="1668"/>
      <c r="M440" s="1668"/>
      <c r="N440" s="1668"/>
      <c r="O440" s="1668"/>
      <c r="P440" s="1668"/>
      <c r="Q440" s="1668"/>
      <c r="R440" s="1668"/>
      <c r="S440" s="1668"/>
      <c r="T440" s="1668"/>
      <c r="U440" s="1668"/>
      <c r="V440" s="1668"/>
      <c r="W440" s="1668"/>
      <c r="X440" s="1668"/>
      <c r="Y440" s="1668"/>
      <c r="Z440" s="1668"/>
      <c r="AA440" s="1668"/>
      <c r="AB440" s="1668"/>
      <c r="AC440" s="1668"/>
      <c r="AD440" s="1668"/>
      <c r="AE440" s="1668"/>
      <c r="AF440" s="108"/>
      <c r="AG440" s="108"/>
      <c r="AH440" s="108"/>
      <c r="AI440" s="108"/>
      <c r="AJ440" s="108"/>
      <c r="AK440" s="108"/>
      <c r="AL440" s="784"/>
      <c r="AM440"/>
      <c r="AN440" s="281"/>
    </row>
    <row r="441" spans="1:60" s="4" customFormat="1" ht="12.75" customHeight="1">
      <c r="A441" s="5"/>
      <c r="B441" s="73"/>
      <c r="C441" s="723"/>
      <c r="D441" s="1"/>
      <c r="E441" s="225"/>
      <c r="F441" s="1668"/>
      <c r="G441" s="1668"/>
      <c r="H441" s="1668"/>
      <c r="I441" s="1668"/>
      <c r="J441" s="1668"/>
      <c r="K441" s="1668"/>
      <c r="L441" s="1668"/>
      <c r="M441" s="1668"/>
      <c r="N441" s="1668"/>
      <c r="O441" s="1668"/>
      <c r="P441" s="1668"/>
      <c r="Q441" s="1668"/>
      <c r="R441" s="1668"/>
      <c r="S441" s="1668"/>
      <c r="T441" s="1668"/>
      <c r="U441" s="1668"/>
      <c r="V441" s="1668"/>
      <c r="W441" s="1668"/>
      <c r="X441" s="1668"/>
      <c r="Y441" s="1668"/>
      <c r="Z441" s="1668"/>
      <c r="AA441" s="1668"/>
      <c r="AB441" s="1668"/>
      <c r="AC441" s="1668"/>
      <c r="AD441" s="1668"/>
      <c r="AE441" s="1668"/>
      <c r="AF441" s="108"/>
      <c r="AG441" s="108"/>
      <c r="AH441" s="108"/>
      <c r="AI441" s="108"/>
      <c r="AJ441" s="108"/>
      <c r="AK441" s="108"/>
      <c r="AL441" s="784"/>
      <c r="AM441"/>
      <c r="AN441" s="281"/>
    </row>
    <row r="442" spans="1:60" s="4" customFormat="1" ht="12.75" customHeight="1">
      <c r="A442" s="5"/>
      <c r="B442" s="73"/>
      <c r="C442" s="723"/>
      <c r="D442" s="1"/>
      <c r="E442" s="225"/>
      <c r="F442" s="1668"/>
      <c r="G442" s="1668"/>
      <c r="H442" s="1668"/>
      <c r="I442" s="1668"/>
      <c r="J442" s="1668"/>
      <c r="K442" s="1668"/>
      <c r="L442" s="1668"/>
      <c r="M442" s="1668"/>
      <c r="N442" s="1668"/>
      <c r="O442" s="1668"/>
      <c r="P442" s="1668"/>
      <c r="Q442" s="1668"/>
      <c r="R442" s="1668"/>
      <c r="S442" s="1668"/>
      <c r="T442" s="1668"/>
      <c r="U442" s="1668"/>
      <c r="V442" s="1668"/>
      <c r="W442" s="1668"/>
      <c r="X442" s="1668"/>
      <c r="Y442" s="1668"/>
      <c r="Z442" s="1668"/>
      <c r="AA442" s="1668"/>
      <c r="AB442" s="1668"/>
      <c r="AC442" s="1668"/>
      <c r="AD442" s="1668"/>
      <c r="AE442" s="1668"/>
      <c r="AF442" s="108"/>
      <c r="AG442" s="108"/>
      <c r="AH442" s="108"/>
      <c r="AI442" s="108"/>
      <c r="AJ442" s="108"/>
      <c r="AK442" s="108"/>
      <c r="AL442" s="784"/>
      <c r="AM442"/>
      <c r="AN442" s="281"/>
    </row>
    <row r="443" spans="1:60" s="4" customFormat="1" ht="17.25" customHeight="1">
      <c r="A443" s="5"/>
      <c r="B443" s="73"/>
      <c r="C443" s="723"/>
      <c r="D443" s="1"/>
      <c r="E443" s="225"/>
      <c r="F443" s="1668"/>
      <c r="G443" s="1668"/>
      <c r="H443" s="1668"/>
      <c r="I443" s="1668"/>
      <c r="J443" s="1668"/>
      <c r="K443" s="1668"/>
      <c r="L443" s="1668"/>
      <c r="M443" s="1668"/>
      <c r="N443" s="1668"/>
      <c r="O443" s="1668"/>
      <c r="P443" s="1668"/>
      <c r="Q443" s="1668"/>
      <c r="R443" s="1668"/>
      <c r="S443" s="1668"/>
      <c r="T443" s="1668"/>
      <c r="U443" s="1668"/>
      <c r="V443" s="1668"/>
      <c r="W443" s="1668"/>
      <c r="X443" s="1668"/>
      <c r="Y443" s="1668"/>
      <c r="Z443" s="1668"/>
      <c r="AA443" s="1668"/>
      <c r="AB443" s="1668"/>
      <c r="AC443" s="1668"/>
      <c r="AD443" s="1668"/>
      <c r="AE443" s="1668"/>
      <c r="AL443" s="705"/>
      <c r="AM443"/>
      <c r="AN443" s="281"/>
    </row>
    <row r="444" spans="1:60" s="4" customFormat="1" ht="12.75" customHeight="1">
      <c r="A444" s="5"/>
      <c r="B444" s="21"/>
      <c r="C444" s="1689" t="s">
        <v>124</v>
      </c>
      <c r="D444" s="1116"/>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319</v>
      </c>
      <c r="AG444" s="1692"/>
      <c r="AH444" s="1692"/>
      <c r="AI444" s="1692"/>
      <c r="AJ444" s="1692"/>
      <c r="AK444" s="1692"/>
      <c r="AL444" s="169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5" t="s">
        <v>1796</v>
      </c>
      <c r="G447" s="1685"/>
      <c r="H447" s="1685"/>
      <c r="I447" s="1685"/>
      <c r="J447" s="1685"/>
      <c r="K447" s="1685"/>
      <c r="L447" s="1685"/>
      <c r="M447" s="1685"/>
      <c r="N447" s="1685"/>
      <c r="O447" s="1685"/>
      <c r="P447" s="1685"/>
      <c r="Q447" s="1685"/>
      <c r="R447" s="1685"/>
      <c r="S447" s="1685"/>
      <c r="T447" s="1685"/>
      <c r="U447" s="1685"/>
      <c r="V447" s="1685"/>
      <c r="W447" s="1685"/>
      <c r="X447" s="1685"/>
      <c r="Y447" s="1685"/>
      <c r="Z447" s="1685"/>
      <c r="AA447" s="1685"/>
      <c r="AB447" s="1685"/>
      <c r="AC447" s="1685"/>
      <c r="AD447" s="1685"/>
      <c r="AE447" s="1685"/>
      <c r="AF447" s="697"/>
      <c r="AG447" s="697"/>
      <c r="AH447" s="697"/>
      <c r="AI447" s="697"/>
      <c r="AJ447" s="697"/>
      <c r="AK447" s="697"/>
      <c r="AL447" s="721"/>
      <c r="AM447"/>
      <c r="AN447" s="281"/>
    </row>
    <row r="448" spans="1:60" s="4" customFormat="1" ht="12.75" customHeight="1">
      <c r="A448" s="5"/>
      <c r="B448" s="73"/>
      <c r="C448" s="723"/>
      <c r="D448" s="1"/>
      <c r="E448" s="225"/>
      <c r="F448" s="1668"/>
      <c r="G448" s="1668"/>
      <c r="H448" s="1668"/>
      <c r="I448" s="1668"/>
      <c r="J448" s="1668"/>
      <c r="K448" s="1668"/>
      <c r="L448" s="1668"/>
      <c r="M448" s="1668"/>
      <c r="N448" s="1668"/>
      <c r="O448" s="1668"/>
      <c r="P448" s="1668"/>
      <c r="Q448" s="1668"/>
      <c r="R448" s="1668"/>
      <c r="S448" s="1668"/>
      <c r="T448" s="1668"/>
      <c r="U448" s="1668"/>
      <c r="V448" s="1668"/>
      <c r="W448" s="1668"/>
      <c r="X448" s="1668"/>
      <c r="Y448" s="1668"/>
      <c r="Z448" s="1668"/>
      <c r="AA448" s="1668"/>
      <c r="AB448" s="1668"/>
      <c r="AC448" s="1668"/>
      <c r="AD448" s="1668"/>
      <c r="AE448" s="1668"/>
      <c r="AF448" s="18"/>
      <c r="AG448" s="18"/>
      <c r="AH448" s="18"/>
      <c r="AI448" s="18"/>
      <c r="AJ448" s="18"/>
      <c r="AK448" s="18"/>
      <c r="AL448" s="781"/>
      <c r="AM448"/>
      <c r="AN448" s="281"/>
    </row>
    <row r="449" spans="1:49" s="4" customFormat="1" ht="12.75" customHeight="1">
      <c r="A449" s="5"/>
      <c r="B449" s="73"/>
      <c r="C449" s="723"/>
      <c r="D449" s="1"/>
      <c r="E449" s="225"/>
      <c r="F449" s="1668"/>
      <c r="G449" s="1668"/>
      <c r="H449" s="1668"/>
      <c r="I449" s="1668"/>
      <c r="J449" s="1668"/>
      <c r="K449" s="1668"/>
      <c r="L449" s="1668"/>
      <c r="M449" s="1668"/>
      <c r="N449" s="1668"/>
      <c r="O449" s="1668"/>
      <c r="P449" s="1668"/>
      <c r="Q449" s="1668"/>
      <c r="R449" s="1668"/>
      <c r="S449" s="1668"/>
      <c r="T449" s="1668"/>
      <c r="U449" s="1668"/>
      <c r="V449" s="1668"/>
      <c r="W449" s="1668"/>
      <c r="X449" s="1668"/>
      <c r="Y449" s="1668"/>
      <c r="Z449" s="1668"/>
      <c r="AA449" s="1668"/>
      <c r="AB449" s="1668"/>
      <c r="AC449" s="1668"/>
      <c r="AD449" s="1668"/>
      <c r="AE449" s="1668"/>
      <c r="AF449" s="18"/>
      <c r="AG449" s="18"/>
      <c r="AH449" s="18"/>
      <c r="AI449" s="18"/>
      <c r="AJ449" s="18"/>
      <c r="AK449" s="18"/>
      <c r="AL449" s="781"/>
      <c r="AM449"/>
      <c r="AN449" s="281"/>
    </row>
    <row r="450" spans="1:49" s="4" customFormat="1" ht="12.75" customHeight="1">
      <c r="A450" s="5"/>
      <c r="B450" s="73"/>
      <c r="C450" s="723"/>
      <c r="D450" s="1"/>
      <c r="E450" s="225"/>
      <c r="F450" s="1668"/>
      <c r="G450" s="1668"/>
      <c r="H450" s="1668"/>
      <c r="I450" s="1668"/>
      <c r="J450" s="1668"/>
      <c r="K450" s="1668"/>
      <c r="L450" s="1668"/>
      <c r="M450" s="1668"/>
      <c r="N450" s="1668"/>
      <c r="O450" s="1668"/>
      <c r="P450" s="1668"/>
      <c r="Q450" s="1668"/>
      <c r="R450" s="1668"/>
      <c r="S450" s="1668"/>
      <c r="T450" s="1668"/>
      <c r="U450" s="1668"/>
      <c r="V450" s="1668"/>
      <c r="W450" s="1668"/>
      <c r="X450" s="1668"/>
      <c r="Y450" s="1668"/>
      <c r="Z450" s="1668"/>
      <c r="AA450" s="1668"/>
      <c r="AB450" s="1668"/>
      <c r="AC450" s="1668"/>
      <c r="AD450" s="1668"/>
      <c r="AE450" s="1668"/>
      <c r="AL450" s="705"/>
      <c r="AM450"/>
      <c r="AN450" s="281"/>
    </row>
    <row r="451" spans="1:49" s="4" customFormat="1" ht="12.75" customHeight="1">
      <c r="A451" s="5"/>
      <c r="B451" s="73"/>
      <c r="C451" s="1689" t="s">
        <v>124</v>
      </c>
      <c r="D451" s="1116"/>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319</v>
      </c>
      <c r="AG451" s="1692"/>
      <c r="AH451" s="1692"/>
      <c r="AI451" s="1692"/>
      <c r="AJ451" s="1692"/>
      <c r="AK451" s="1692"/>
      <c r="AL451" s="169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690" t="s">
        <v>124</v>
      </c>
      <c r="D455" s="1691"/>
      <c r="E455" s="698" t="s">
        <v>967</v>
      </c>
      <c r="F455" s="1685" t="s">
        <v>969</v>
      </c>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872" t="s">
        <v>319</v>
      </c>
      <c r="AG455" s="1872"/>
      <c r="AH455" s="1872"/>
      <c r="AI455" s="1872"/>
      <c r="AJ455" s="1872"/>
      <c r="AK455" s="1872"/>
      <c r="AL455" s="1873"/>
      <c r="AM455"/>
      <c r="AN455" s="674"/>
      <c r="AQ455" s="166"/>
    </row>
    <row r="456" spans="1:49" s="4" customFormat="1" ht="12.75" customHeight="1">
      <c r="A456" s="5"/>
      <c r="B456" s="73"/>
      <c r="C456" s="723"/>
      <c r="D456" s="1"/>
      <c r="E456" s="225"/>
      <c r="F456" s="1668"/>
      <c r="G456" s="1668"/>
      <c r="H456" s="1668"/>
      <c r="I456" s="1668"/>
      <c r="J456" s="1668"/>
      <c r="K456" s="1668"/>
      <c r="L456" s="1668"/>
      <c r="M456" s="1668"/>
      <c r="N456" s="1668"/>
      <c r="O456" s="1668"/>
      <c r="P456" s="1668"/>
      <c r="Q456" s="1668"/>
      <c r="R456" s="1668"/>
      <c r="S456" s="1668"/>
      <c r="T456" s="1668"/>
      <c r="U456" s="1668"/>
      <c r="V456" s="1668"/>
      <c r="W456" s="1668"/>
      <c r="X456" s="1668"/>
      <c r="Y456" s="1668"/>
      <c r="Z456" s="1668"/>
      <c r="AA456" s="1668"/>
      <c r="AB456" s="1668"/>
      <c r="AC456" s="1668"/>
      <c r="AD456" s="1668"/>
      <c r="AE456" s="166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86"/>
      <c r="G457" s="1686"/>
      <c r="H457" s="1686"/>
      <c r="I457" s="1686"/>
      <c r="J457" s="1686"/>
      <c r="K457" s="1686"/>
      <c r="L457" s="1686"/>
      <c r="M457" s="1686"/>
      <c r="N457" s="1686"/>
      <c r="O457" s="1686"/>
      <c r="P457" s="1686"/>
      <c r="Q457" s="1686"/>
      <c r="R457" s="1686"/>
      <c r="S457" s="1686"/>
      <c r="T457" s="1686"/>
      <c r="U457" s="1686"/>
      <c r="V457" s="1686"/>
      <c r="W457" s="1686"/>
      <c r="X457" s="1686"/>
      <c r="Y457" s="1686"/>
      <c r="Z457" s="1686"/>
      <c r="AA457" s="1686"/>
      <c r="AB457" s="1686"/>
      <c r="AC457" s="1686"/>
      <c r="AD457" s="1686"/>
      <c r="AE457" s="1686"/>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690" t="s">
        <v>124</v>
      </c>
      <c r="D459" s="1691"/>
      <c r="E459" s="698" t="s">
        <v>968</v>
      </c>
      <c r="F459" s="1685" t="s">
        <v>1833</v>
      </c>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1872" t="s">
        <v>319</v>
      </c>
      <c r="AG459" s="1872"/>
      <c r="AH459" s="1872"/>
      <c r="AI459" s="1872"/>
      <c r="AJ459" s="1872"/>
      <c r="AK459" s="1872"/>
      <c r="AL459" s="1873"/>
      <c r="AM459"/>
      <c r="AN459" s="670"/>
      <c r="AO459" s="4" t="s">
        <v>1335</v>
      </c>
      <c r="AP459" s="4">
        <v>5</v>
      </c>
      <c r="AQ459" s="5"/>
    </row>
    <row r="460" spans="1:49" s="4" customFormat="1" ht="12.75" customHeight="1">
      <c r="A460" s="5"/>
      <c r="B460" s="21"/>
      <c r="C460" s="704"/>
      <c r="D460" s="21"/>
      <c r="E460" s="194"/>
      <c r="F460" s="1668"/>
      <c r="G460" s="1668"/>
      <c r="H460" s="1668"/>
      <c r="I460" s="1668"/>
      <c r="J460" s="1668"/>
      <c r="K460" s="1668"/>
      <c r="L460" s="1668"/>
      <c r="M460" s="1668"/>
      <c r="N460" s="1668"/>
      <c r="O460" s="1668"/>
      <c r="P460" s="1668"/>
      <c r="Q460" s="1668"/>
      <c r="R460" s="1668"/>
      <c r="S460" s="1668"/>
      <c r="T460" s="1668"/>
      <c r="U460" s="1668"/>
      <c r="V460" s="1668"/>
      <c r="W460" s="1668"/>
      <c r="X460" s="1668"/>
      <c r="Y460" s="1668"/>
      <c r="Z460" s="1668"/>
      <c r="AA460" s="1668"/>
      <c r="AB460" s="1668"/>
      <c r="AC460" s="1668"/>
      <c r="AD460" s="1668"/>
      <c r="AE460" s="1668"/>
      <c r="AF460" s="3"/>
      <c r="AG460" s="5"/>
      <c r="AL460" s="705"/>
      <c r="AM460"/>
      <c r="AN460" s="670"/>
      <c r="AO460" s="4" t="s">
        <v>1331</v>
      </c>
      <c r="AP460" s="4">
        <v>5</v>
      </c>
    </row>
    <row r="461" spans="1:49" s="4" customFormat="1" ht="12.75" customHeight="1">
      <c r="A461" s="5"/>
      <c r="B461" s="21"/>
      <c r="C461" s="704"/>
      <c r="D461" s="21"/>
      <c r="E461" s="194"/>
      <c r="F461" s="1668"/>
      <c r="G461" s="1668"/>
      <c r="H461" s="1668"/>
      <c r="I461" s="1668"/>
      <c r="J461" s="1668"/>
      <c r="K461" s="1668"/>
      <c r="L461" s="1668"/>
      <c r="M461" s="1668"/>
      <c r="N461" s="1668"/>
      <c r="O461" s="1668"/>
      <c r="P461" s="1668"/>
      <c r="Q461" s="1668"/>
      <c r="R461" s="1668"/>
      <c r="S461" s="1668"/>
      <c r="T461" s="1668"/>
      <c r="U461" s="1668"/>
      <c r="V461" s="1668"/>
      <c r="W461" s="1668"/>
      <c r="X461" s="1668"/>
      <c r="Y461" s="1668"/>
      <c r="Z461" s="1668"/>
      <c r="AA461" s="1668"/>
      <c r="AB461" s="1668"/>
      <c r="AC461" s="1668"/>
      <c r="AD461" s="1668"/>
      <c r="AE461" s="1668"/>
      <c r="AF461" s="3"/>
      <c r="AG461" s="5"/>
      <c r="AL461" s="705"/>
      <c r="AM461"/>
      <c r="AN461" s="670"/>
      <c r="AO461" s="4" t="s">
        <v>1332</v>
      </c>
      <c r="AP461" s="4">
        <v>5</v>
      </c>
    </row>
    <row r="462" spans="1:49" s="4" customFormat="1" ht="4.5" customHeight="1">
      <c r="A462" s="5"/>
      <c r="B462" s="73"/>
      <c r="C462" s="700"/>
      <c r="D462" s="701"/>
      <c r="E462" s="702"/>
      <c r="F462" s="1686"/>
      <c r="G462" s="1686"/>
      <c r="H462" s="1686"/>
      <c r="I462" s="1686"/>
      <c r="J462" s="1686"/>
      <c r="K462" s="1686"/>
      <c r="L462" s="1686"/>
      <c r="M462" s="1686"/>
      <c r="N462" s="1686"/>
      <c r="O462" s="1686"/>
      <c r="P462" s="1686"/>
      <c r="Q462" s="1686"/>
      <c r="R462" s="1686"/>
      <c r="S462" s="1686"/>
      <c r="T462" s="1686"/>
      <c r="U462" s="1686"/>
      <c r="V462" s="1686"/>
      <c r="W462" s="1686"/>
      <c r="X462" s="1686"/>
      <c r="Y462" s="1686"/>
      <c r="Z462" s="1686"/>
      <c r="AA462" s="1686"/>
      <c r="AB462" s="1686"/>
      <c r="AC462" s="1686"/>
      <c r="AD462" s="1686"/>
      <c r="AE462" s="1686"/>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5" t="s">
        <v>1834</v>
      </c>
      <c r="G464" s="1685"/>
      <c r="H464" s="1685"/>
      <c r="I464" s="1685"/>
      <c r="J464" s="1685"/>
      <c r="K464" s="1685"/>
      <c r="L464" s="1685"/>
      <c r="M464" s="1685"/>
      <c r="N464" s="1685"/>
      <c r="O464" s="1685"/>
      <c r="P464" s="1685"/>
      <c r="Q464" s="1685"/>
      <c r="R464" s="1685"/>
      <c r="S464" s="1685"/>
      <c r="T464" s="1685"/>
      <c r="U464" s="1685"/>
      <c r="V464" s="1685"/>
      <c r="W464" s="1685"/>
      <c r="X464" s="1685"/>
      <c r="Y464" s="1685"/>
      <c r="Z464" s="1685"/>
      <c r="AA464" s="1685"/>
      <c r="AB464" s="1685"/>
      <c r="AC464" s="1685"/>
      <c r="AD464" s="1685"/>
      <c r="AE464" s="1685"/>
      <c r="AF464" s="1685"/>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68"/>
      <c r="G465" s="1668"/>
      <c r="H465" s="1668"/>
      <c r="I465" s="1668"/>
      <c r="J465" s="1668"/>
      <c r="K465" s="1668"/>
      <c r="L465" s="1668"/>
      <c r="M465" s="1668"/>
      <c r="N465" s="1668"/>
      <c r="O465" s="1668"/>
      <c r="P465" s="1668"/>
      <c r="Q465" s="1668"/>
      <c r="R465" s="1668"/>
      <c r="S465" s="1668"/>
      <c r="T465" s="1668"/>
      <c r="U465" s="1668"/>
      <c r="V465" s="1668"/>
      <c r="W465" s="1668"/>
      <c r="X465" s="1668"/>
      <c r="Y465" s="1668"/>
      <c r="Z465" s="1668"/>
      <c r="AA465" s="1668"/>
      <c r="AB465" s="1668"/>
      <c r="AC465" s="1668"/>
      <c r="AD465" s="1668"/>
      <c r="AE465" s="1668"/>
      <c r="AF465" s="1668"/>
      <c r="AL465" s="705"/>
      <c r="AM465"/>
      <c r="AN465" s="281"/>
      <c r="AS465" s="345"/>
      <c r="AW465" s="345" t="s">
        <v>975</v>
      </c>
      <c r="BA465" s="345" t="s">
        <v>976</v>
      </c>
    </row>
    <row r="466" spans="1:54" s="4" customFormat="1" ht="12.75" customHeight="1">
      <c r="A466" s="5"/>
      <c r="B466" s="21"/>
      <c r="C466" s="707"/>
      <c r="F466" s="1668"/>
      <c r="G466" s="1668"/>
      <c r="H466" s="1668"/>
      <c r="I466" s="1668"/>
      <c r="J466" s="1668"/>
      <c r="K466" s="1668"/>
      <c r="L466" s="1668"/>
      <c r="M466" s="1668"/>
      <c r="N466" s="1668"/>
      <c r="O466" s="1668"/>
      <c r="P466" s="1668"/>
      <c r="Q466" s="1668"/>
      <c r="R466" s="1668"/>
      <c r="S466" s="1668"/>
      <c r="T466" s="1668"/>
      <c r="U466" s="1668"/>
      <c r="V466" s="1668"/>
      <c r="W466" s="1668"/>
      <c r="X466" s="1668"/>
      <c r="Y466" s="1668"/>
      <c r="Z466" s="1668"/>
      <c r="AA466" s="1668"/>
      <c r="AB466" s="1668"/>
      <c r="AC466" s="1668"/>
      <c r="AD466" s="1668"/>
      <c r="AE466" s="1668"/>
      <c r="AF466" s="166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68"/>
      <c r="G467" s="1668"/>
      <c r="H467" s="1668"/>
      <c r="I467" s="1668"/>
      <c r="J467" s="1668"/>
      <c r="K467" s="1668"/>
      <c r="L467" s="1668"/>
      <c r="M467" s="1668"/>
      <c r="N467" s="1668"/>
      <c r="O467" s="1668"/>
      <c r="P467" s="1668"/>
      <c r="Q467" s="1668"/>
      <c r="R467" s="1668"/>
      <c r="S467" s="1668"/>
      <c r="T467" s="1668"/>
      <c r="U467" s="1668"/>
      <c r="V467" s="1668"/>
      <c r="W467" s="1668"/>
      <c r="X467" s="1668"/>
      <c r="Y467" s="1668"/>
      <c r="Z467" s="1668"/>
      <c r="AA467" s="1668"/>
      <c r="AB467" s="1668"/>
      <c r="AC467" s="1668"/>
      <c r="AD467" s="1668"/>
      <c r="AE467" s="1668"/>
      <c r="AF467" s="1668"/>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9" t="s">
        <v>124</v>
      </c>
      <c r="D468" s="1116"/>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319</v>
      </c>
      <c r="AG468" s="1542"/>
      <c r="AH468" s="1542"/>
      <c r="AI468" s="1542"/>
      <c r="AJ468" s="1542"/>
      <c r="AK468" s="1542"/>
      <c r="AL468" s="1684"/>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2" t="s">
        <v>1257</v>
      </c>
      <c r="AF477" s="1542"/>
      <c r="AG477" s="1542"/>
      <c r="AH477" s="1542"/>
      <c r="AI477" s="1542"/>
      <c r="AJ477" s="1542"/>
      <c r="AK477" s="154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95" t="s">
        <v>124</v>
      </c>
      <c r="D483" s="1696"/>
      <c r="E483" s="749" t="s">
        <v>195</v>
      </c>
      <c r="F483" s="1803" t="s">
        <v>972</v>
      </c>
      <c r="G483" s="1803"/>
      <c r="H483" s="1803"/>
      <c r="I483" s="1803"/>
      <c r="J483" s="1803"/>
      <c r="K483" s="1803"/>
      <c r="L483" s="1803"/>
      <c r="M483" s="1803"/>
      <c r="N483" s="1803"/>
      <c r="O483" s="1803"/>
      <c r="P483" s="1803"/>
      <c r="Q483" s="1803"/>
      <c r="R483" s="1803"/>
      <c r="S483" s="1803"/>
      <c r="T483" s="1803"/>
      <c r="U483" s="1803"/>
      <c r="V483" s="1803"/>
      <c r="W483" s="1803"/>
      <c r="X483" s="1803"/>
      <c r="Y483" s="1803"/>
      <c r="Z483" s="1803"/>
      <c r="AA483" s="1803"/>
      <c r="AB483" s="1803"/>
      <c r="AC483" s="1803"/>
      <c r="AD483" s="1803"/>
      <c r="AE483" s="1803"/>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804"/>
      <c r="G484" s="1804"/>
      <c r="H484" s="1804"/>
      <c r="I484" s="1804"/>
      <c r="J484" s="1804"/>
      <c r="K484" s="1804"/>
      <c r="L484" s="1804"/>
      <c r="M484" s="1804"/>
      <c r="N484" s="1804"/>
      <c r="O484" s="1804"/>
      <c r="P484" s="1804"/>
      <c r="Q484" s="1804"/>
      <c r="R484" s="1804"/>
      <c r="S484" s="1804"/>
      <c r="T484" s="1804"/>
      <c r="U484" s="1804"/>
      <c r="V484" s="1804"/>
      <c r="W484" s="1804"/>
      <c r="X484" s="1804"/>
      <c r="Y484" s="1804"/>
      <c r="Z484" s="1804"/>
      <c r="AA484" s="1804"/>
      <c r="AB484" s="1804"/>
      <c r="AC484" s="1804"/>
      <c r="AD484" s="1804"/>
      <c r="AE484" s="1804"/>
      <c r="AG484" s="19"/>
      <c r="AH484" s="19"/>
      <c r="AI484" s="19"/>
      <c r="AJ484" s="19"/>
      <c r="AK484" s="705"/>
      <c r="AN484" s="281"/>
      <c r="AO484" s="4" t="s">
        <v>1334</v>
      </c>
      <c r="AP484" s="4">
        <v>1</v>
      </c>
    </row>
    <row r="485" spans="1:50" s="4" customFormat="1" ht="12.75" hidden="1" customHeight="1">
      <c r="C485" s="727"/>
      <c r="D485" s="714"/>
      <c r="E485" s="728"/>
      <c r="F485" s="1778" t="s">
        <v>124</v>
      </c>
      <c r="G485" s="1778"/>
      <c r="H485" s="1778"/>
      <c r="I485" s="1778"/>
      <c r="J485" s="1778"/>
      <c r="K485" s="1778"/>
      <c r="L485" s="1778"/>
      <c r="M485" s="1778"/>
      <c r="N485" s="1778"/>
      <c r="O485" s="1778"/>
      <c r="P485" s="1778"/>
      <c r="Q485" s="1778"/>
      <c r="R485" s="1778"/>
      <c r="S485" s="1778"/>
      <c r="T485" s="1778"/>
      <c r="U485" s="1778"/>
      <c r="V485" s="1778"/>
      <c r="W485" s="1778"/>
      <c r="X485" s="1778"/>
      <c r="Y485" s="1778"/>
      <c r="Z485" s="177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690" t="s">
        <v>108</v>
      </c>
      <c r="D487" s="1691"/>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3" t="s">
        <v>124</v>
      </c>
      <c r="W490" s="1673"/>
      <c r="X490" s="167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3" t="s">
        <v>124</v>
      </c>
      <c r="W492" s="1673"/>
      <c r="X492" s="167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3" t="s">
        <v>124</v>
      </c>
      <c r="W497" s="1673"/>
      <c r="X497" s="167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5"/>
      <c r="E500" s="1425"/>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3" t="s">
        <v>124</v>
      </c>
      <c r="W501" s="1673"/>
      <c r="X501" s="167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3" t="s">
        <v>124</v>
      </c>
      <c r="W503" s="1673"/>
      <c r="X503" s="167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19" t="s">
        <v>30</v>
      </c>
      <c r="BK504" s="1820"/>
      <c r="BL504" s="1820"/>
      <c r="BM504" s="1820"/>
      <c r="BN504" s="1820"/>
      <c r="BO504" s="1820"/>
      <c r="BP504" s="182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19"/>
      <c r="BK505" s="1820"/>
      <c r="BL505" s="1820"/>
      <c r="BM505" s="1820"/>
      <c r="BN505" s="1820"/>
      <c r="BO505" s="1820"/>
      <c r="BP505" s="1820"/>
      <c r="BQ505" s="20"/>
      <c r="BR505" s="4"/>
    </row>
    <row r="506" spans="1:147" customFormat="1" ht="12.75" hidden="1" customHeight="1">
      <c r="A506" s="120"/>
      <c r="B506" s="4"/>
      <c r="C506" s="1695" t="s">
        <v>124</v>
      </c>
      <c r="D506" s="1696"/>
      <c r="E506" s="742" t="s">
        <v>195</v>
      </c>
      <c r="F506" s="1803" t="s">
        <v>972</v>
      </c>
      <c r="G506" s="1803"/>
      <c r="H506" s="1803"/>
      <c r="I506" s="1803"/>
      <c r="J506" s="1803"/>
      <c r="K506" s="1803"/>
      <c r="L506" s="1803"/>
      <c r="M506" s="1803"/>
      <c r="N506" s="1803"/>
      <c r="O506" s="1803"/>
      <c r="P506" s="1803"/>
      <c r="Q506" s="1803"/>
      <c r="R506" s="1803"/>
      <c r="S506" s="1803"/>
      <c r="T506" s="1803"/>
      <c r="U506" s="1803"/>
      <c r="V506" s="1803"/>
      <c r="W506" s="1803"/>
      <c r="X506" s="1803"/>
      <c r="Y506" s="1803"/>
      <c r="Z506" s="1803"/>
      <c r="AA506" s="1803"/>
      <c r="AB506" s="1803"/>
      <c r="AC506" s="1803"/>
      <c r="AD506" s="1803"/>
      <c r="AE506" s="180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804"/>
      <c r="G507" s="1804"/>
      <c r="H507" s="1804"/>
      <c r="I507" s="1804"/>
      <c r="J507" s="1804"/>
      <c r="K507" s="1804"/>
      <c r="L507" s="1804"/>
      <c r="M507" s="1804"/>
      <c r="N507" s="1804"/>
      <c r="O507" s="1804"/>
      <c r="P507" s="1804"/>
      <c r="Q507" s="1804"/>
      <c r="R507" s="1804"/>
      <c r="S507" s="1804"/>
      <c r="T507" s="1804"/>
      <c r="U507" s="1804"/>
      <c r="V507" s="1804"/>
      <c r="W507" s="1804"/>
      <c r="X507" s="1804"/>
      <c r="Y507" s="1804"/>
      <c r="Z507" s="1804"/>
      <c r="AA507" s="1804"/>
      <c r="AB507" s="1804"/>
      <c r="AC507" s="1804"/>
      <c r="AD507" s="1804"/>
      <c r="AE507" s="1804"/>
      <c r="AF507" s="4"/>
      <c r="AG507" s="19"/>
      <c r="AH507" s="19"/>
      <c r="AI507" s="19"/>
      <c r="AJ507" s="19"/>
      <c r="AK507" s="705"/>
      <c r="AL507" s="4"/>
      <c r="AM507" s="4"/>
      <c r="AN507" s="669"/>
      <c r="AO507" s="38"/>
      <c r="AP507" s="1283" t="s">
        <v>1498</v>
      </c>
      <c r="AQ507" s="1284"/>
      <c r="AR507" s="1285"/>
      <c r="AS507" s="624">
        <v>80</v>
      </c>
      <c r="AT507" s="4">
        <v>0</v>
      </c>
      <c r="AU507" s="160">
        <v>10</v>
      </c>
      <c r="AV507" s="160">
        <v>25</v>
      </c>
      <c r="AW507" s="160">
        <v>37.5</v>
      </c>
      <c r="AX507" s="160">
        <v>35</v>
      </c>
      <c r="AY507" s="160">
        <v>37.5</v>
      </c>
      <c r="AZ507" s="160">
        <v>50</v>
      </c>
      <c r="BA507" s="160">
        <v>50</v>
      </c>
      <c r="BB507" s="21"/>
      <c r="BC507" s="21"/>
      <c r="BE507" s="1283" t="s">
        <v>1498</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74" t="s">
        <v>124</v>
      </c>
      <c r="G508" s="1674"/>
      <c r="H508" s="1674"/>
      <c r="I508" s="1674"/>
      <c r="J508" s="1674"/>
      <c r="K508" s="1674"/>
      <c r="L508" s="1674"/>
      <c r="M508" s="1674"/>
      <c r="N508" s="1674"/>
      <c r="O508" s="1674"/>
      <c r="P508" s="1674"/>
      <c r="Q508" s="1674"/>
      <c r="R508" s="1674"/>
      <c r="S508" s="1674"/>
      <c r="T508" s="1674"/>
      <c r="U508" s="1674"/>
      <c r="V508" s="1674"/>
      <c r="W508" s="1674"/>
      <c r="X508" s="1674"/>
      <c r="Y508" s="1674"/>
      <c r="Z508" s="1674"/>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95" t="s">
        <v>124</v>
      </c>
      <c r="D510" s="1696"/>
      <c r="E510" s="742" t="s">
        <v>302</v>
      </c>
      <c r="F510" s="1805" t="s">
        <v>1158</v>
      </c>
      <c r="G510" s="1805"/>
      <c r="H510" s="1805"/>
      <c r="I510" s="1805"/>
      <c r="J510" s="1805"/>
      <c r="K510" s="1805"/>
      <c r="L510" s="1805"/>
      <c r="M510" s="1805"/>
      <c r="N510" s="1805"/>
      <c r="O510" s="1805"/>
      <c r="P510" s="1805"/>
      <c r="Q510" s="1805"/>
      <c r="R510" s="1805"/>
      <c r="S510" s="1805"/>
      <c r="T510" s="1805"/>
      <c r="U510" s="1805"/>
      <c r="V510" s="1805"/>
      <c r="W510" s="1805"/>
      <c r="X510" s="1805"/>
      <c r="Y510" s="1805"/>
      <c r="Z510" s="1805"/>
      <c r="AA510" s="1805"/>
      <c r="AB510" s="1805"/>
      <c r="AC510" s="1805"/>
      <c r="AD510" s="1805"/>
      <c r="AE510" s="1805"/>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06"/>
      <c r="G511" s="1806"/>
      <c r="H511" s="1806"/>
      <c r="I511" s="1806"/>
      <c r="J511" s="1806"/>
      <c r="K511" s="1806"/>
      <c r="L511" s="1806"/>
      <c r="M511" s="1806"/>
      <c r="N511" s="1806"/>
      <c r="O511" s="1806"/>
      <c r="P511" s="1806"/>
      <c r="Q511" s="1806"/>
      <c r="R511" s="1806"/>
      <c r="S511" s="1806"/>
      <c r="T511" s="1806"/>
      <c r="U511" s="1806"/>
      <c r="V511" s="1806"/>
      <c r="W511" s="1806"/>
      <c r="X511" s="1806"/>
      <c r="Y511" s="1806"/>
      <c r="Z511" s="1806"/>
      <c r="AA511" s="1806"/>
      <c r="AB511" s="1806"/>
      <c r="AC511" s="1806"/>
      <c r="AD511" s="1806"/>
      <c r="AE511" s="1806"/>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75" t="s">
        <v>124</v>
      </c>
      <c r="G513" s="1675"/>
      <c r="H513" s="167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95" t="s">
        <v>124</v>
      </c>
      <c r="D515" s="169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94"/>
      <c r="D517" s="1425"/>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7" t="s">
        <v>124</v>
      </c>
      <c r="H518" s="1887"/>
      <c r="I518" s="1887"/>
      <c r="J518" s="1887"/>
      <c r="K518" s="1887"/>
      <c r="L518" s="1887"/>
      <c r="M518" s="1887"/>
      <c r="N518" s="1887"/>
      <c r="O518" s="1887"/>
      <c r="P518" s="1887"/>
      <c r="Q518" s="1887"/>
      <c r="R518" s="1887"/>
      <c r="S518" s="1887"/>
      <c r="T518" s="1887"/>
      <c r="U518" s="1887"/>
      <c r="V518" s="1887"/>
      <c r="W518" s="1887"/>
      <c r="X518" s="1887"/>
      <c r="Y518" s="1887"/>
      <c r="Z518" s="1887"/>
      <c r="AA518" s="1887"/>
      <c r="AB518" s="1887"/>
      <c r="AC518" s="1887"/>
      <c r="AD518" s="1887"/>
      <c r="AE518" s="1887"/>
      <c r="AF518" s="1887"/>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8" t="s">
        <v>124</v>
      </c>
      <c r="D520" s="18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8" t="s">
        <v>124</v>
      </c>
      <c r="D524" s="1889"/>
      <c r="F524" s="496" t="s">
        <v>874</v>
      </c>
      <c r="G524" s="1668" t="s">
        <v>983</v>
      </c>
      <c r="H524" s="1668"/>
      <c r="I524" s="1668"/>
      <c r="J524" s="1668"/>
      <c r="K524" s="1668"/>
      <c r="L524" s="1668"/>
      <c r="M524" s="1668"/>
      <c r="N524" s="1668"/>
      <c r="O524" s="1668"/>
      <c r="P524" s="1668"/>
      <c r="Q524" s="1668"/>
      <c r="R524" s="1668"/>
      <c r="S524" s="1668"/>
      <c r="T524" s="1668"/>
      <c r="U524" s="1668"/>
      <c r="V524" s="1668"/>
      <c r="W524" s="1668"/>
      <c r="X524" s="1668"/>
      <c r="Y524" s="1668"/>
      <c r="Z524" s="1668"/>
      <c r="AA524" s="1668"/>
      <c r="AB524" s="1668"/>
      <c r="AC524" s="1668"/>
      <c r="AD524" s="1668"/>
      <c r="AE524" s="1668"/>
      <c r="AF524" s="1668"/>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8">
        <f>BJ528</f>
        <v>27</v>
      </c>
      <c r="BE524" s="186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86"/>
      <c r="H525" s="1686"/>
      <c r="I525" s="1686"/>
      <c r="J525" s="1686"/>
      <c r="K525" s="1686"/>
      <c r="L525" s="1686"/>
      <c r="M525" s="1686"/>
      <c r="N525" s="1686"/>
      <c r="O525" s="1686"/>
      <c r="P525" s="1686"/>
      <c r="Q525" s="1686"/>
      <c r="R525" s="1686"/>
      <c r="S525" s="1686"/>
      <c r="T525" s="1686"/>
      <c r="U525" s="1686"/>
      <c r="V525" s="1686"/>
      <c r="W525" s="1686"/>
      <c r="X525" s="1686"/>
      <c r="Y525" s="1686"/>
      <c r="Z525" s="1686"/>
      <c r="AA525" s="1686"/>
      <c r="AB525" s="1686"/>
      <c r="AC525" s="1686"/>
      <c r="AD525" s="1686"/>
      <c r="AE525" s="1686"/>
      <c r="AF525" s="168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8">
        <f>SUM(E581:J589)</f>
        <v>27</v>
      </c>
      <c r="BE525" s="186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9"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3">
        <f>Application!AG433</f>
        <v>27</v>
      </c>
      <c r="BK528" s="1864"/>
      <c r="BM528" s="1732"/>
      <c r="BN528" s="1734"/>
      <c r="BO528" s="1732"/>
      <c r="BP528" s="1734"/>
      <c r="BQ528" s="1742"/>
      <c r="BR528" s="1744"/>
      <c r="BS528" s="1742"/>
      <c r="BT528" s="1744"/>
      <c r="BU528" s="1732">
        <f>IF(T611&gt;0,1,0)</f>
        <v>1</v>
      </c>
      <c r="BV528" s="1734"/>
      <c r="BW528" s="1732">
        <f>IF(Y611&gt;=0.1,1,0)</f>
        <v>1</v>
      </c>
      <c r="BX528" s="1734"/>
      <c r="BY528" s="1742"/>
      <c r="BZ528" s="1744"/>
      <c r="CA528" s="1742"/>
      <c r="CB528" s="1744"/>
      <c r="CC528" s="1732"/>
      <c r="CD528" s="1734"/>
      <c r="CE528" s="1732"/>
      <c r="CF528" s="1734"/>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32"/>
      <c r="BN529" s="1734"/>
      <c r="BO529" s="1732"/>
      <c r="BP529" s="1734"/>
      <c r="BQ529" s="1742"/>
      <c r="BR529" s="1744"/>
      <c r="BS529" s="1742"/>
      <c r="BT529" s="1744"/>
      <c r="BU529" s="1732"/>
      <c r="BV529" s="1734"/>
      <c r="BW529" s="1732"/>
      <c r="BX529" s="1734"/>
      <c r="BY529" s="1742">
        <f>IF(T612&gt;0,1,0)</f>
        <v>0</v>
      </c>
      <c r="BZ529" s="1744"/>
      <c r="CA529" s="1742">
        <f>IF(Y612&gt;=0.1,1,0)</f>
        <v>0</v>
      </c>
      <c r="CB529" s="1744"/>
      <c r="CC529" s="1732"/>
      <c r="CD529" s="1734"/>
      <c r="CE529" s="1732"/>
      <c r="CF529" s="1734"/>
      <c r="CG529"/>
      <c r="CH529"/>
      <c r="CI529"/>
      <c r="CJ529"/>
      <c r="CW529"/>
    </row>
    <row r="530" spans="1:101" s="4" customFormat="1" ht="12.75" hidden="1" customHeight="1">
      <c r="C530" s="747"/>
      <c r="D530" s="714"/>
      <c r="E530" s="728"/>
      <c r="F530" s="1869"/>
      <c r="G530" s="1869"/>
      <c r="H530" s="1869"/>
      <c r="I530" s="1869"/>
      <c r="J530" s="1869"/>
      <c r="K530" s="1869"/>
      <c r="L530" s="1869"/>
      <c r="M530" s="1869"/>
      <c r="N530" s="1869"/>
      <c r="O530" s="1869"/>
      <c r="P530" s="1869"/>
      <c r="Q530" s="1869"/>
      <c r="R530" s="1869"/>
      <c r="S530" s="1869"/>
      <c r="T530" s="1869"/>
      <c r="U530" s="1869"/>
      <c r="V530" s="1869"/>
      <c r="W530" s="1869"/>
      <c r="X530" s="1869"/>
      <c r="Y530" s="1869"/>
      <c r="Z530" s="1869"/>
      <c r="AA530" s="1869"/>
      <c r="AB530" s="1869"/>
      <c r="AC530" s="1869"/>
      <c r="AD530" s="1869"/>
      <c r="AE530" s="1869"/>
      <c r="AF530" s="1869"/>
      <c r="AG530" s="730"/>
      <c r="AH530" s="730"/>
      <c r="AI530" s="730"/>
      <c r="AJ530" s="730"/>
      <c r="AK530" s="715"/>
      <c r="AN530" s="281"/>
      <c r="BM530" s="1732"/>
      <c r="BN530" s="1734"/>
      <c r="BO530" s="1732"/>
      <c r="BP530" s="1734"/>
      <c r="BQ530" s="1742"/>
      <c r="BR530" s="1744"/>
      <c r="BS530" s="1742"/>
      <c r="BT530" s="1744"/>
      <c r="BU530" s="1732"/>
      <c r="BV530" s="1734"/>
      <c r="BW530" s="1732"/>
      <c r="BX530" s="1734"/>
      <c r="BY530" s="1742"/>
      <c r="BZ530" s="1744"/>
      <c r="CA530" s="1742"/>
      <c r="CB530" s="1744"/>
      <c r="CC530" s="1732">
        <f>IF(T613&gt;0,1,0)</f>
        <v>0</v>
      </c>
      <c r="CD530" s="1734"/>
      <c r="CE530" s="1732">
        <f>IF(Y613&gt;=0.1,1,0)</f>
        <v>0</v>
      </c>
      <c r="CF530" s="173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32">
        <f>SUM(BM526:BN530)</f>
        <v>0</v>
      </c>
      <c r="BN531" s="1734"/>
      <c r="BO531" s="1732">
        <f>SUM(BO526:BP530)</f>
        <v>0</v>
      </c>
      <c r="BP531" s="1734"/>
      <c r="BQ531" s="1732">
        <f>SUM(BQ526:BR530)</f>
        <v>1</v>
      </c>
      <c r="BR531" s="1734"/>
      <c r="BS531" s="1732">
        <f>SUM(BS526:BT530)</f>
        <v>1</v>
      </c>
      <c r="BT531" s="1734"/>
      <c r="BU531" s="1732">
        <f>SUM(BU526:BV530)</f>
        <v>1</v>
      </c>
      <c r="BV531" s="1734"/>
      <c r="BW531" s="1732">
        <f>SUM(BW526:BX530)</f>
        <v>1</v>
      </c>
      <c r="BX531" s="1734"/>
      <c r="BY531" s="1732">
        <f>SUM(BY526:BZ530)</f>
        <v>0</v>
      </c>
      <c r="BZ531" s="1734"/>
      <c r="CA531" s="1732">
        <f>SUM(CA526:CB530)</f>
        <v>0</v>
      </c>
      <c r="CB531" s="1734"/>
      <c r="CC531" s="1732">
        <f>SUM(CC526:CD530)</f>
        <v>0</v>
      </c>
      <c r="CD531" s="1734"/>
      <c r="CE531" s="1732">
        <f>SUM(CE526:CF530)</f>
        <v>0</v>
      </c>
      <c r="CF531" s="1734"/>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455</v>
      </c>
      <c r="AQ532" s="1866"/>
      <c r="AR532" s="1866"/>
      <c r="AS532" s="1866"/>
      <c r="AT532" s="1867"/>
      <c r="AU532" s="1865" t="s">
        <v>456</v>
      </c>
      <c r="AV532" s="1866"/>
      <c r="AW532" s="1866"/>
      <c r="AX532" s="1866"/>
      <c r="AY532" s="1867"/>
      <c r="BM532" s="1742">
        <f>SUM(BM531:BP531)</f>
        <v>0</v>
      </c>
      <c r="BN532" s="1743"/>
      <c r="BO532" s="1743"/>
      <c r="BP532" s="1744"/>
      <c r="BQ532" s="1742">
        <f>SUM(BQ531:BT531)</f>
        <v>2</v>
      </c>
      <c r="BR532" s="1743"/>
      <c r="BS532" s="1743"/>
      <c r="BT532" s="1744"/>
      <c r="BU532" s="1742">
        <f>SUM(BU531:BX531)</f>
        <v>2</v>
      </c>
      <c r="BV532" s="1743"/>
      <c r="BW532" s="1743"/>
      <c r="BX532" s="1744"/>
      <c r="BY532" s="1742">
        <f>SUM(BY531:CB531)</f>
        <v>0</v>
      </c>
      <c r="BZ532" s="1743"/>
      <c r="CA532" s="1743"/>
      <c r="CB532" s="1744"/>
      <c r="CC532" s="1742">
        <f>SUM(CC531:CF531)</f>
        <v>0</v>
      </c>
      <c r="CD532" s="1743"/>
      <c r="CE532" s="1743"/>
      <c r="CF532" s="1744"/>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42"/>
      <c r="BN533" s="1743"/>
      <c r="BO533" s="1743"/>
      <c r="BP533" s="1744"/>
      <c r="BQ533" s="1742">
        <f>IF(AND(BQ532=2,BM532=1),1,0)</f>
        <v>0</v>
      </c>
      <c r="BR533" s="1743"/>
      <c r="BS533" s="1743"/>
      <c r="BT533" s="1744"/>
      <c r="BU533" s="1742">
        <f>IF(AND(BU532=2,BQ532=1),1,0)</f>
        <v>0</v>
      </c>
      <c r="BV533" s="1743"/>
      <c r="BW533" s="1743"/>
      <c r="BX533" s="1744"/>
      <c r="BY533" s="1742">
        <f>IF(AND(BY532=2,BU532=1),1,0)</f>
        <v>0</v>
      </c>
      <c r="BZ533" s="1743"/>
      <c r="CA533" s="1743"/>
      <c r="CB533" s="1744"/>
      <c r="CC533" s="1742">
        <f>IF(AND(CC532=2,BU532=1),1,0)</f>
        <v>0</v>
      </c>
      <c r="CD533" s="1743"/>
      <c r="CE533" s="1743"/>
      <c r="CF533" s="1744"/>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2</v>
      </c>
      <c r="AQ534" s="1861"/>
      <c r="AR534" s="1861"/>
      <c r="AS534" s="1861"/>
      <c r="AT534" s="1862"/>
      <c r="AU534" s="1860">
        <f>RANK(Y610,$Y$609:$AC$613,0)+COUNTIF($Y$609:$AC$613,Y610)-1</f>
        <v>1</v>
      </c>
      <c r="AV534" s="1861"/>
      <c r="AW534" s="1861"/>
      <c r="AX534" s="1861"/>
      <c r="AY534" s="1862"/>
      <c r="BM534" s="1742"/>
      <c r="BN534" s="1743"/>
      <c r="BO534" s="1743"/>
      <c r="BP534" s="1744"/>
      <c r="BQ534" s="1742"/>
      <c r="BR534" s="1743"/>
      <c r="BS534" s="1743"/>
      <c r="BT534" s="1744"/>
      <c r="BU534" s="1742">
        <f>IF(AND(BU532=2,BM532=1),1,0)</f>
        <v>0</v>
      </c>
      <c r="BV534" s="1743"/>
      <c r="BW534" s="1743"/>
      <c r="BX534" s="1744"/>
      <c r="BY534" s="1742">
        <f>IF(AND(BY532=2,BQ532=1),1,0)</f>
        <v>0</v>
      </c>
      <c r="BZ534" s="1743"/>
      <c r="CA534" s="1743"/>
      <c r="CB534" s="1744"/>
      <c r="CC534" s="1742">
        <f>IF(AND(CC533=2,BY533=1),1,0)</f>
        <v>0</v>
      </c>
      <c r="CD534" s="1743"/>
      <c r="CE534" s="1743"/>
      <c r="CF534" s="1744"/>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2</v>
      </c>
      <c r="AQ535" s="1861"/>
      <c r="AR535" s="1861"/>
      <c r="AS535" s="1861"/>
      <c r="AT535" s="1862"/>
      <c r="AU535" s="1860">
        <f>RANK(Y611,$Y$609:$AC$613,0)+COUNTIF($Y$609:$AC$613,Y611)-1</f>
        <v>2</v>
      </c>
      <c r="AV535" s="1861"/>
      <c r="AW535" s="1861"/>
      <c r="AX535" s="1861"/>
      <c r="AY535" s="1862"/>
      <c r="BM535" s="1742"/>
      <c r="BN535" s="1743"/>
      <c r="BO535" s="1743"/>
      <c r="BP535" s="1744"/>
      <c r="BQ535" s="1742"/>
      <c r="BR535" s="1743"/>
      <c r="BS535" s="1743"/>
      <c r="BT535" s="1744"/>
      <c r="BU535" s="1742"/>
      <c r="BV535" s="1743"/>
      <c r="BW535" s="1743"/>
      <c r="BX535" s="1744"/>
      <c r="BY535" s="1742">
        <f>IF(AND(BY532=2,BM532=1),1,0)</f>
        <v>0</v>
      </c>
      <c r="BZ535" s="1743"/>
      <c r="CA535" s="1743"/>
      <c r="CB535" s="1744"/>
      <c r="CC535" s="1742">
        <f>IF(AND(CC532=2,BQ532=1),1,0)</f>
        <v>0</v>
      </c>
      <c r="CD535" s="1743"/>
      <c r="CE535" s="1743"/>
      <c r="CF535" s="1744"/>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5</v>
      </c>
      <c r="AQ536" s="1861"/>
      <c r="AR536" s="1861"/>
      <c r="AS536" s="1861"/>
      <c r="AT536" s="1862"/>
      <c r="AU536" s="1860">
        <f>RANK(Y612,$Y$609:$AC$613,0)+COUNTIF($Y$609:$AC$613,Y612)-1</f>
        <v>5</v>
      </c>
      <c r="AV536" s="1861"/>
      <c r="AW536" s="1861"/>
      <c r="AX536" s="1861"/>
      <c r="AY536" s="1862"/>
      <c r="BM536" s="1742"/>
      <c r="BN536" s="1743"/>
      <c r="BO536" s="1743"/>
      <c r="BP536" s="1744"/>
      <c r="BQ536" s="1742"/>
      <c r="BR536" s="1743"/>
      <c r="BS536" s="1743"/>
      <c r="BT536" s="1744"/>
      <c r="BU536" s="1742"/>
      <c r="BV536" s="1743"/>
      <c r="BW536" s="1743"/>
      <c r="BX536" s="1744"/>
      <c r="BY536" s="1742"/>
      <c r="BZ536" s="1743"/>
      <c r="CA536" s="1743"/>
      <c r="CB536" s="1744"/>
      <c r="CC536" s="1742">
        <f>IF(AND(CC532=2,BM532=1),1,0)</f>
        <v>0</v>
      </c>
      <c r="CD536" s="1743"/>
      <c r="CE536" s="1743"/>
      <c r="CF536" s="1744"/>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42">
        <f>SUM(BM533:BP536)</f>
        <v>0</v>
      </c>
      <c r="BN537" s="1743"/>
      <c r="BO537" s="1743"/>
      <c r="BP537" s="1744"/>
      <c r="BQ537" s="1742">
        <f>SUM(BQ533:BT536)</f>
        <v>0</v>
      </c>
      <c r="BR537" s="1743"/>
      <c r="BS537" s="1743"/>
      <c r="BT537" s="1744"/>
      <c r="BU537" s="1742">
        <f>SUM(BU533:BX536)</f>
        <v>0</v>
      </c>
      <c r="BV537" s="1743"/>
      <c r="BW537" s="1743"/>
      <c r="BX537" s="1744"/>
      <c r="BY537" s="1742">
        <f>SUM(BY533:CB536)</f>
        <v>0</v>
      </c>
      <c r="BZ537" s="1743"/>
      <c r="CA537" s="1743"/>
      <c r="CB537" s="1744"/>
      <c r="CC537" s="1742">
        <f>SUM(CC533:CF536)</f>
        <v>0</v>
      </c>
      <c r="CD537" s="1743"/>
      <c r="CE537" s="1743"/>
      <c r="CF537" s="1744"/>
      <c r="CG537" s="1742">
        <f>SUM(BM537:CF537)</f>
        <v>0</v>
      </c>
      <c r="CH537" s="1743"/>
      <c r="CI537" s="1743"/>
      <c r="CJ537" s="1744"/>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32">
        <f>SUM(O609:S613)</f>
        <v>27</v>
      </c>
      <c r="AZ541" s="1734"/>
      <c r="CG541"/>
      <c r="CH541" s="1774" t="s">
        <v>775</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32" t="str">
        <f>IF(AY541=BK568,"passed","failed")</f>
        <v>passed</v>
      </c>
      <c r="AT542" s="1733"/>
      <c r="AU542" s="1734"/>
      <c r="AV542" s="151"/>
      <c r="AW542" s="151"/>
      <c r="AX542" s="151"/>
      <c r="AY542" s="151"/>
      <c r="AZ542" s="152"/>
      <c r="CG542"/>
      <c r="CH542" s="1457"/>
      <c r="CI542" s="1458"/>
      <c r="CJ542" s="1458"/>
      <c r="CK542" s="1459"/>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72" t="s">
        <v>365</v>
      </c>
      <c r="AF543" s="1672"/>
      <c r="AG543" s="1672"/>
      <c r="AH543" s="1672"/>
      <c r="AI543" s="1672"/>
      <c r="AJ543" s="1672"/>
      <c r="AK543" s="167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7"/>
      <c r="CI543" s="1458"/>
      <c r="CJ543" s="1458"/>
      <c r="CK543" s="1459"/>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182</v>
      </c>
      <c r="AH544" s="1692"/>
      <c r="AI544" s="1692"/>
      <c r="AJ544" s="1692"/>
      <c r="AK544" s="18"/>
      <c r="AL544" s="18"/>
      <c r="AM544" s="21"/>
      <c r="AN544" s="281"/>
      <c r="BE544" s="1742" t="s">
        <v>223</v>
      </c>
      <c r="BF544" s="1743"/>
      <c r="BG544" s="1743"/>
      <c r="BH544" s="1744"/>
      <c r="BI544" s="1742" t="s">
        <v>716</v>
      </c>
      <c r="BJ544" s="1743"/>
      <c r="BK544" s="1743"/>
      <c r="BL544" s="1744"/>
      <c r="BM544" s="1742" t="s">
        <v>717</v>
      </c>
      <c r="BN544" s="1743"/>
      <c r="BO544" s="1743"/>
      <c r="BP544" s="1744"/>
      <c r="BQ544" s="1742" t="s">
        <v>718</v>
      </c>
      <c r="BR544" s="1743"/>
      <c r="BS544" s="1743"/>
      <c r="BT544" s="1744"/>
      <c r="BU544" s="1742" t="s">
        <v>719</v>
      </c>
      <c r="BV544" s="1743"/>
      <c r="BW544" s="1743"/>
      <c r="BX544" s="1744"/>
      <c r="BY544" s="1742" t="s">
        <v>224</v>
      </c>
      <c r="BZ544" s="1743"/>
      <c r="CA544" s="1743"/>
      <c r="CB544" s="1744"/>
      <c r="CC544"/>
      <c r="CG544"/>
      <c r="CH544" s="1457"/>
      <c r="CI544" s="1458"/>
      <c r="CJ544" s="1458"/>
      <c r="CK544" s="1459"/>
    </row>
    <row r="545" spans="1:89" s="4" customFormat="1" ht="12.75" customHeight="1">
      <c r="A545" s="3"/>
      <c r="B545" s="1697" t="s">
        <v>1720</v>
      </c>
      <c r="C545" s="1697"/>
      <c r="D545" s="1697"/>
      <c r="E545" s="1697"/>
      <c r="F545" s="1697"/>
      <c r="G545" s="1697"/>
      <c r="H545" s="1697"/>
      <c r="I545" s="1697"/>
      <c r="J545" s="1697"/>
      <c r="K545" s="1697"/>
      <c r="L545" s="1697"/>
      <c r="M545" s="1697"/>
      <c r="N545" s="1697"/>
      <c r="O545" s="1697"/>
      <c r="P545" s="1697"/>
      <c r="Q545" s="1697"/>
      <c r="R545" s="1697"/>
      <c r="S545" s="1697"/>
      <c r="T545" s="1697"/>
      <c r="U545" s="1697"/>
      <c r="V545" s="1697"/>
      <c r="W545" s="1697"/>
      <c r="X545" s="1697"/>
      <c r="Y545" s="1697"/>
      <c r="Z545" s="1697"/>
      <c r="AA545" s="1697"/>
      <c r="AB545" s="1697"/>
      <c r="AC545" s="1697"/>
      <c r="AD545" s="1697"/>
      <c r="AE545" s="1697"/>
      <c r="AF545" s="1697"/>
      <c r="AG545" s="1697"/>
      <c r="AK545" s="21"/>
      <c r="AL545" s="21"/>
      <c r="AN545" s="281"/>
      <c r="AP545" s="434" t="s">
        <v>613</v>
      </c>
      <c r="AQ545" s="435"/>
      <c r="AR545" s="435"/>
      <c r="AS545" s="435"/>
      <c r="AT545" s="435"/>
      <c r="AU545" s="435"/>
      <c r="AV545" s="436"/>
      <c r="AW545" s="435"/>
      <c r="AX545" s="435"/>
      <c r="AY545" s="436"/>
      <c r="BE545" s="1732">
        <f>IF(CH546=1,0,1)</f>
        <v>0</v>
      </c>
      <c r="BF545" s="1733"/>
      <c r="BG545" s="1733"/>
      <c r="BH545" s="1734"/>
      <c r="BI545" s="1732"/>
      <c r="BJ545" s="1733"/>
      <c r="BK545" s="1733"/>
      <c r="BL545" s="1734"/>
      <c r="BM545" s="1732"/>
      <c r="BN545" s="1733"/>
      <c r="BO545" s="1733"/>
      <c r="BP545" s="1734"/>
      <c r="BQ545" s="1732"/>
      <c r="BR545" s="1733"/>
      <c r="BS545" s="1733"/>
      <c r="BT545" s="1734"/>
      <c r="BU545" s="1742"/>
      <c r="BV545" s="1743"/>
      <c r="BW545" s="1743"/>
      <c r="BX545" s="1744"/>
      <c r="BY545" s="1742"/>
      <c r="BZ545" s="1743"/>
      <c r="CA545" s="1743"/>
      <c r="CB545" s="1744"/>
      <c r="CC545"/>
      <c r="CG545"/>
      <c r="CH545" s="1508"/>
      <c r="CI545" s="1509"/>
      <c r="CJ545" s="1509"/>
      <c r="CK545" s="1510"/>
    </row>
    <row r="546" spans="1:89" s="4" customFormat="1" ht="12.75" customHeight="1">
      <c r="A546" s="20"/>
      <c r="B546" s="1697"/>
      <c r="C546" s="1697"/>
      <c r="D546" s="1697"/>
      <c r="E546" s="1697"/>
      <c r="F546" s="1697"/>
      <c r="G546" s="1697"/>
      <c r="H546" s="1697"/>
      <c r="I546" s="1697"/>
      <c r="J546" s="1697"/>
      <c r="K546" s="1697"/>
      <c r="L546" s="1697"/>
      <c r="M546" s="1697"/>
      <c r="N546" s="1697"/>
      <c r="O546" s="1697"/>
      <c r="P546" s="1697"/>
      <c r="Q546" s="1697"/>
      <c r="R546" s="1697"/>
      <c r="S546" s="1697"/>
      <c r="T546" s="1697"/>
      <c r="U546" s="1697"/>
      <c r="V546" s="1697"/>
      <c r="W546" s="1697"/>
      <c r="X546" s="1697"/>
      <c r="Y546" s="1697"/>
      <c r="Z546" s="1697"/>
      <c r="AA546" s="1697"/>
      <c r="AB546" s="1697"/>
      <c r="AC546" s="1697"/>
      <c r="AD546" s="1697"/>
      <c r="AE546" s="1697"/>
      <c r="AF546" s="1697"/>
      <c r="AG546" s="1697"/>
      <c r="AK546" s="163"/>
      <c r="AL546" s="163"/>
      <c r="AM546" s="163"/>
      <c r="AN546" s="281"/>
      <c r="AP546" s="437" t="s">
        <v>611</v>
      </c>
      <c r="AQ546" s="438"/>
      <c r="AR546" s="438"/>
      <c r="AS546" s="438"/>
      <c r="AT546" s="438"/>
      <c r="AU546" s="1764">
        <f>ROUNDUP(BK568*0.1,0)</f>
        <v>3</v>
      </c>
      <c r="AV546" s="1766"/>
      <c r="AW546" s="438"/>
      <c r="AX546" s="438">
        <f>AU546-AP548</f>
        <v>-1</v>
      </c>
      <c r="AY546" s="439"/>
      <c r="BE546" s="1732"/>
      <c r="BF546" s="1733"/>
      <c r="BG546" s="1733"/>
      <c r="BH546" s="1734"/>
      <c r="BI546" s="1732">
        <f>IF(AND(CH547=1,BE545=0),0,1)</f>
        <v>0</v>
      </c>
      <c r="BJ546" s="1733"/>
      <c r="BK546" s="1733"/>
      <c r="BL546" s="1734"/>
      <c r="BM546" s="1732"/>
      <c r="BN546" s="1733"/>
      <c r="BO546" s="1733"/>
      <c r="BP546" s="1734"/>
      <c r="BQ546" s="1732"/>
      <c r="BR546" s="1733"/>
      <c r="BS546" s="1733"/>
      <c r="BT546" s="1734"/>
      <c r="BU546" s="1742"/>
      <c r="BV546" s="1743"/>
      <c r="BW546" s="1743"/>
      <c r="BX546" s="1744"/>
      <c r="BY546" s="1742"/>
      <c r="BZ546" s="1743"/>
      <c r="CA546" s="1743"/>
      <c r="CB546" s="1744"/>
      <c r="CC546"/>
      <c r="CG546"/>
      <c r="CH546" s="1742">
        <f>IF(OR(Y609=0,Y609&gt;=0.1),1,0)</f>
        <v>1</v>
      </c>
      <c r="CI546" s="1743"/>
      <c r="CJ546" s="1743"/>
      <c r="CK546" s="1744"/>
    </row>
    <row r="547" spans="1:89" s="4" customFormat="1" ht="12.75" customHeight="1">
      <c r="B547" s="1697"/>
      <c r="C547" s="1697"/>
      <c r="D547" s="1697"/>
      <c r="E547" s="1697"/>
      <c r="F547" s="1697"/>
      <c r="G547" s="1697"/>
      <c r="H547" s="1697"/>
      <c r="I547" s="1697"/>
      <c r="J547" s="1697"/>
      <c r="K547" s="1697"/>
      <c r="L547" s="1697"/>
      <c r="M547" s="1697"/>
      <c r="N547" s="1697"/>
      <c r="O547" s="1697"/>
      <c r="P547" s="1697"/>
      <c r="Q547" s="1697"/>
      <c r="R547" s="1697"/>
      <c r="S547" s="1697"/>
      <c r="T547" s="1697"/>
      <c r="U547" s="1697"/>
      <c r="V547" s="1697"/>
      <c r="W547" s="1697"/>
      <c r="X547" s="1697"/>
      <c r="Y547" s="1697"/>
      <c r="Z547" s="1697"/>
      <c r="AA547" s="1697"/>
      <c r="AB547" s="1697"/>
      <c r="AC547" s="1697"/>
      <c r="AD547" s="1697"/>
      <c r="AE547" s="1697"/>
      <c r="AF547" s="1697"/>
      <c r="AG547" s="1697"/>
      <c r="AH547" s="162"/>
      <c r="AI547" s="162"/>
      <c r="AJ547" s="162"/>
      <c r="AK547" s="163"/>
      <c r="AL547" s="163"/>
      <c r="AM547" s="163"/>
      <c r="AN547" s="281"/>
      <c r="AP547" s="437"/>
      <c r="AQ547" s="438"/>
      <c r="AR547" s="438"/>
      <c r="AS547" s="438"/>
      <c r="AT547" s="438"/>
      <c r="AU547" s="438"/>
      <c r="AV547" s="439"/>
      <c r="AW547" s="438"/>
      <c r="AX547" s="438"/>
      <c r="AY547" s="439"/>
      <c r="BE547" s="1732"/>
      <c r="BF547" s="1733"/>
      <c r="BG547" s="1733"/>
      <c r="BH547" s="1734"/>
      <c r="BI547" s="1732"/>
      <c r="BJ547" s="1733"/>
      <c r="BK547" s="1733"/>
      <c r="BL547" s="1734"/>
      <c r="BM547" s="1732">
        <f>IF(AND(AND(CH548=1,BI546=0,BE545=0)),0,1)</f>
        <v>0</v>
      </c>
      <c r="BN547" s="1733"/>
      <c r="BO547" s="1733"/>
      <c r="BP547" s="1734"/>
      <c r="BQ547" s="1732"/>
      <c r="BR547" s="1733"/>
      <c r="BS547" s="1733"/>
      <c r="BT547" s="1734"/>
      <c r="BU547" s="1742"/>
      <c r="BV547" s="1743"/>
      <c r="BW547" s="1743"/>
      <c r="BX547" s="1744"/>
      <c r="BY547" s="1742"/>
      <c r="BZ547" s="1743"/>
      <c r="CA547" s="1743"/>
      <c r="CB547" s="1744"/>
      <c r="CC547"/>
      <c r="CG547"/>
      <c r="CH547" s="1742">
        <f>IF(OR(Y610=0,Y610&gt;=0.1),1,0)</f>
        <v>1</v>
      </c>
      <c r="CI547" s="1743"/>
      <c r="CJ547" s="1743"/>
      <c r="CK547" s="1744"/>
    </row>
    <row r="548" spans="1:89" s="4" customFormat="1" ht="12.75" customHeight="1">
      <c r="B548" s="1697"/>
      <c r="C548" s="1697"/>
      <c r="D548" s="1697"/>
      <c r="E548" s="1697"/>
      <c r="F548" s="1697"/>
      <c r="G548" s="1697"/>
      <c r="H548" s="1697"/>
      <c r="I548" s="1697"/>
      <c r="J548" s="1697"/>
      <c r="K548" s="1697"/>
      <c r="L548" s="1697"/>
      <c r="M548" s="1697"/>
      <c r="N548" s="1697"/>
      <c r="O548" s="1697"/>
      <c r="P548" s="1697"/>
      <c r="Q548" s="1697"/>
      <c r="R548" s="1697"/>
      <c r="S548" s="1697"/>
      <c r="T548" s="1697"/>
      <c r="U548" s="1697"/>
      <c r="V548" s="1697"/>
      <c r="W548" s="1697"/>
      <c r="X548" s="1697"/>
      <c r="Y548" s="1697"/>
      <c r="Z548" s="1697"/>
      <c r="AA548" s="1697"/>
      <c r="AB548" s="1697"/>
      <c r="AC548" s="1697"/>
      <c r="AD548" s="1697"/>
      <c r="AE548" s="1697"/>
      <c r="AF548" s="1697"/>
      <c r="AG548" s="1697"/>
      <c r="AH548" s="162"/>
      <c r="AI548" s="162"/>
      <c r="AJ548" s="162"/>
      <c r="AK548" s="163"/>
      <c r="AL548" s="163"/>
      <c r="AM548" s="163"/>
      <c r="AN548" s="281"/>
      <c r="AP548" s="1857">
        <f>SUM(T609:X613)</f>
        <v>4</v>
      </c>
      <c r="AQ548" s="1858"/>
      <c r="AR548" s="1858"/>
      <c r="AS548" s="1858"/>
      <c r="AT548" s="1859"/>
      <c r="AU548" s="438"/>
      <c r="AV548" s="439"/>
      <c r="AW548" s="438"/>
      <c r="AX548" s="438"/>
      <c r="AY548" s="439"/>
      <c r="BE548" s="1732"/>
      <c r="BF548" s="1733"/>
      <c r="BG548" s="1733"/>
      <c r="BH548" s="1734"/>
      <c r="BI548" s="1732"/>
      <c r="BJ548" s="1733"/>
      <c r="BK548" s="1733"/>
      <c r="BL548" s="1734"/>
      <c r="BM548" s="1732"/>
      <c r="BN548" s="1733"/>
      <c r="BO548" s="1733"/>
      <c r="BP548" s="1734"/>
      <c r="BQ548" s="1732">
        <f>IF(AND(AND(AND(CH549=1,BM547=0,BI546=0,BE545=0))),0,1)</f>
        <v>0</v>
      </c>
      <c r="BR548" s="1733"/>
      <c r="BS548" s="1733"/>
      <c r="BT548" s="1734"/>
      <c r="BU548" s="1742"/>
      <c r="BV548" s="1743"/>
      <c r="BW548" s="1743"/>
      <c r="BX548" s="1744"/>
      <c r="BY548" s="1742"/>
      <c r="BZ548" s="1743"/>
      <c r="CA548" s="1743"/>
      <c r="CB548" s="1744"/>
      <c r="CC548"/>
      <c r="CG548"/>
      <c r="CH548" s="1742">
        <f>IF(OR(Y611=0,Y611&gt;=0.1),1,0)</f>
        <v>1</v>
      </c>
      <c r="CI548" s="1743"/>
      <c r="CJ548" s="1743"/>
      <c r="CK548" s="1744"/>
    </row>
    <row r="549" spans="1:89" s="4" customFormat="1" ht="12.75" customHeight="1">
      <c r="B549" s="1697"/>
      <c r="C549" s="1697"/>
      <c r="D549" s="1697"/>
      <c r="E549" s="1697"/>
      <c r="F549" s="1697"/>
      <c r="G549" s="1697"/>
      <c r="H549" s="1697"/>
      <c r="I549" s="1697"/>
      <c r="J549" s="1697"/>
      <c r="K549" s="1697"/>
      <c r="L549" s="1697"/>
      <c r="M549" s="1697"/>
      <c r="N549" s="1697"/>
      <c r="O549" s="1697"/>
      <c r="P549" s="1697"/>
      <c r="Q549" s="1697"/>
      <c r="R549" s="1697"/>
      <c r="S549" s="1697"/>
      <c r="T549" s="1697"/>
      <c r="U549" s="1697"/>
      <c r="V549" s="1697"/>
      <c r="W549" s="1697"/>
      <c r="X549" s="1697"/>
      <c r="Y549" s="1697"/>
      <c r="Z549" s="1697"/>
      <c r="AA549" s="1697"/>
      <c r="AB549" s="1697"/>
      <c r="AC549" s="1697"/>
      <c r="AD549" s="1697"/>
      <c r="AE549" s="1697"/>
      <c r="AF549" s="1697"/>
      <c r="AG549" s="1697"/>
      <c r="AH549" s="162"/>
      <c r="AI549" s="162"/>
      <c r="AJ549" s="162"/>
      <c r="AK549" s="163"/>
      <c r="AL549" s="163"/>
      <c r="AM549" s="163"/>
      <c r="AN549" s="281"/>
      <c r="AP549" s="440"/>
      <c r="AQ549" s="441"/>
      <c r="AR549" s="441"/>
      <c r="AS549" s="441"/>
      <c r="AT549" s="442" t="s">
        <v>606</v>
      </c>
      <c r="AU549" s="1764" t="str">
        <f>IF(AP548&gt;=AU546,"passed","failed")</f>
        <v>passed</v>
      </c>
      <c r="AV549" s="1765"/>
      <c r="AW549" s="1766"/>
      <c r="AX549" s="443"/>
      <c r="AY549" s="444"/>
      <c r="BE549" s="1732"/>
      <c r="BF549" s="1733"/>
      <c r="BG549" s="1733"/>
      <c r="BH549" s="1734"/>
      <c r="BI549" s="1732"/>
      <c r="BJ549" s="1733"/>
      <c r="BK549" s="1733"/>
      <c r="BL549" s="1734"/>
      <c r="BM549" s="1732"/>
      <c r="BN549" s="1733"/>
      <c r="BO549" s="1733"/>
      <c r="BP549" s="1734"/>
      <c r="BQ549" s="1732"/>
      <c r="BR549" s="1733"/>
      <c r="BS549" s="1733"/>
      <c r="BT549" s="1734"/>
      <c r="BU549" s="1732">
        <f>IF(AND(AND(AND(AND(CH550=1,BQ548=0,BM547=0,BI546=0,BE545=0)))),0,1)</f>
        <v>0</v>
      </c>
      <c r="BV549" s="1733"/>
      <c r="BW549" s="1733"/>
      <c r="BX549" s="1734"/>
      <c r="BY549" s="1742"/>
      <c r="BZ549" s="1743"/>
      <c r="CA549" s="1743"/>
      <c r="CB549" s="1744"/>
      <c r="CC549"/>
      <c r="CD549"/>
      <c r="CE549"/>
      <c r="CF549"/>
      <c r="CG549"/>
      <c r="CH549" s="1742">
        <f>IF(OR(Y612=0,Y612&gt;=0.1),1,0)</f>
        <v>1</v>
      </c>
      <c r="CI549" s="1743"/>
      <c r="CJ549" s="1743"/>
      <c r="CK549" s="1744"/>
    </row>
    <row r="550" spans="1:89" s="4" customFormat="1" ht="13.7" customHeight="1">
      <c r="B550" s="1697"/>
      <c r="C550" s="1697"/>
      <c r="D550" s="1697"/>
      <c r="E550" s="1697"/>
      <c r="F550" s="1697"/>
      <c r="G550" s="1697"/>
      <c r="H550" s="1697"/>
      <c r="I550" s="1697"/>
      <c r="J550" s="1697"/>
      <c r="K550" s="1697"/>
      <c r="L550" s="1697"/>
      <c r="M550" s="1697"/>
      <c r="N550" s="1697"/>
      <c r="O550" s="1697"/>
      <c r="P550" s="1697"/>
      <c r="Q550" s="1697"/>
      <c r="R550" s="1697"/>
      <c r="S550" s="1697"/>
      <c r="T550" s="1697"/>
      <c r="U550" s="1697"/>
      <c r="V550" s="1697"/>
      <c r="W550" s="1697"/>
      <c r="X550" s="1697"/>
      <c r="Y550" s="1697"/>
      <c r="Z550" s="1697"/>
      <c r="AA550" s="1697"/>
      <c r="AB550" s="1697"/>
      <c r="AC550" s="1697"/>
      <c r="AD550" s="1697"/>
      <c r="AE550" s="1697"/>
      <c r="AF550" s="1697"/>
      <c r="AG550" s="1697"/>
      <c r="AH550" s="162"/>
      <c r="AI550" s="162"/>
      <c r="AJ550" s="162"/>
      <c r="AK550" s="163"/>
      <c r="AL550" s="163"/>
      <c r="AM550" s="163"/>
      <c r="AN550" s="281"/>
      <c r="BE550" s="1732">
        <f>SUM(BE545:BH549)</f>
        <v>0</v>
      </c>
      <c r="BF550" s="1733"/>
      <c r="BG550" s="1733"/>
      <c r="BH550" s="1734"/>
      <c r="BI550" s="1732">
        <f>SUM(BI545:BL549)</f>
        <v>0</v>
      </c>
      <c r="BJ550" s="1733"/>
      <c r="BK550" s="1733"/>
      <c r="BL550" s="1734"/>
      <c r="BM550" s="1732">
        <f>SUM(BM545:BP549)</f>
        <v>0</v>
      </c>
      <c r="BN550" s="1733"/>
      <c r="BO550" s="1733"/>
      <c r="BP550" s="1734"/>
      <c r="BQ550" s="1732">
        <f>SUM(BQ545:BT549)</f>
        <v>0</v>
      </c>
      <c r="BR550" s="1733"/>
      <c r="BS550" s="1733"/>
      <c r="BT550" s="1734"/>
      <c r="BU550" s="1732">
        <f>SUM(BU545:BX549)</f>
        <v>0</v>
      </c>
      <c r="BV550" s="1733"/>
      <c r="BW550" s="1733"/>
      <c r="BX550" s="1734"/>
      <c r="BY550" s="1732">
        <f>SUM(BY545:CB549)</f>
        <v>0</v>
      </c>
      <c r="BZ550" s="1733"/>
      <c r="CA550" s="1733"/>
      <c r="CB550" s="1734"/>
      <c r="CC550" s="1742">
        <f>IF(AND(CH546=1,T609&gt;0),0,SUM(BE550:CB550))</f>
        <v>0</v>
      </c>
      <c r="CD550" s="1743"/>
      <c r="CE550" s="1743"/>
      <c r="CF550" s="1744"/>
      <c r="CG550"/>
      <c r="CH550" s="1742">
        <f>IF(OR(Y613=0,Y613&gt;=0.1),1,0)</f>
        <v>1</v>
      </c>
      <c r="CI550" s="1743"/>
      <c r="CJ550" s="1743"/>
      <c r="CK550" s="1744"/>
    </row>
    <row r="551" spans="1:89" s="4" customFormat="1" ht="12.4" customHeight="1">
      <c r="B551" s="1745" t="s">
        <v>1499</v>
      </c>
      <c r="C551" s="1745"/>
      <c r="D551" s="1745"/>
      <c r="E551" s="1745"/>
      <c r="F551" s="1745"/>
      <c r="G551" s="1745"/>
      <c r="H551" s="1745"/>
      <c r="I551" s="1745"/>
      <c r="J551" s="1745"/>
      <c r="K551" s="1745"/>
      <c r="L551" s="1745"/>
      <c r="M551" s="1745"/>
      <c r="N551" s="1745"/>
      <c r="O551" s="1745"/>
      <c r="P551" s="1745"/>
      <c r="Q551" s="1745"/>
      <c r="R551" s="1745"/>
      <c r="S551" s="1745"/>
      <c r="T551" s="1745"/>
      <c r="U551" s="1745"/>
      <c r="V551" s="1745"/>
      <c r="W551" s="1745"/>
      <c r="X551" s="1745"/>
      <c r="Y551" s="1745"/>
      <c r="Z551" s="1745"/>
      <c r="AA551" s="1745"/>
      <c r="AB551" s="1745"/>
      <c r="AC551" s="1745"/>
      <c r="AD551" s="1745"/>
      <c r="AE551" s="1745"/>
      <c r="AF551" s="1745"/>
      <c r="AG551" s="1745"/>
      <c r="AH551" s="162"/>
      <c r="AI551" s="162"/>
      <c r="AJ551" s="162"/>
      <c r="AK551" s="163"/>
      <c r="AL551" s="163"/>
      <c r="AM551" s="163"/>
      <c r="AN551" s="281"/>
    </row>
    <row r="552" spans="1:89" s="4" customFormat="1" ht="21" customHeight="1">
      <c r="B552" s="1745"/>
      <c r="C552" s="1745"/>
      <c r="D552" s="1745"/>
      <c r="E552" s="1745"/>
      <c r="F552" s="1745"/>
      <c r="G552" s="1745"/>
      <c r="H552" s="1745"/>
      <c r="I552" s="1745"/>
      <c r="J552" s="1745"/>
      <c r="K552" s="1745"/>
      <c r="L552" s="1745"/>
      <c r="M552" s="1745"/>
      <c r="N552" s="1745"/>
      <c r="O552" s="1745"/>
      <c r="P552" s="1745"/>
      <c r="Q552" s="1745"/>
      <c r="R552" s="1745"/>
      <c r="S552" s="1745"/>
      <c r="T552" s="1745"/>
      <c r="U552" s="1745"/>
      <c r="V552" s="1745"/>
      <c r="W552" s="1745"/>
      <c r="X552" s="1745"/>
      <c r="Y552" s="1745"/>
      <c r="Z552" s="1745"/>
      <c r="AA552" s="1745"/>
      <c r="AB552" s="1745"/>
      <c r="AC552" s="1745"/>
      <c r="AD552" s="1745"/>
      <c r="AE552" s="1745"/>
      <c r="AF552" s="1745"/>
      <c r="AG552" s="174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45" t="s">
        <v>1762</v>
      </c>
      <c r="C553" s="1745"/>
      <c r="D553" s="1745"/>
      <c r="E553" s="1745"/>
      <c r="F553" s="1745"/>
      <c r="G553" s="1745"/>
      <c r="H553" s="1745"/>
      <c r="I553" s="1745"/>
      <c r="J553" s="1745"/>
      <c r="K553" s="1745"/>
      <c r="L553" s="1745"/>
      <c r="M553" s="1745"/>
      <c r="N553" s="1745"/>
      <c r="O553" s="1745"/>
      <c r="P553" s="1745"/>
      <c r="Q553" s="1745"/>
      <c r="R553" s="1745"/>
      <c r="S553" s="1745"/>
      <c r="T553" s="1745"/>
      <c r="U553" s="1745"/>
      <c r="V553" s="1745"/>
      <c r="W553" s="1745"/>
      <c r="X553" s="1745"/>
      <c r="Y553" s="1745"/>
      <c r="Z553" s="1745"/>
      <c r="AA553" s="1745"/>
      <c r="AB553" s="1745"/>
      <c r="AC553" s="1745"/>
      <c r="AD553" s="1745"/>
      <c r="AE553" s="1745"/>
      <c r="AF553" s="174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45"/>
      <c r="C554" s="1745"/>
      <c r="D554" s="1745"/>
      <c r="E554" s="1745"/>
      <c r="F554" s="1745"/>
      <c r="G554" s="1745"/>
      <c r="H554" s="1745"/>
      <c r="I554" s="1745"/>
      <c r="J554" s="1745"/>
      <c r="K554" s="1745"/>
      <c r="L554" s="1745"/>
      <c r="M554" s="1745"/>
      <c r="N554" s="1745"/>
      <c r="O554" s="1745"/>
      <c r="P554" s="1745"/>
      <c r="Q554" s="1745"/>
      <c r="R554" s="1745"/>
      <c r="S554" s="1745"/>
      <c r="T554" s="1745"/>
      <c r="U554" s="1745"/>
      <c r="V554" s="1745"/>
      <c r="W554" s="1745"/>
      <c r="X554" s="1745"/>
      <c r="Y554" s="1745"/>
      <c r="Z554" s="1745"/>
      <c r="AA554" s="1745"/>
      <c r="AB554" s="1745"/>
      <c r="AC554" s="1745"/>
      <c r="AD554" s="1745"/>
      <c r="AE554" s="1745"/>
      <c r="AF554" s="1745"/>
      <c r="AG554" s="162"/>
      <c r="AH554" s="162"/>
      <c r="AI554" s="162"/>
      <c r="AJ554" s="162"/>
      <c r="AK554" s="163"/>
      <c r="AL554" s="163"/>
      <c r="AM554" s="163"/>
      <c r="AN554" s="281"/>
      <c r="AP554" s="150"/>
      <c r="AQ554" s="151"/>
      <c r="AR554" s="151"/>
      <c r="AS554" s="151"/>
      <c r="AT554" s="157" t="s">
        <v>606</v>
      </c>
      <c r="AU554" s="151"/>
      <c r="AV554" s="1732" t="str">
        <f>IF(BJ590&gt;0,"failed","passed")</f>
        <v>passed</v>
      </c>
      <c r="AW554" s="1733"/>
      <c r="AX554" s="1733"/>
      <c r="AY554" s="1734"/>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79" t="s">
        <v>1500</v>
      </c>
      <c r="R557" s="1679"/>
      <c r="S557" s="1679"/>
      <c r="T557" s="1679"/>
      <c r="U557" s="1679"/>
      <c r="V557" s="1679"/>
      <c r="W557" s="1679"/>
      <c r="X557" s="1679"/>
      <c r="Y557" s="1679"/>
      <c r="Z557" s="1679"/>
      <c r="AA557" s="1679"/>
      <c r="AB557" s="1679"/>
      <c r="AC557" s="1679"/>
      <c r="AD557" s="1679"/>
      <c r="AE557" s="1679"/>
      <c r="AF557" s="1679"/>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79"/>
      <c r="R558" s="1679"/>
      <c r="S558" s="1679"/>
      <c r="T558" s="1679"/>
      <c r="U558" s="1679"/>
      <c r="V558" s="1679"/>
      <c r="W558" s="1679"/>
      <c r="X558" s="1679"/>
      <c r="Y558" s="1679"/>
      <c r="Z558" s="1679"/>
      <c r="AA558" s="1679"/>
      <c r="AB558" s="1679"/>
      <c r="AC558" s="1679"/>
      <c r="AD558" s="1679"/>
      <c r="AE558" s="1679"/>
      <c r="AF558" s="1679"/>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1761</v>
      </c>
      <c r="R559" s="1683"/>
      <c r="S559" s="1807" t="s">
        <v>204</v>
      </c>
      <c r="T559" s="1807"/>
      <c r="U559" s="1682">
        <v>0.5</v>
      </c>
      <c r="V559" s="1683"/>
      <c r="W559" s="1682">
        <v>0.45</v>
      </c>
      <c r="X559" s="1683"/>
      <c r="Y559" s="1682">
        <v>0.4</v>
      </c>
      <c r="Z559" s="1683"/>
      <c r="AA559" s="1682">
        <v>0.35</v>
      </c>
      <c r="AB559" s="1683"/>
      <c r="AC559" s="1762">
        <v>0.3</v>
      </c>
      <c r="AD559" s="1763"/>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45"/>
      <c r="P560" s="1646"/>
      <c r="Q560" s="1669"/>
      <c r="R560" s="1670"/>
      <c r="S560" s="1746"/>
      <c r="T560" s="1746"/>
      <c r="U560" s="1670"/>
      <c r="V560" s="1670"/>
      <c r="W560" s="1670"/>
      <c r="X560" s="1670"/>
      <c r="Y560" s="1670"/>
      <c r="Z560" s="1670"/>
      <c r="AA560" s="1735"/>
      <c r="AB560" s="1735"/>
      <c r="AC560" s="1670"/>
      <c r="AD560" s="1670"/>
      <c r="AE560" s="1760"/>
      <c r="AF560" s="1761"/>
      <c r="AN560" s="281"/>
      <c r="AP560" s="144" t="s">
        <v>713</v>
      </c>
      <c r="AQ560" s="9"/>
      <c r="AR560" s="9"/>
      <c r="AS560" s="9"/>
      <c r="AT560" s="1742" t="str">
        <f>IF(OR(AV554="passed",BD558="passed"),"passed","failed")</f>
        <v>passed</v>
      </c>
      <c r="AU560" s="1743"/>
      <c r="AV560" s="1743"/>
      <c r="AW560" s="1743"/>
      <c r="AX560" s="1744"/>
    </row>
    <row r="561" spans="1:96" s="4" customFormat="1" ht="12.75" customHeight="1">
      <c r="B561" s="63"/>
      <c r="I561" s="220"/>
      <c r="J561" s="162"/>
      <c r="N561" s="5"/>
      <c r="O561" s="1645"/>
      <c r="P561" s="1646"/>
      <c r="Q561" s="1652"/>
      <c r="R561" s="1651"/>
      <c r="S561" s="1651"/>
      <c r="T561" s="1651"/>
      <c r="U561" s="1651"/>
      <c r="V561" s="1651"/>
      <c r="W561" s="1651"/>
      <c r="X561" s="1651"/>
      <c r="Y561" s="1666"/>
      <c r="Z561" s="1666"/>
      <c r="AA561" s="1651"/>
      <c r="AB561" s="1651"/>
      <c r="AC561" s="1666"/>
      <c r="AD561" s="1666"/>
      <c r="AE561" s="1680"/>
      <c r="AF561" s="1681"/>
      <c r="AN561" s="281"/>
      <c r="AP561"/>
      <c r="AQ561"/>
      <c r="AR561"/>
      <c r="AS561"/>
      <c r="AT561"/>
      <c r="AU561"/>
      <c r="AV561"/>
      <c r="AW561"/>
      <c r="AX561"/>
      <c r="AY561"/>
    </row>
    <row r="562" spans="1:96" s="4" customFormat="1" ht="12.75" customHeight="1">
      <c r="B562" s="63"/>
      <c r="I562" s="220"/>
      <c r="J562" s="162"/>
      <c r="N562" s="5"/>
      <c r="O562" s="1645"/>
      <c r="P562" s="1646"/>
      <c r="Q562" s="1652"/>
      <c r="R562" s="1651"/>
      <c r="S562" s="1651"/>
      <c r="T562" s="1651"/>
      <c r="U562" s="1651"/>
      <c r="V562" s="1651"/>
      <c r="W562" s="1651"/>
      <c r="X562" s="1651"/>
      <c r="Y562" s="1651"/>
      <c r="Z562" s="1651"/>
      <c r="AA562" s="1666"/>
      <c r="AB562" s="1666"/>
      <c r="AC562" s="1651"/>
      <c r="AD562" s="1651"/>
      <c r="AE562" s="1770"/>
      <c r="AF562" s="1771"/>
      <c r="AN562" s="281"/>
      <c r="AP562" s="153" t="s">
        <v>607</v>
      </c>
      <c r="AQ562" s="154"/>
      <c r="AR562" s="154"/>
      <c r="AS562" s="154"/>
      <c r="AT562" s="154"/>
      <c r="AU562" s="154"/>
      <c r="AV562" s="155"/>
      <c r="AW562" s="1767" t="str">
        <f>IF(AND(AND(AND(AND(AS542="passed",AU549="passed",BD558="passed",SUM(T609:X613)&gt;1)))),"YES","NO")</f>
        <v>YES</v>
      </c>
      <c r="AX562" s="1768"/>
      <c r="AY562" s="1769"/>
      <c r="AZ562" s="40"/>
      <c r="BA562" s="40"/>
      <c r="BB562" s="40"/>
      <c r="BC562" s="40"/>
      <c r="BD562" s="40"/>
      <c r="BE562" s="21"/>
      <c r="BF562" s="21"/>
      <c r="BG562" s="21"/>
    </row>
    <row r="563" spans="1:96" s="4" customFormat="1" ht="12.75" customHeight="1">
      <c r="B563" s="63"/>
      <c r="I563" s="220"/>
      <c r="J563" s="162"/>
      <c r="N563" s="5"/>
      <c r="O563" s="1645"/>
      <c r="P563" s="1646"/>
      <c r="Q563" s="1652"/>
      <c r="R563" s="1651"/>
      <c r="S563" s="1651"/>
      <c r="T563" s="1651"/>
      <c r="U563" s="1651"/>
      <c r="V563" s="1651"/>
      <c r="W563" s="1651"/>
      <c r="X563" s="1651"/>
      <c r="Y563" s="1666"/>
      <c r="Z563" s="1666"/>
      <c r="AA563" s="1651"/>
      <c r="AB563" s="1651"/>
      <c r="AC563" s="1666"/>
      <c r="AD563" s="1666"/>
      <c r="AE563" s="1680"/>
      <c r="AF563" s="1681"/>
      <c r="AN563" s="281"/>
    </row>
    <row r="564" spans="1:96" s="4" customFormat="1" ht="12.75" customHeight="1">
      <c r="B564" s="63"/>
      <c r="I564" s="220"/>
      <c r="J564" s="162"/>
      <c r="N564" s="5"/>
      <c r="O564" s="1645"/>
      <c r="P564" s="1646"/>
      <c r="Q564" s="1652"/>
      <c r="R564" s="1651"/>
      <c r="S564" s="1651"/>
      <c r="T564" s="1651"/>
      <c r="U564" s="1651"/>
      <c r="V564" s="1651"/>
      <c r="W564" s="1666"/>
      <c r="X564" s="1666"/>
      <c r="Y564" s="1651"/>
      <c r="Z564" s="1651"/>
      <c r="AA564" s="1666"/>
      <c r="AB564" s="1666"/>
      <c r="AC564" s="1651"/>
      <c r="AD564" s="1651"/>
      <c r="AE564" s="1770"/>
      <c r="AF564" s="1771"/>
      <c r="AN564" s="281"/>
    </row>
    <row r="565" spans="1:96" s="4" customFormat="1" ht="12.75" customHeight="1">
      <c r="B565" s="63"/>
      <c r="I565" s="220"/>
      <c r="J565" s="162"/>
      <c r="N565" s="5"/>
      <c r="O565" s="1645"/>
      <c r="P565" s="1646"/>
      <c r="Q565" s="1652"/>
      <c r="R565" s="1651"/>
      <c r="S565" s="1651"/>
      <c r="T565" s="1651"/>
      <c r="U565" s="1651"/>
      <c r="V565" s="1651"/>
      <c r="W565" s="1651"/>
      <c r="X565" s="1651"/>
      <c r="Y565" s="1666"/>
      <c r="Z565" s="1666"/>
      <c r="AA565" s="1651"/>
      <c r="AB565" s="1651"/>
      <c r="AC565" s="1666"/>
      <c r="AD565" s="1666"/>
      <c r="AE565" s="1680"/>
      <c r="AF565" s="1681"/>
      <c r="AN565" s="281"/>
      <c r="AU565" s="21"/>
      <c r="AV565" s="21"/>
      <c r="AW565" s="8"/>
      <c r="AX565" s="9"/>
      <c r="AY565" s="9"/>
      <c r="AZ565" s="60" t="s">
        <v>1126</v>
      </c>
      <c r="BA565" s="1775" t="s">
        <v>714</v>
      </c>
      <c r="BB565" s="1776"/>
      <c r="BC565" s="1776"/>
      <c r="BD565" s="1776"/>
      <c r="BE565" s="1777"/>
      <c r="BF565" s="1739">
        <f>SUM(O609:S613)</f>
        <v>27</v>
      </c>
      <c r="BG565" s="1740"/>
      <c r="BH565" s="1740"/>
      <c r="BI565" s="1740"/>
      <c r="BJ565" s="1741"/>
      <c r="BK565" s="1657">
        <f>SUM(T609:X613)</f>
        <v>4</v>
      </c>
      <c r="BL565" s="1658"/>
      <c r="BM565" s="1658"/>
      <c r="BN565" s="1658"/>
      <c r="BO565" s="1659"/>
    </row>
    <row r="566" spans="1:96" s="4" customFormat="1" ht="12.75" customHeight="1">
      <c r="B566" s="35"/>
      <c r="I566" s="1286" t="s">
        <v>1498</v>
      </c>
      <c r="J566" s="1287"/>
      <c r="K566" s="1287"/>
      <c r="L566" s="1287"/>
      <c r="M566" s="1287"/>
      <c r="N566" s="1288"/>
      <c r="O566" s="1645">
        <v>0.5</v>
      </c>
      <c r="P566" s="1646"/>
      <c r="Q566" s="1653"/>
      <c r="R566" s="1654"/>
      <c r="S566" s="1651"/>
      <c r="T566" s="1651"/>
      <c r="U566" s="1655" t="s">
        <v>1502</v>
      </c>
      <c r="V566" s="1655"/>
      <c r="W566" s="1667">
        <v>37.5</v>
      </c>
      <c r="X566" s="1667"/>
      <c r="Y566" s="1654"/>
      <c r="Z566" s="1654"/>
      <c r="AA566" s="1667"/>
      <c r="AB566" s="1667"/>
      <c r="AC566" s="1654"/>
      <c r="AD566" s="1654"/>
      <c r="AE566" s="1772"/>
      <c r="AF566" s="1773"/>
      <c r="AN566" s="281"/>
      <c r="CL566"/>
      <c r="CM566"/>
    </row>
    <row r="567" spans="1:96" s="4" customFormat="1" ht="12.75" customHeight="1">
      <c r="B567" s="120"/>
      <c r="C567" s="61"/>
      <c r="I567" s="1286"/>
      <c r="J567" s="1287"/>
      <c r="K567" s="1287"/>
      <c r="L567" s="1287"/>
      <c r="M567" s="1287"/>
      <c r="N567" s="1288"/>
      <c r="O567" s="1645">
        <v>0.45</v>
      </c>
      <c r="P567" s="1646"/>
      <c r="Q567" s="1652"/>
      <c r="R567" s="1651"/>
      <c r="S567" s="1651"/>
      <c r="T567" s="1651"/>
      <c r="U567" s="1650" t="s">
        <v>130</v>
      </c>
      <c r="V567" s="1650"/>
      <c r="W567" s="1666">
        <v>33.799999999999997</v>
      </c>
      <c r="X567" s="1666"/>
      <c r="Y567" s="1666"/>
      <c r="Z567" s="1666"/>
      <c r="AA567" s="1651"/>
      <c r="AB567" s="1651"/>
      <c r="AC567" s="1666"/>
      <c r="AD567" s="1666"/>
      <c r="AE567" s="1680"/>
      <c r="AF567" s="1681"/>
      <c r="AN567" s="281"/>
      <c r="CL567"/>
      <c r="CM567"/>
    </row>
    <row r="568" spans="1:96" s="4" customFormat="1" ht="12.75" customHeight="1">
      <c r="B568" s="5"/>
      <c r="C568" s="5"/>
      <c r="D568" s="5"/>
      <c r="E568" s="5"/>
      <c r="I568" s="1286"/>
      <c r="J568" s="1287"/>
      <c r="K568" s="1287"/>
      <c r="L568" s="1287"/>
      <c r="M568" s="1287"/>
      <c r="N568" s="1288"/>
      <c r="O568" s="1645">
        <v>0.4</v>
      </c>
      <c r="P568" s="1646"/>
      <c r="Q568" s="1652"/>
      <c r="R568" s="1651"/>
      <c r="S568" s="1650" t="s">
        <v>1501</v>
      </c>
      <c r="T568" s="1650"/>
      <c r="U568" s="1666">
        <v>20</v>
      </c>
      <c r="V568" s="1666"/>
      <c r="W568" s="1666">
        <v>30</v>
      </c>
      <c r="X568" s="1666"/>
      <c r="Y568" s="1666"/>
      <c r="Z568" s="1666"/>
      <c r="AA568" s="1666"/>
      <c r="AB568" s="1666"/>
      <c r="AC568" s="1666"/>
      <c r="AD568" s="1666"/>
      <c r="AE568" s="1680"/>
      <c r="AF568" s="1681"/>
      <c r="AN568" s="281"/>
      <c r="AP568" s="1848" t="s">
        <v>205</v>
      </c>
      <c r="AQ568" s="1849"/>
      <c r="AR568" s="1849"/>
      <c r="AS568" s="1849"/>
      <c r="AT568" s="1849"/>
      <c r="AU568" s="1849"/>
      <c r="AV568" s="1849"/>
      <c r="AW568" s="1849"/>
      <c r="AX568" s="1849"/>
      <c r="AY568" s="1849"/>
      <c r="AZ568" s="1849"/>
      <c r="BA568" s="1849"/>
      <c r="BB568" s="1849"/>
      <c r="BC568" s="1849"/>
      <c r="BD568" s="1849"/>
      <c r="BE568" s="1849"/>
      <c r="BF568" s="1849"/>
      <c r="BG568" s="1849"/>
      <c r="BH568" s="1849"/>
      <c r="BI568" s="1849"/>
      <c r="BJ568" s="1850"/>
      <c r="BK568" s="1754">
        <f>BF565</f>
        <v>27</v>
      </c>
      <c r="BL568" s="1755"/>
      <c r="BM568" s="1755"/>
      <c r="BN568" s="1755"/>
      <c r="BO568" s="175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45">
        <v>0.35</v>
      </c>
      <c r="P569" s="1646"/>
      <c r="Q569" s="1652"/>
      <c r="R569" s="1651"/>
      <c r="S569" s="1650" t="s">
        <v>1763</v>
      </c>
      <c r="T569" s="1650"/>
      <c r="U569" s="1666">
        <v>17.5</v>
      </c>
      <c r="V569" s="1666"/>
      <c r="W569" s="1666">
        <v>26.3</v>
      </c>
      <c r="X569" s="1666"/>
      <c r="Y569" s="1666">
        <v>35</v>
      </c>
      <c r="Z569" s="1666"/>
      <c r="AA569" s="1666"/>
      <c r="AB569" s="1666"/>
      <c r="AC569" s="1666">
        <v>50</v>
      </c>
      <c r="AD569" s="1666"/>
      <c r="AE569" s="1680"/>
      <c r="AF569" s="1681"/>
      <c r="AN569" s="281"/>
      <c r="AP569" s="1851"/>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3"/>
      <c r="BK569" s="1757"/>
      <c r="BL569" s="1758"/>
      <c r="BM569" s="1758"/>
      <c r="BN569" s="1758"/>
      <c r="BO569" s="175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45">
        <v>0.3</v>
      </c>
      <c r="P570" s="1646"/>
      <c r="Q570" s="1652"/>
      <c r="R570" s="1651"/>
      <c r="S570" s="1650" t="s">
        <v>1764</v>
      </c>
      <c r="T570" s="1650"/>
      <c r="U570" s="1666">
        <v>15</v>
      </c>
      <c r="V570" s="1666"/>
      <c r="W570" s="1666">
        <v>22.5</v>
      </c>
      <c r="X570" s="1666"/>
      <c r="Y570" s="1666">
        <v>30</v>
      </c>
      <c r="Z570" s="1666"/>
      <c r="AA570" s="1666">
        <v>37.5</v>
      </c>
      <c r="AB570" s="1666"/>
      <c r="AC570" s="1666">
        <v>45</v>
      </c>
      <c r="AD570" s="1666"/>
      <c r="AE570" s="1680"/>
      <c r="AF570" s="168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45">
        <v>0.25</v>
      </c>
      <c r="P571" s="1646"/>
      <c r="Q571" s="1652"/>
      <c r="R571" s="1651"/>
      <c r="S571" s="1650" t="s">
        <v>1765</v>
      </c>
      <c r="T571" s="1650"/>
      <c r="U571" s="1666">
        <v>12.5</v>
      </c>
      <c r="V571" s="1666"/>
      <c r="W571" s="1666">
        <v>18.8</v>
      </c>
      <c r="X571" s="1666"/>
      <c r="Y571" s="1666">
        <v>25</v>
      </c>
      <c r="Z571" s="1666"/>
      <c r="AA571" s="1666">
        <v>31.3</v>
      </c>
      <c r="AB571" s="1666"/>
      <c r="AC571" s="1666">
        <v>37.5</v>
      </c>
      <c r="AD571" s="1666"/>
      <c r="AE571" s="1680">
        <v>50</v>
      </c>
      <c r="AF571" s="1681"/>
      <c r="AN571" s="281"/>
      <c r="AP571" s="1736" t="str">
        <f t="shared" ref="AP571:AP577" si="0">J608</f>
        <v>5 BR</v>
      </c>
      <c r="AQ571" s="1737"/>
      <c r="AR571" s="1737"/>
      <c r="AS571" s="1737"/>
      <c r="AT571" s="1738"/>
      <c r="AU571" s="1372">
        <f t="shared" ref="AU571:AU576" si="1">O608</f>
        <v>0</v>
      </c>
      <c r="AV571" s="1373"/>
      <c r="AW571" s="1373"/>
      <c r="AX571" s="1373"/>
      <c r="AY571" s="1374"/>
      <c r="AZ571" s="1372">
        <f t="shared" ref="AZ571:AZ576" si="2">T608</f>
        <v>0</v>
      </c>
      <c r="BA571" s="1373"/>
      <c r="BB571" s="1373"/>
      <c r="BC571" s="1373"/>
      <c r="BD571" s="1374"/>
      <c r="BE571" s="1729">
        <f t="shared" ref="BE571:BE576" si="3">Y608</f>
        <v>0</v>
      </c>
      <c r="BF571" s="1730"/>
      <c r="BG571" s="1730"/>
      <c r="BH571" s="1730"/>
      <c r="BI571" s="1731"/>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45">
        <v>0.2</v>
      </c>
      <c r="P572" s="1646"/>
      <c r="Q572" s="1652"/>
      <c r="R572" s="1651"/>
      <c r="S572" s="1678" t="s">
        <v>1768</v>
      </c>
      <c r="T572" s="1678"/>
      <c r="U572" s="1666">
        <v>10</v>
      </c>
      <c r="V572" s="1666"/>
      <c r="W572" s="1666">
        <v>15</v>
      </c>
      <c r="X572" s="1666"/>
      <c r="Y572" s="1666">
        <v>20</v>
      </c>
      <c r="Z572" s="1666"/>
      <c r="AA572" s="1666">
        <v>25</v>
      </c>
      <c r="AB572" s="1666"/>
      <c r="AC572" s="1666">
        <v>30</v>
      </c>
      <c r="AD572" s="1666"/>
      <c r="AE572" s="1680">
        <v>40</v>
      </c>
      <c r="AF572" s="1681"/>
      <c r="AN572" s="281"/>
      <c r="AP572" s="1736" t="str">
        <f t="shared" si="0"/>
        <v>4 BR</v>
      </c>
      <c r="AQ572" s="1737"/>
      <c r="AR572" s="1737"/>
      <c r="AS572" s="1737"/>
      <c r="AT572" s="1738"/>
      <c r="AU572" s="1372">
        <f t="shared" si="1"/>
        <v>0</v>
      </c>
      <c r="AV572" s="1373"/>
      <c r="AW572" s="1373"/>
      <c r="AX572" s="1373"/>
      <c r="AY572" s="1374"/>
      <c r="AZ572" s="1372">
        <f t="shared" si="2"/>
        <v>0</v>
      </c>
      <c r="BA572" s="1373"/>
      <c r="BB572" s="1373"/>
      <c r="BC572" s="1373"/>
      <c r="BD572" s="1374"/>
      <c r="BE572" s="1729">
        <f t="shared" si="3"/>
        <v>0</v>
      </c>
      <c r="BF572" s="1730"/>
      <c r="BG572" s="1730"/>
      <c r="BH572" s="1730"/>
      <c r="BI572" s="1731"/>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45">
        <v>0.15</v>
      </c>
      <c r="P573" s="1646"/>
      <c r="Q573" s="1652"/>
      <c r="R573" s="1651"/>
      <c r="S573" s="1650" t="s">
        <v>1766</v>
      </c>
      <c r="T573" s="1650"/>
      <c r="U573" s="1666">
        <v>7.5</v>
      </c>
      <c r="V573" s="1666"/>
      <c r="W573" s="1666">
        <v>11.3</v>
      </c>
      <c r="X573" s="1666"/>
      <c r="Y573" s="1666">
        <v>15</v>
      </c>
      <c r="Z573" s="1666"/>
      <c r="AA573" s="1666">
        <v>18.8</v>
      </c>
      <c r="AB573" s="1666"/>
      <c r="AC573" s="1666">
        <v>22.5</v>
      </c>
      <c r="AD573" s="1666"/>
      <c r="AE573" s="1680">
        <v>30</v>
      </c>
      <c r="AF573" s="1681"/>
      <c r="AN573" s="281"/>
      <c r="AP573" s="1736" t="str">
        <f t="shared" si="0"/>
        <v>3 BR</v>
      </c>
      <c r="AQ573" s="1737"/>
      <c r="AR573" s="1737"/>
      <c r="AS573" s="1737"/>
      <c r="AT573" s="1738"/>
      <c r="AU573" s="1372">
        <f t="shared" si="1"/>
        <v>10</v>
      </c>
      <c r="AV573" s="1373"/>
      <c r="AW573" s="1373"/>
      <c r="AX573" s="1373"/>
      <c r="AY573" s="1374"/>
      <c r="AZ573" s="1372">
        <f t="shared" si="2"/>
        <v>2</v>
      </c>
      <c r="BA573" s="1373"/>
      <c r="BB573" s="1373"/>
      <c r="BC573" s="1373"/>
      <c r="BD573" s="1374"/>
      <c r="BE573" s="1729">
        <f t="shared" si="3"/>
        <v>0.2</v>
      </c>
      <c r="BF573" s="1730"/>
      <c r="BG573" s="1730"/>
      <c r="BH573" s="1730"/>
      <c r="BI573" s="1731"/>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45">
        <v>0.1</v>
      </c>
      <c r="P574" s="1646"/>
      <c r="Q574" s="1676"/>
      <c r="R574" s="1677"/>
      <c r="S574" s="1650" t="s">
        <v>1767</v>
      </c>
      <c r="T574" s="1650"/>
      <c r="U574" s="1644">
        <v>5</v>
      </c>
      <c r="V574" s="1644"/>
      <c r="W574" s="1644">
        <v>7.5</v>
      </c>
      <c r="X574" s="1644"/>
      <c r="Y574" s="1644">
        <v>10</v>
      </c>
      <c r="Z574" s="1644"/>
      <c r="AA574" s="1644">
        <v>12.5</v>
      </c>
      <c r="AB574" s="1644"/>
      <c r="AC574" s="1644">
        <v>15</v>
      </c>
      <c r="AD574" s="1644"/>
      <c r="AE574" s="1883">
        <v>20</v>
      </c>
      <c r="AF574" s="1884"/>
      <c r="AK574" s="167"/>
      <c r="AL574" s="167"/>
      <c r="AM574" s="5"/>
      <c r="AN574" s="281"/>
      <c r="AP574" s="1736" t="str">
        <f t="shared" si="0"/>
        <v>2 BR</v>
      </c>
      <c r="AQ574" s="1737"/>
      <c r="AR574" s="1737"/>
      <c r="AS574" s="1737"/>
      <c r="AT574" s="1738"/>
      <c r="AU574" s="1372">
        <f t="shared" si="1"/>
        <v>17</v>
      </c>
      <c r="AV574" s="1373"/>
      <c r="AW574" s="1373"/>
      <c r="AX574" s="1373"/>
      <c r="AY574" s="1374"/>
      <c r="AZ574" s="1372">
        <f t="shared" si="2"/>
        <v>2</v>
      </c>
      <c r="BA574" s="1373"/>
      <c r="BB574" s="1373"/>
      <c r="BC574" s="1373"/>
      <c r="BD574" s="1374"/>
      <c r="BE574" s="1729">
        <f t="shared" si="3"/>
        <v>0.11764705882352941</v>
      </c>
      <c r="BF574" s="1730"/>
      <c r="BG574" s="1730"/>
      <c r="BH574" s="1730"/>
      <c r="BI574" s="1731"/>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36" t="str">
        <f t="shared" si="0"/>
        <v>1 BR</v>
      </c>
      <c r="AQ575" s="1737"/>
      <c r="AR575" s="1737"/>
      <c r="AS575" s="1737"/>
      <c r="AT575" s="1738"/>
      <c r="AU575" s="1372">
        <f t="shared" si="1"/>
        <v>0</v>
      </c>
      <c r="AV575" s="1373"/>
      <c r="AW575" s="1373"/>
      <c r="AX575" s="1373"/>
      <c r="AY575" s="1374"/>
      <c r="AZ575" s="1372">
        <f t="shared" si="2"/>
        <v>0</v>
      </c>
      <c r="BA575" s="1373"/>
      <c r="BB575" s="1373"/>
      <c r="BC575" s="1373"/>
      <c r="BD575" s="1374"/>
      <c r="BE575" s="1729">
        <f t="shared" si="3"/>
        <v>0</v>
      </c>
      <c r="BF575" s="1730"/>
      <c r="BG575" s="1730"/>
      <c r="BH575" s="1730"/>
      <c r="BI575" s="1731"/>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85"/>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86"/>
      <c r="AN576" s="281"/>
      <c r="AP576" s="1736" t="str">
        <f t="shared" si="0"/>
        <v>SRO</v>
      </c>
      <c r="AQ576" s="1737"/>
      <c r="AR576" s="1737"/>
      <c r="AS576" s="1737"/>
      <c r="AT576" s="1738"/>
      <c r="AU576" s="1372">
        <f t="shared" si="1"/>
        <v>0</v>
      </c>
      <c r="AV576" s="1373"/>
      <c r="AW576" s="1373"/>
      <c r="AX576" s="1373"/>
      <c r="AY576" s="1374"/>
      <c r="AZ576" s="1372">
        <f t="shared" si="2"/>
        <v>0</v>
      </c>
      <c r="BA576" s="1373"/>
      <c r="BB576" s="1373"/>
      <c r="BC576" s="1373"/>
      <c r="BD576" s="1374"/>
      <c r="BE576" s="1729">
        <f t="shared" si="3"/>
        <v>0</v>
      </c>
      <c r="BF576" s="1730"/>
      <c r="BG576" s="1730"/>
      <c r="BH576" s="1730"/>
      <c r="BI576" s="1731"/>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77" t="s">
        <v>1508</v>
      </c>
      <c r="F577" s="1878"/>
      <c r="G577" s="1878"/>
      <c r="H577" s="1878"/>
      <c r="I577" s="1878"/>
      <c r="J577" s="1879"/>
      <c r="K577" s="1877" t="s">
        <v>1759</v>
      </c>
      <c r="L577" s="1878"/>
      <c r="M577" s="1878"/>
      <c r="N577" s="1878"/>
      <c r="O577" s="1878"/>
      <c r="P577" s="1879"/>
      <c r="Q577" s="1283" t="s">
        <v>1504</v>
      </c>
      <c r="R577" s="1284"/>
      <c r="S577" s="1284"/>
      <c r="T577" s="1284"/>
      <c r="U577" s="1284"/>
      <c r="V577" s="1285"/>
      <c r="W577" s="1283" t="str">
        <f>I566</f>
        <v>Percent of Low-Income Units (exclusive of manager’s units)</v>
      </c>
      <c r="X577" s="1284"/>
      <c r="Y577" s="1284"/>
      <c r="Z577" s="1284"/>
      <c r="AA577" s="1284"/>
      <c r="AB577" s="1285"/>
      <c r="AC577" s="1283" t="s">
        <v>1507</v>
      </c>
      <c r="AD577" s="1284"/>
      <c r="AE577" s="1284"/>
      <c r="AF577" s="1284"/>
      <c r="AG577" s="1284"/>
      <c r="AH577" s="1285"/>
      <c r="AN577" s="281"/>
      <c r="AP577" s="1736" t="str">
        <f t="shared" si="0"/>
        <v>Total:</v>
      </c>
      <c r="AQ577" s="1737"/>
      <c r="AR577" s="1737"/>
      <c r="AS577" s="1737"/>
      <c r="AT577" s="1738"/>
      <c r="AU577" s="1736"/>
      <c r="AV577" s="1737"/>
      <c r="AW577" s="1737"/>
      <c r="AX577" s="1737"/>
      <c r="AY577" s="1738"/>
      <c r="AZ577" s="1736"/>
      <c r="BA577" s="1737"/>
      <c r="BB577" s="1737"/>
      <c r="BC577" s="1737"/>
      <c r="BD577" s="1738"/>
      <c r="BE577" s="1736"/>
      <c r="BF577" s="1737"/>
      <c r="BG577" s="1737"/>
      <c r="BH577" s="1737"/>
      <c r="BI577" s="1738"/>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0"/>
      <c r="F578" s="1881"/>
      <c r="G578" s="1881"/>
      <c r="H578" s="1881"/>
      <c r="I578" s="1881"/>
      <c r="J578" s="1882"/>
      <c r="K578" s="1880"/>
      <c r="L578" s="1881"/>
      <c r="M578" s="1881"/>
      <c r="N578" s="1881"/>
      <c r="O578" s="1881"/>
      <c r="P578" s="1882"/>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0"/>
      <c r="F579" s="1881"/>
      <c r="G579" s="1881"/>
      <c r="H579" s="1881"/>
      <c r="I579" s="1881"/>
      <c r="J579" s="1882"/>
      <c r="K579" s="1880"/>
      <c r="L579" s="1881"/>
      <c r="M579" s="1881"/>
      <c r="N579" s="1881"/>
      <c r="O579" s="1881"/>
      <c r="P579" s="1882"/>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0"/>
      <c r="F580" s="1881"/>
      <c r="G580" s="1881"/>
      <c r="H580" s="1881"/>
      <c r="I580" s="1881"/>
      <c r="J580" s="1882"/>
      <c r="K580" s="1880"/>
      <c r="L580" s="1881"/>
      <c r="M580" s="1881"/>
      <c r="N580" s="1881"/>
      <c r="O580" s="1881"/>
      <c r="P580" s="1882"/>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60"/>
      <c r="F581" s="1661"/>
      <c r="G581" s="1661"/>
      <c r="H581" s="1661"/>
      <c r="I581" s="1661"/>
      <c r="J581" s="1662"/>
      <c r="K581" s="1657">
        <v>20</v>
      </c>
      <c r="L581" s="1658"/>
      <c r="M581" s="1658"/>
      <c r="N581" s="1658"/>
      <c r="O581" s="1658"/>
      <c r="P581" s="1659"/>
      <c r="Q581" s="1647">
        <f>IF(ISERROR(IF((((E581/$BJ$528)*100)&gt;100),"EXCESSIVE VALUE",(E581/$BJ$528)*100)),0,IF((((E581/$BJ$528)*100)&gt;100),"EXCESSIVE VALUE",(E581/$BJ$528)*100))</f>
        <v>0</v>
      </c>
      <c r="R581" s="1648"/>
      <c r="S581" s="1648"/>
      <c r="T581" s="1648"/>
      <c r="U581" s="1648"/>
      <c r="V581" s="1649"/>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7">
        <f t="shared" ref="AP581:AP586" si="5">IF(OR(BE571&gt;=0.1,BE571=0),0,1)</f>
        <v>0</v>
      </c>
      <c r="AQ581" s="1658"/>
      <c r="AR581" s="1658"/>
      <c r="AS581" s="1658"/>
      <c r="AT581" s="1659"/>
      <c r="AX581" s="1732" t="s">
        <v>794</v>
      </c>
      <c r="AY581" s="1733"/>
      <c r="AZ581" s="1733"/>
      <c r="BA581" s="1733"/>
      <c r="BB581" s="1733"/>
      <c r="BC581" s="1733"/>
      <c r="BD581" s="1733"/>
      <c r="BE581" s="1733"/>
      <c r="BF581" s="1733"/>
      <c r="BG581" s="1733"/>
      <c r="BH581" s="1733"/>
      <c r="BI581" s="1733"/>
      <c r="BJ581" s="1733"/>
      <c r="BK581" s="1733"/>
      <c r="BL581" s="1733"/>
      <c r="BM581" s="1733"/>
      <c r="BN581" s="1733"/>
      <c r="BO581" s="1733"/>
      <c r="BP581" s="1733"/>
      <c r="BQ581" s="1734"/>
    </row>
    <row r="582" spans="5:96" s="4" customFormat="1" ht="12.75" customHeight="1">
      <c r="E582" s="1660">
        <v>4</v>
      </c>
      <c r="F582" s="1661"/>
      <c r="G582" s="1661"/>
      <c r="H582" s="1661"/>
      <c r="I582" s="1661"/>
      <c r="J582" s="1662"/>
      <c r="K582" s="1657">
        <v>30</v>
      </c>
      <c r="L582" s="1658"/>
      <c r="M582" s="1658"/>
      <c r="N582" s="1658"/>
      <c r="O582" s="1658"/>
      <c r="P582" s="1659"/>
      <c r="Q582" s="1647">
        <f>IF(ISERROR(IF((((E582/$BJ$528)*100)&gt;100),"EXCESSIVE VALUE",(E582/$BJ$528)*100)),0,IF((((E582/$BJ$528)*100)&gt;100),"EXCESSIVE VALUE",(E582/$BJ$528)*100))</f>
        <v>14.814814814814813</v>
      </c>
      <c r="R582" s="1648"/>
      <c r="S582" s="1648"/>
      <c r="T582" s="1648"/>
      <c r="U582" s="1648"/>
      <c r="V582" s="1649"/>
      <c r="W582" s="1663">
        <f>IF(FLOOR(Q582,5)&gt;80,80,FLOOR(Q582,5))</f>
        <v>10</v>
      </c>
      <c r="X582" s="1664"/>
      <c r="Y582" s="1664"/>
      <c r="Z582" s="1664"/>
      <c r="AA582" s="1664"/>
      <c r="AB582" s="1665"/>
      <c r="AC582" s="1663">
        <f t="shared" si="4"/>
        <v>15</v>
      </c>
      <c r="AD582" s="1664"/>
      <c r="AE582" s="1664"/>
      <c r="AF582" s="1664"/>
      <c r="AG582" s="1664"/>
      <c r="AH582" s="1665"/>
      <c r="AN582" s="281"/>
      <c r="AO582" s="4">
        <v>4</v>
      </c>
      <c r="AP582" s="1657">
        <f t="shared" si="5"/>
        <v>0</v>
      </c>
      <c r="AQ582" s="1658"/>
      <c r="AR582" s="1658"/>
      <c r="AS582" s="1658"/>
      <c r="AT582" s="1659"/>
      <c r="AX582" s="1752" t="s">
        <v>616</v>
      </c>
      <c r="AY582" s="1753"/>
      <c r="AZ582" s="1075" t="s">
        <v>616</v>
      </c>
      <c r="BA582" s="1076"/>
      <c r="BB582" s="1752" t="s">
        <v>265</v>
      </c>
      <c r="BC582" s="1753"/>
      <c r="BD582" s="1742" t="s">
        <v>265</v>
      </c>
      <c r="BE582" s="1744"/>
      <c r="BF582" s="1752" t="s">
        <v>264</v>
      </c>
      <c r="BG582" s="1753"/>
      <c r="BH582" s="1742" t="s">
        <v>264</v>
      </c>
      <c r="BI582" s="1744"/>
      <c r="BJ582" s="1752" t="s">
        <v>263</v>
      </c>
      <c r="BK582" s="1753"/>
      <c r="BL582" s="1742" t="s">
        <v>263</v>
      </c>
      <c r="BM582" s="1744"/>
      <c r="BN582" s="1752" t="s">
        <v>615</v>
      </c>
      <c r="BO582" s="1753"/>
      <c r="BP582" s="1742" t="s">
        <v>615</v>
      </c>
      <c r="BQ582" s="1744"/>
    </row>
    <row r="583" spans="5:96" s="4" customFormat="1" ht="12.75" customHeight="1">
      <c r="E583" s="1660"/>
      <c r="F583" s="1661"/>
      <c r="G583" s="1661"/>
      <c r="H583" s="1661"/>
      <c r="I583" s="1661"/>
      <c r="J583" s="1662"/>
      <c r="K583" s="1657">
        <v>35</v>
      </c>
      <c r="L583" s="1658"/>
      <c r="M583" s="1658"/>
      <c r="N583" s="1658"/>
      <c r="O583" s="1658"/>
      <c r="P583" s="1659"/>
      <c r="Q583" s="1647">
        <f t="shared" ref="Q583:Q589" si="6">IF(ISERROR(IF((((E583/$BJ$528)*100)&gt;100),"EXCESSIVE VALUE",(E583/$BJ$528)*100)),0,IF((((E583/$BJ$528)*100)&gt;100),"EXCESSIVE VALUE",(E583/$BJ$528)*100))</f>
        <v>0</v>
      </c>
      <c r="R583" s="1648"/>
      <c r="S583" s="1648"/>
      <c r="T583" s="1648"/>
      <c r="U583" s="1648"/>
      <c r="V583" s="1649"/>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7">
        <f t="shared" si="5"/>
        <v>0</v>
      </c>
      <c r="AQ583" s="1658"/>
      <c r="AR583" s="1658"/>
      <c r="AS583" s="1658"/>
      <c r="AT583" s="1659"/>
      <c r="AX583" s="1752">
        <f>IF(AP533=1,1,0)</f>
        <v>0</v>
      </c>
      <c r="AY583" s="1753"/>
      <c r="AZ583" s="1732"/>
      <c r="BA583" s="1734"/>
      <c r="BB583" s="1750"/>
      <c r="BC583" s="1751"/>
      <c r="BD583" s="1742">
        <f>IF(AND(T609&gt;0,AP533&gt;0),1,0)</f>
        <v>0</v>
      </c>
      <c r="BE583" s="1744"/>
      <c r="BF583" s="1750"/>
      <c r="BG583" s="1751"/>
      <c r="BH583" s="1742">
        <f>IF(AND(T609&gt;0,AP533&gt;0),1,0)</f>
        <v>0</v>
      </c>
      <c r="BI583" s="1744"/>
      <c r="BJ583" s="1750"/>
      <c r="BK583" s="1751"/>
      <c r="BL583" s="1742">
        <f>IF(AND(T609&gt;0,AP533&gt;0),1,0)</f>
        <v>0</v>
      </c>
      <c r="BM583" s="1744"/>
      <c r="BN583" s="1750"/>
      <c r="BO583" s="1751"/>
      <c r="BP583" s="1742">
        <f>IF(AND(T609&gt;0,AP533&gt;0),1,0)</f>
        <v>0</v>
      </c>
      <c r="BQ583" s="1744"/>
    </row>
    <row r="584" spans="5:96" s="4" customFormat="1" ht="12.75" customHeight="1">
      <c r="E584" s="1660">
        <v>5</v>
      </c>
      <c r="F584" s="1661"/>
      <c r="G584" s="1661"/>
      <c r="H584" s="1661"/>
      <c r="I584" s="1661"/>
      <c r="J584" s="1662"/>
      <c r="K584" s="1657">
        <v>40</v>
      </c>
      <c r="L584" s="1658"/>
      <c r="M584" s="1658"/>
      <c r="N584" s="1658"/>
      <c r="O584" s="1658"/>
      <c r="P584" s="1659"/>
      <c r="Q584" s="1647">
        <f t="shared" si="6"/>
        <v>18.518518518518519</v>
      </c>
      <c r="R584" s="1648"/>
      <c r="S584" s="1648"/>
      <c r="T584" s="1648"/>
      <c r="U584" s="1648"/>
      <c r="V584" s="1649"/>
      <c r="W584" s="1663">
        <f t="shared" si="7"/>
        <v>15</v>
      </c>
      <c r="X584" s="1664"/>
      <c r="Y584" s="1664"/>
      <c r="Z584" s="1664"/>
      <c r="AA584" s="1664"/>
      <c r="AB584" s="1665"/>
      <c r="AC584" s="1663">
        <f t="shared" si="4"/>
        <v>15</v>
      </c>
      <c r="AD584" s="1664"/>
      <c r="AE584" s="1664"/>
      <c r="AF584" s="1664"/>
      <c r="AG584" s="1664"/>
      <c r="AH584" s="1665"/>
      <c r="AN584" s="281"/>
      <c r="AO584" s="4">
        <v>2</v>
      </c>
      <c r="AP584" s="1657">
        <f t="shared" si="5"/>
        <v>0</v>
      </c>
      <c r="AQ584" s="1658"/>
      <c r="AR584" s="1658"/>
      <c r="AS584" s="1658"/>
      <c r="AT584" s="1659"/>
      <c r="AX584" s="1750"/>
      <c r="AY584" s="1751"/>
      <c r="AZ584" s="1732"/>
      <c r="BA584" s="1734"/>
      <c r="BB584" s="1752">
        <f>IF(AP534=1,1,0)</f>
        <v>0</v>
      </c>
      <c r="BC584" s="1753"/>
      <c r="BD584" s="1732"/>
      <c r="BE584" s="1734"/>
      <c r="BF584" s="1750"/>
      <c r="BG584" s="1751"/>
      <c r="BH584" s="1742">
        <f>IF(AND(T610&gt;0,AP534&gt;0),1,0)</f>
        <v>1</v>
      </c>
      <c r="BI584" s="1744"/>
      <c r="BJ584" s="1750"/>
      <c r="BK584" s="1751"/>
      <c r="BL584" s="1742">
        <f>IF(AND(T610&gt;0,AP534&gt;0),1,0)</f>
        <v>1</v>
      </c>
      <c r="BM584" s="1744"/>
      <c r="BN584" s="1750"/>
      <c r="BO584" s="1751"/>
      <c r="BP584" s="1742">
        <f>IF(AND(T610&gt;0,AP534&gt;0),1,0)</f>
        <v>1</v>
      </c>
      <c r="BQ584" s="1744"/>
    </row>
    <row r="585" spans="5:96" s="4" customFormat="1" ht="12.75" customHeight="1">
      <c r="E585" s="1660"/>
      <c r="F585" s="1661"/>
      <c r="G585" s="1661"/>
      <c r="H585" s="1661"/>
      <c r="I585" s="1661"/>
      <c r="J585" s="1662"/>
      <c r="K585" s="1657">
        <v>45</v>
      </c>
      <c r="L585" s="1658"/>
      <c r="M585" s="1658"/>
      <c r="N585" s="1658"/>
      <c r="O585" s="1658"/>
      <c r="P585" s="1659"/>
      <c r="Q585" s="1647">
        <f t="shared" si="6"/>
        <v>0</v>
      </c>
      <c r="R585" s="1648"/>
      <c r="S585" s="1648"/>
      <c r="T585" s="1648"/>
      <c r="U585" s="1648"/>
      <c r="V585" s="1649"/>
      <c r="W585" s="1663">
        <f>IF(FLOOR(Q585,5)&gt;65,65,FLOOR(Q585,5))</f>
        <v>0</v>
      </c>
      <c r="X585" s="1664"/>
      <c r="Y585" s="1664"/>
      <c r="Z585" s="1664"/>
      <c r="AA585" s="1664"/>
      <c r="AB585" s="1665"/>
      <c r="AC585" s="1663">
        <f t="shared" si="4"/>
        <v>0</v>
      </c>
      <c r="AD585" s="1664"/>
      <c r="AE585" s="1664"/>
      <c r="AF585" s="1664"/>
      <c r="AG585" s="1664"/>
      <c r="AH585" s="1665"/>
      <c r="AN585" s="281"/>
      <c r="AO585" s="4">
        <v>1</v>
      </c>
      <c r="AP585" s="1657">
        <f t="shared" si="5"/>
        <v>0</v>
      </c>
      <c r="AQ585" s="1658"/>
      <c r="AR585" s="1658"/>
      <c r="AS585" s="1658"/>
      <c r="AT585" s="1659"/>
      <c r="AX585" s="1750"/>
      <c r="AY585" s="1751"/>
      <c r="AZ585" s="1732"/>
      <c r="BA585" s="1734"/>
      <c r="BB585" s="1750"/>
      <c r="BC585" s="1751"/>
      <c r="BD585" s="1732"/>
      <c r="BE585" s="1734"/>
      <c r="BF585" s="1752">
        <f>IF(AP535=1,1,0)</f>
        <v>0</v>
      </c>
      <c r="BG585" s="1753"/>
      <c r="BH585" s="1732"/>
      <c r="BI585" s="1734"/>
      <c r="BJ585" s="1750"/>
      <c r="BK585" s="1751"/>
      <c r="BL585" s="1742">
        <f>IF(AND(T611&gt;0,AP535&gt;0),1,0)</f>
        <v>1</v>
      </c>
      <c r="BM585" s="1744"/>
      <c r="BN585" s="1750"/>
      <c r="BO585" s="1751"/>
      <c r="BP585" s="1742">
        <f>IF(AND(T611&gt;0,AP535&gt;0),1,0)</f>
        <v>1</v>
      </c>
      <c r="BQ585" s="1744"/>
    </row>
    <row r="586" spans="5:96" s="4" customFormat="1" ht="12.75" customHeight="1">
      <c r="E586" s="1660">
        <v>11</v>
      </c>
      <c r="F586" s="1661"/>
      <c r="G586" s="1661"/>
      <c r="H586" s="1661"/>
      <c r="I586" s="1661"/>
      <c r="J586" s="1662"/>
      <c r="K586" s="1657">
        <f>IF(OR(Application!D211="Rural",Application!D211="Rural apportionment (Section 514)",Application!D211="Rural apportionment (Section 515)",Application!D211="Rural apportionment (HOME)",Application!D211="Rural (Native American apportionment)"),"",50)</f>
        <v>50</v>
      </c>
      <c r="L586" s="1658"/>
      <c r="M586" s="1658"/>
      <c r="N586" s="1658"/>
      <c r="O586" s="1658"/>
      <c r="P586" s="1659"/>
      <c r="Q586" s="1647">
        <f t="shared" si="6"/>
        <v>40.74074074074074</v>
      </c>
      <c r="R586" s="1648"/>
      <c r="S586" s="1648"/>
      <c r="T586" s="1648"/>
      <c r="U586" s="1648"/>
      <c r="V586" s="1649"/>
      <c r="W586" s="1663">
        <f>IF(FLOOR(Q586,5)&gt;40,40,FLOOR(Q586,5))</f>
        <v>40</v>
      </c>
      <c r="X586" s="1664"/>
      <c r="Y586" s="1664"/>
      <c r="Z586" s="1664"/>
      <c r="AA586" s="1664"/>
      <c r="AB586" s="1665"/>
      <c r="AC586" s="1663">
        <f t="shared" si="4"/>
        <v>20</v>
      </c>
      <c r="AD586" s="1664"/>
      <c r="AE586" s="1664"/>
      <c r="AF586" s="1664"/>
      <c r="AG586" s="1664"/>
      <c r="AH586" s="1665"/>
      <c r="AN586" s="281"/>
      <c r="AO586" s="4">
        <v>0</v>
      </c>
      <c r="AP586" s="1657">
        <f t="shared" si="5"/>
        <v>0</v>
      </c>
      <c r="AQ586" s="1658"/>
      <c r="AR586" s="1658"/>
      <c r="AS586" s="1658"/>
      <c r="AT586" s="1659"/>
      <c r="AX586" s="1750"/>
      <c r="AY586" s="1751"/>
      <c r="AZ586" s="1732"/>
      <c r="BA586" s="1734"/>
      <c r="BB586" s="1750"/>
      <c r="BC586" s="1751"/>
      <c r="BD586" s="1732"/>
      <c r="BE586" s="1734"/>
      <c r="BF586" s="1750"/>
      <c r="BG586" s="1751"/>
      <c r="BH586" s="1732"/>
      <c r="BI586" s="1734"/>
      <c r="BJ586" s="1752">
        <f>IF(AP536=1,1,0)</f>
        <v>0</v>
      </c>
      <c r="BK586" s="1753"/>
      <c r="BL586" s="1750"/>
      <c r="BM586" s="1751"/>
      <c r="BN586" s="1750"/>
      <c r="BO586" s="1751"/>
      <c r="BP586" s="1742">
        <f>IF(AND(T612&gt;0,AP536&gt;0),1,0)</f>
        <v>0</v>
      </c>
      <c r="BQ586" s="1744"/>
    </row>
    <row r="587" spans="5:96" s="4" customFormat="1" ht="12.75" customHeight="1">
      <c r="E587" s="1721"/>
      <c r="F587" s="1722"/>
      <c r="G587" s="1722"/>
      <c r="H587" s="1722"/>
      <c r="I587" s="1722"/>
      <c r="J587" s="1723"/>
      <c r="K587" s="1717" t="str">
        <f>IF(OR(Application!D211="Rural",Application!D211="Rural apportionment (Section 514)",Application!D211="Rural apportionment (Section 515)",Application!D211="Rural apportionment (HOME)",Application!D211="Rural apportionment (CDBG-DR)",Application!D211="Rural (Native American apportionment)"),50,"")</f>
        <v/>
      </c>
      <c r="L587" s="1718"/>
      <c r="M587" s="1719" t="s">
        <v>2318</v>
      </c>
      <c r="N587" s="1719"/>
      <c r="O587" s="1719"/>
      <c r="P587" s="1720"/>
      <c r="Q587" s="1647">
        <f t="shared" si="6"/>
        <v>0</v>
      </c>
      <c r="R587" s="1648"/>
      <c r="S587" s="1648"/>
      <c r="T587" s="1648"/>
      <c r="U587" s="1648"/>
      <c r="V587" s="1649"/>
      <c r="W587" s="1663">
        <f>IF(FLOOR(Q587,5)&gt;50,50,FLOOR(Q587,5))</f>
        <v>0</v>
      </c>
      <c r="X587" s="1664"/>
      <c r="Y587" s="1664"/>
      <c r="Z587" s="1664"/>
      <c r="AA587" s="1664"/>
      <c r="AB587" s="1665"/>
      <c r="AC587" s="1663">
        <f>IFERROR(IF(W587&gt;0,INDEX($AT$507:$BA$521,MATCH(W587,$AS$507:$AS$521,0),MATCH(K587,$AT$506:$BA$506,0)),0),0)</f>
        <v>0</v>
      </c>
      <c r="AD587" s="1664"/>
      <c r="AE587" s="1664"/>
      <c r="AF587" s="1664"/>
      <c r="AG587" s="1664"/>
      <c r="AH587" s="1665"/>
      <c r="AN587" s="281"/>
      <c r="AP587" s="1657"/>
      <c r="AQ587" s="1658"/>
      <c r="AR587" s="1658"/>
      <c r="AS587" s="1658"/>
      <c r="AT587" s="1659"/>
      <c r="AX587" s="1750"/>
      <c r="AY587" s="1751"/>
      <c r="AZ587" s="1732"/>
      <c r="BA587" s="1734"/>
      <c r="BB587" s="1750"/>
      <c r="BC587" s="1751"/>
      <c r="BD587" s="1732"/>
      <c r="BE587" s="1734"/>
      <c r="BF587" s="1750"/>
      <c r="BG587" s="1751"/>
      <c r="BH587" s="1732"/>
      <c r="BI587" s="1734"/>
      <c r="BJ587" s="1750"/>
      <c r="BK587" s="1751"/>
      <c r="BL587" s="1750"/>
      <c r="BM587" s="1751"/>
      <c r="BN587" s="1752">
        <f>IF(AP537=1,1,0)</f>
        <v>0</v>
      </c>
      <c r="BO587" s="1753"/>
      <c r="BP587" s="1732"/>
      <c r="BQ587" s="1734"/>
    </row>
    <row r="588" spans="5:96" s="4" customFormat="1" ht="12.75" customHeight="1">
      <c r="E588" s="1721"/>
      <c r="F588" s="1722"/>
      <c r="G588" s="1722"/>
      <c r="H588" s="1722"/>
      <c r="I588" s="1722"/>
      <c r="J588" s="1723"/>
      <c r="K588" s="1717" t="str">
        <f>IF(OR(Application!D211="Rural",Application!D211="Rural apportionment (Section 514)",Application!D211="Rural apportionment (Section 515)",Application!D211="Rural apportionment (HOME)",Application!D211="Rural apportionment (CDBG-DR)",Application!D211="Rural (Native American apportionment)"),55,"")</f>
        <v/>
      </c>
      <c r="L588" s="1718"/>
      <c r="M588" s="1719" t="s">
        <v>2318</v>
      </c>
      <c r="N588" s="1719"/>
      <c r="O588" s="1719"/>
      <c r="P588" s="1720"/>
      <c r="Q588" s="1647">
        <f t="shared" si="6"/>
        <v>0</v>
      </c>
      <c r="R588" s="1648"/>
      <c r="S588" s="1648"/>
      <c r="T588" s="1648"/>
      <c r="U588" s="1648"/>
      <c r="V588" s="1649"/>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52">
        <f>SUM(AX583:AY587)</f>
        <v>0</v>
      </c>
      <c r="AY588" s="1753"/>
      <c r="AZ588" s="1742">
        <f>SUM(AZ584:BA587)</f>
        <v>0</v>
      </c>
      <c r="BA588" s="1744"/>
      <c r="BB588" s="1752">
        <f>SUM(BB584:BC587)</f>
        <v>0</v>
      </c>
      <c r="BC588" s="1753"/>
      <c r="BD588" s="1742">
        <f>SUM(BD583:BE587)</f>
        <v>0</v>
      </c>
      <c r="BE588" s="1744"/>
      <c r="BF588" s="1752">
        <f>SUM(BF585:BG587)</f>
        <v>0</v>
      </c>
      <c r="BG588" s="1753"/>
      <c r="BH588" s="1742">
        <f>SUM(BH583:BI587)</f>
        <v>1</v>
      </c>
      <c r="BI588" s="1744"/>
      <c r="BJ588" s="1752">
        <f>SUM(BJ583:BK587)</f>
        <v>0</v>
      </c>
      <c r="BK588" s="1753"/>
      <c r="BL588" s="1742">
        <f>SUM(BL583:BM587)</f>
        <v>2</v>
      </c>
      <c r="BM588" s="1744"/>
      <c r="BN588" s="1752">
        <f>SUM(BN583:BO587)</f>
        <v>0</v>
      </c>
      <c r="BO588" s="1753"/>
      <c r="BP588" s="1742">
        <f>SUM(BP583:BQ587)</f>
        <v>2</v>
      </c>
      <c r="BQ588" s="1744"/>
    </row>
    <row r="589" spans="5:96" s="4" customFormat="1" ht="12.75" customHeight="1">
      <c r="E589" s="1660">
        <v>7</v>
      </c>
      <c r="F589" s="1661"/>
      <c r="G589" s="1661"/>
      <c r="H589" s="1661"/>
      <c r="I589" s="1661"/>
      <c r="J589" s="1662"/>
      <c r="K589" s="1657" t="s">
        <v>2131</v>
      </c>
      <c r="L589" s="1658"/>
      <c r="M589" s="1658"/>
      <c r="N589" s="1658"/>
      <c r="O589" s="1658"/>
      <c r="P589" s="1659"/>
      <c r="Q589" s="1647">
        <f t="shared" si="6"/>
        <v>25.925925925925924</v>
      </c>
      <c r="R589" s="1648"/>
      <c r="S589" s="1648"/>
      <c r="T589" s="1648"/>
      <c r="U589" s="1648"/>
      <c r="V589" s="1649"/>
      <c r="W589" s="1663">
        <f t="shared" si="7"/>
        <v>25</v>
      </c>
      <c r="X589" s="1664"/>
      <c r="Y589" s="1664"/>
      <c r="Z589" s="1664"/>
      <c r="AA589" s="1664"/>
      <c r="AB589" s="1665"/>
      <c r="AC589" s="1663">
        <v>0</v>
      </c>
      <c r="AD589" s="1664"/>
      <c r="AE589" s="1664"/>
      <c r="AF589" s="1664"/>
      <c r="AG589" s="1664"/>
      <c r="AH589" s="1665"/>
      <c r="AN589" s="281"/>
      <c r="AX589" s="1747">
        <f>IF(AND(AX588=1,AZ588&gt;1),1,0)</f>
        <v>0</v>
      </c>
      <c r="AY589" s="1748"/>
      <c r="AZ589" s="1748"/>
      <c r="BA589" s="1749"/>
      <c r="BB589" s="1747">
        <f>IF(AND(BB588=1,BD588&gt;=1),1,0)</f>
        <v>0</v>
      </c>
      <c r="BC589" s="1748"/>
      <c r="BD589" s="1748"/>
      <c r="BE589" s="1749"/>
      <c r="BF589" s="1747">
        <f>IF(AND(BF588=1,BH588&gt;=1),1,0)</f>
        <v>0</v>
      </c>
      <c r="BG589" s="1748"/>
      <c r="BH589" s="1748"/>
      <c r="BI589" s="1749"/>
      <c r="BJ589" s="1747">
        <f>IF(AND(BJ588=1,BL588&gt;=1),1,0)</f>
        <v>0</v>
      </c>
      <c r="BK589" s="1748"/>
      <c r="BL589" s="1748"/>
      <c r="BM589" s="1749"/>
      <c r="BN589" s="1747">
        <f>IF(AND(BN588=1,BP588&gt;=1),1,0)</f>
        <v>0</v>
      </c>
      <c r="BO589" s="1748"/>
      <c r="BP589" s="1748"/>
      <c r="BQ589" s="1749"/>
    </row>
    <row r="590" spans="5:96" s="4" customFormat="1" ht="12.75" customHeight="1">
      <c r="E590" s="1660"/>
      <c r="F590" s="1661"/>
      <c r="G590" s="1661"/>
      <c r="H590" s="1661"/>
      <c r="I590" s="1661"/>
      <c r="J590" s="1662"/>
      <c r="K590" s="1657" t="s">
        <v>2132</v>
      </c>
      <c r="L590" s="1658"/>
      <c r="M590" s="1658"/>
      <c r="N590" s="1658"/>
      <c r="O590" s="1658"/>
      <c r="P590" s="1659"/>
      <c r="Q590" s="1647">
        <f>IF(ISERROR(IF((((E590/$BJ$528)*100)&gt;100),"EXCESSIVE VALUE",(E590/$BJ$528)*100)),0,IF((((E590/$BJ$528)*100)&gt;100),"EXCESSIVE VALUE",(E590/$BJ$528)*100))</f>
        <v>0</v>
      </c>
      <c r="R590" s="1648"/>
      <c r="S590" s="1648"/>
      <c r="T590" s="1648"/>
      <c r="U590" s="1648"/>
      <c r="V590" s="1649"/>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610</v>
      </c>
      <c r="BJ590" s="1747">
        <f>AX589+BB589+BF589+BJ589+BN589</f>
        <v>0</v>
      </c>
      <c r="BK590" s="1748"/>
      <c r="BL590" s="1748"/>
      <c r="BM590" s="1749"/>
      <c r="BN590"/>
      <c r="BO590"/>
      <c r="BP590"/>
      <c r="BQ590"/>
    </row>
    <row r="591" spans="5:96" s="4" customFormat="1" ht="12.75" customHeight="1">
      <c r="E591" s="1660"/>
      <c r="F591" s="1661"/>
      <c r="G591" s="1661"/>
      <c r="H591" s="1661"/>
      <c r="I591" s="1661"/>
      <c r="J591" s="1662"/>
      <c r="K591" s="1657" t="s">
        <v>2133</v>
      </c>
      <c r="L591" s="1658"/>
      <c r="M591" s="1658"/>
      <c r="N591" s="1658"/>
      <c r="O591" s="1658"/>
      <c r="P591" s="1659"/>
      <c r="Q591" s="1647">
        <f>IF(ISERROR(IF((((E591/$BJ$528)*100)&gt;100),"EXCESSIVE VALUE",(E591/$BJ$528)*100)),0,IF((((E591/$BJ$528)*100)&gt;100),"EXCESSIVE VALUE",(E591/$BJ$528)*100))</f>
        <v>0</v>
      </c>
      <c r="R591" s="1648"/>
      <c r="S591" s="1648"/>
      <c r="T591" s="1648"/>
      <c r="U591" s="1648"/>
      <c r="V591" s="1649"/>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609</v>
      </c>
      <c r="BK591"/>
      <c r="BL591"/>
      <c r="BM591"/>
      <c r="BN591"/>
      <c r="BO591"/>
      <c r="BP591"/>
      <c r="BQ591"/>
    </row>
    <row r="592" spans="5:96" s="4" customFormat="1" ht="12.75" customHeight="1">
      <c r="E592" s="1785">
        <f>SUM(E581:J591)</f>
        <v>27</v>
      </c>
      <c r="F592" s="1786"/>
      <c r="G592" s="1786"/>
      <c r="H592" s="1786"/>
      <c r="I592" s="1786"/>
      <c r="J592" s="1787"/>
      <c r="K592" s="89"/>
      <c r="L592" s="89"/>
      <c r="M592" s="89"/>
      <c r="N592" s="89"/>
      <c r="O592" s="89"/>
      <c r="P592" s="89"/>
      <c r="Q592" s="89"/>
      <c r="R592" s="89"/>
      <c r="S592" s="89"/>
      <c r="T592" s="89"/>
      <c r="U592" s="93"/>
      <c r="V592" s="93"/>
      <c r="W592" s="93"/>
      <c r="X592" s="93"/>
      <c r="Y592" s="93"/>
      <c r="Z592" s="89"/>
      <c r="AA592" s="93"/>
      <c r="AB592" s="60" t="s">
        <v>605</v>
      </c>
      <c r="AC592" s="1826">
        <f>IF(SUM(AC581:AH591)&gt;0,SUM(AC581:AH591),0)</f>
        <v>50</v>
      </c>
      <c r="AD592" s="1827"/>
      <c r="AE592" s="1827"/>
      <c r="AF592" s="1827"/>
      <c r="AG592" s="1827"/>
      <c r="AH592" s="182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92" t="s">
        <v>103</v>
      </c>
      <c r="AH596" s="1692"/>
      <c r="AI596" s="1692"/>
      <c r="AJ596" s="1692"/>
      <c r="AK596" s="5"/>
      <c r="AL596" s="5"/>
      <c r="AM596" s="5"/>
      <c r="AN596" s="281"/>
    </row>
    <row r="597" spans="1:64" s="4" customFormat="1" ht="12.75" customHeight="1">
      <c r="B597" s="1697" t="s">
        <v>2121</v>
      </c>
      <c r="C597" s="1697"/>
      <c r="D597" s="1697"/>
      <c r="E597" s="1697"/>
      <c r="F597" s="1697"/>
      <c r="G597" s="1697"/>
      <c r="H597" s="1697"/>
      <c r="I597" s="1697"/>
      <c r="J597" s="1697"/>
      <c r="K597" s="1697"/>
      <c r="L597" s="1697"/>
      <c r="M597" s="1697"/>
      <c r="N597" s="1697"/>
      <c r="O597" s="1697"/>
      <c r="P597" s="1697"/>
      <c r="Q597" s="1697"/>
      <c r="R597" s="1697"/>
      <c r="S597" s="1697"/>
      <c r="T597" s="1697"/>
      <c r="U597" s="1697"/>
      <c r="V597" s="1697"/>
      <c r="W597" s="1697"/>
      <c r="X597" s="1697"/>
      <c r="Y597" s="1697"/>
      <c r="Z597" s="1697"/>
      <c r="AA597" s="1697"/>
      <c r="AB597" s="1697"/>
      <c r="AC597" s="1697"/>
      <c r="AD597" s="1697"/>
      <c r="AE597" s="1697"/>
      <c r="AF597" s="1697"/>
      <c r="AG597" s="1697"/>
      <c r="AH597" s="1697"/>
      <c r="AI597" s="21"/>
      <c r="AJ597" s="21"/>
      <c r="AK597"/>
      <c r="AL597"/>
      <c r="AM597"/>
      <c r="AN597" s="281"/>
    </row>
    <row r="598" spans="1:64" s="4" customFormat="1" ht="12.75" customHeight="1">
      <c r="A598" s="21"/>
      <c r="B598" s="1697"/>
      <c r="C598" s="1697"/>
      <c r="D598" s="1697"/>
      <c r="E598" s="1697"/>
      <c r="F598" s="1697"/>
      <c r="G598" s="1697"/>
      <c r="H598" s="1697"/>
      <c r="I598" s="1697"/>
      <c r="J598" s="1697"/>
      <c r="K598" s="1697"/>
      <c r="L598" s="1697"/>
      <c r="M598" s="1697"/>
      <c r="N598" s="1697"/>
      <c r="O598" s="1697"/>
      <c r="P598" s="1697"/>
      <c r="Q598" s="1697"/>
      <c r="R598" s="1697"/>
      <c r="S598" s="1697"/>
      <c r="T598" s="1697"/>
      <c r="U598" s="1697"/>
      <c r="V598" s="1697"/>
      <c r="W598" s="1697"/>
      <c r="X598" s="1697"/>
      <c r="Y598" s="1697"/>
      <c r="Z598" s="1697"/>
      <c r="AA598" s="1697"/>
      <c r="AB598" s="1697"/>
      <c r="AC598" s="1697"/>
      <c r="AD598" s="1697"/>
      <c r="AE598" s="1697"/>
      <c r="AF598" s="1697"/>
      <c r="AG598" s="1697"/>
      <c r="AH598" s="1697"/>
      <c r="AI598" s="21"/>
      <c r="AJ598" s="21"/>
      <c r="AK598"/>
      <c r="AL598"/>
      <c r="AM598"/>
      <c r="AN598" s="281"/>
    </row>
    <row r="599" spans="1:64" s="4" customFormat="1" ht="12.75" customHeight="1">
      <c r="A599" s="21"/>
      <c r="B599" s="1697"/>
      <c r="C599" s="1697"/>
      <c r="D599" s="1697"/>
      <c r="E599" s="1697"/>
      <c r="F599" s="1697"/>
      <c r="G599" s="1697"/>
      <c r="H599" s="1697"/>
      <c r="I599" s="1697"/>
      <c r="J599" s="1697"/>
      <c r="K599" s="1697"/>
      <c r="L599" s="1697"/>
      <c r="M599" s="1697"/>
      <c r="N599" s="1697"/>
      <c r="O599" s="1697"/>
      <c r="P599" s="1697"/>
      <c r="Q599" s="1697"/>
      <c r="R599" s="1697"/>
      <c r="S599" s="1697"/>
      <c r="T599" s="1697"/>
      <c r="U599" s="1697"/>
      <c r="V599" s="1697"/>
      <c r="W599" s="1697"/>
      <c r="X599" s="1697"/>
      <c r="Y599" s="1697"/>
      <c r="Z599" s="1697"/>
      <c r="AA599" s="1697"/>
      <c r="AB599" s="1697"/>
      <c r="AC599" s="1697"/>
      <c r="AD599" s="1697"/>
      <c r="AE599" s="1697"/>
      <c r="AF599" s="1697"/>
      <c r="AG599" s="1697"/>
      <c r="AH599" s="1697"/>
      <c r="AI599" s="21"/>
      <c r="AJ599" s="21"/>
      <c r="AK599"/>
      <c r="AL599"/>
      <c r="AM599"/>
      <c r="AN599" s="281"/>
    </row>
    <row r="600" spans="1:64" s="4" customFormat="1" ht="12.75" customHeight="1">
      <c r="A600" s="21"/>
      <c r="B600" s="1697"/>
      <c r="C600" s="1697"/>
      <c r="D600" s="1697"/>
      <c r="E600" s="1697"/>
      <c r="F600" s="1697"/>
      <c r="G600" s="1697"/>
      <c r="H600" s="1697"/>
      <c r="I600" s="1697"/>
      <c r="J600" s="1697"/>
      <c r="K600" s="1697"/>
      <c r="L600" s="1697"/>
      <c r="M600" s="1697"/>
      <c r="N600" s="1697"/>
      <c r="O600" s="1697"/>
      <c r="P600" s="1697"/>
      <c r="Q600" s="1697"/>
      <c r="R600" s="1697"/>
      <c r="S600" s="1697"/>
      <c r="T600" s="1697"/>
      <c r="U600" s="1697"/>
      <c r="V600" s="1697"/>
      <c r="W600" s="1697"/>
      <c r="X600" s="1697"/>
      <c r="Y600" s="1697"/>
      <c r="Z600" s="1697"/>
      <c r="AA600" s="1697"/>
      <c r="AB600" s="1697"/>
      <c r="AC600" s="1697"/>
      <c r="AD600" s="1697"/>
      <c r="AE600" s="1697"/>
      <c r="AF600" s="1697"/>
      <c r="AG600" s="1697"/>
      <c r="AH600" s="1697"/>
      <c r="AI600" s="21"/>
      <c r="AJ600" s="21"/>
      <c r="AK600"/>
      <c r="AL600"/>
      <c r="AM600"/>
      <c r="AN600" s="669"/>
    </row>
    <row r="601" spans="1:64">
      <c r="B601" s="1697"/>
      <c r="C601" s="1697"/>
      <c r="D601" s="1697"/>
      <c r="E601" s="1697"/>
      <c r="F601" s="1697"/>
      <c r="G601" s="1697"/>
      <c r="H601" s="1697"/>
      <c r="I601" s="1697"/>
      <c r="J601" s="1697"/>
      <c r="K601" s="1697"/>
      <c r="L601" s="1697"/>
      <c r="M601" s="1697"/>
      <c r="N601" s="1697"/>
      <c r="O601" s="1697"/>
      <c r="P601" s="1697"/>
      <c r="Q601" s="1697"/>
      <c r="R601" s="1697"/>
      <c r="S601" s="1697"/>
      <c r="T601" s="1697"/>
      <c r="U601" s="1697"/>
      <c r="V601" s="1697"/>
      <c r="W601" s="1697"/>
      <c r="X601" s="1697"/>
      <c r="Y601" s="1697"/>
      <c r="Z601" s="1697"/>
      <c r="AA601" s="1697"/>
      <c r="AB601" s="1697"/>
      <c r="AC601" s="1697"/>
      <c r="AD601" s="1697"/>
      <c r="AE601" s="1697"/>
      <c r="AF601" s="1697"/>
      <c r="AG601" s="1697"/>
      <c r="AH601" s="1697"/>
      <c r="AK601"/>
      <c r="AL601"/>
      <c r="AM601"/>
      <c r="BD601" s="21"/>
      <c r="BE601" s="21"/>
      <c r="BF601" s="21"/>
      <c r="BG601" s="21"/>
      <c r="BH601" s="21"/>
    </row>
    <row r="602" spans="1:64" ht="12.75" customHeight="1">
      <c r="B602" s="1697"/>
      <c r="C602" s="1697"/>
      <c r="D602" s="1697"/>
      <c r="E602" s="1697"/>
      <c r="F602" s="1697"/>
      <c r="G602" s="1697"/>
      <c r="H602" s="1697"/>
      <c r="I602" s="1697"/>
      <c r="J602" s="1697"/>
      <c r="K602" s="1697"/>
      <c r="L602" s="1697"/>
      <c r="M602" s="1697"/>
      <c r="N602" s="1697"/>
      <c r="O602" s="1697"/>
      <c r="P602" s="1697"/>
      <c r="Q602" s="1697"/>
      <c r="R602" s="1697"/>
      <c r="S602" s="1697"/>
      <c r="T602" s="1697"/>
      <c r="U602" s="1697"/>
      <c r="V602" s="1697"/>
      <c r="W602" s="1697"/>
      <c r="X602" s="1697"/>
      <c r="Y602" s="1697"/>
      <c r="Z602" s="1697"/>
      <c r="AA602" s="1697"/>
      <c r="AB602" s="1697"/>
      <c r="AC602" s="1697"/>
      <c r="AD602" s="1697"/>
      <c r="AE602" s="1697"/>
      <c r="AF602" s="1697"/>
      <c r="AG602" s="1697"/>
      <c r="AH602" s="1697"/>
    </row>
    <row r="603" spans="1:64" ht="12.75" customHeight="1">
      <c r="E603" s="162"/>
    </row>
    <row r="604" spans="1:64">
      <c r="J604" s="1816" t="s">
        <v>795</v>
      </c>
      <c r="K604" s="1817"/>
      <c r="L604" s="1817"/>
      <c r="M604" s="1817"/>
      <c r="N604" s="1818"/>
      <c r="O604" s="1283" t="s">
        <v>1505</v>
      </c>
      <c r="P604" s="1284"/>
      <c r="Q604" s="1284"/>
      <c r="R604" s="1284"/>
      <c r="S604" s="1285"/>
      <c r="T604" s="1283" t="s">
        <v>1769</v>
      </c>
      <c r="U604" s="1284"/>
      <c r="V604" s="1284"/>
      <c r="W604" s="1284"/>
      <c r="X604" s="1285"/>
      <c r="Y604" s="1283" t="s">
        <v>1506</v>
      </c>
      <c r="Z604" s="1284"/>
      <c r="AA604" s="1284"/>
      <c r="AB604" s="1284"/>
      <c r="AC604" s="1285"/>
      <c r="AF604"/>
      <c r="AG604"/>
      <c r="AH604"/>
      <c r="AI604"/>
      <c r="AJ604"/>
    </row>
    <row r="605" spans="1:64">
      <c r="D605"/>
      <c r="E605"/>
      <c r="F605"/>
      <c r="G605"/>
      <c r="H605"/>
      <c r="I605"/>
      <c r="J605" s="1819"/>
      <c r="K605" s="1820"/>
      <c r="L605" s="1820"/>
      <c r="M605" s="1820"/>
      <c r="N605" s="1821"/>
      <c r="O605" s="1286"/>
      <c r="P605" s="1287"/>
      <c r="Q605" s="1287"/>
      <c r="R605" s="1287"/>
      <c r="S605" s="1288"/>
      <c r="T605" s="1286"/>
      <c r="U605" s="1287"/>
      <c r="V605" s="1287"/>
      <c r="W605" s="1287"/>
      <c r="X605" s="1288"/>
      <c r="Y605" s="1286"/>
      <c r="Z605" s="1287"/>
      <c r="AA605" s="1287"/>
      <c r="AB605" s="1287"/>
      <c r="AC605" s="1288"/>
      <c r="AF605"/>
      <c r="AG605"/>
      <c r="AH605"/>
      <c r="AI605"/>
      <c r="AJ605"/>
      <c r="AO605" s="38" t="s">
        <v>2232</v>
      </c>
      <c r="AR605" s="21" t="b">
        <f>$Y$614&gt;=10%</f>
        <v>1</v>
      </c>
    </row>
    <row r="606" spans="1:64">
      <c r="I606"/>
      <c r="J606" s="1819"/>
      <c r="K606" s="1820"/>
      <c r="L606" s="1820"/>
      <c r="M606" s="1820"/>
      <c r="N606" s="1821"/>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2233</v>
      </c>
      <c r="AR606" s="955">
        <f>ROUNDUP(($O$614*10%),0)</f>
        <v>3</v>
      </c>
    </row>
    <row r="607" spans="1:64">
      <c r="D607"/>
      <c r="E607"/>
      <c r="F607"/>
      <c r="G607"/>
      <c r="H607"/>
      <c r="I607"/>
      <c r="J607" s="1819"/>
      <c r="K607" s="1820"/>
      <c r="L607" s="1820"/>
      <c r="M607" s="1820"/>
      <c r="N607" s="1821"/>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2234</v>
      </c>
      <c r="AR607" s="21" t="s">
        <v>2235</v>
      </c>
    </row>
    <row r="608" spans="1:64">
      <c r="D608"/>
      <c r="E608"/>
      <c r="F608"/>
      <c r="G608"/>
      <c r="H608"/>
      <c r="I608"/>
      <c r="J608" s="1705" t="s">
        <v>225</v>
      </c>
      <c r="K608" s="1706"/>
      <c r="L608" s="1706"/>
      <c r="M608" s="1706"/>
      <c r="N608" s="1707"/>
      <c r="O608" s="1657">
        <f>Application!CM626</f>
        <v>0</v>
      </c>
      <c r="P608" s="1658"/>
      <c r="Q608" s="1658"/>
      <c r="R608" s="1658"/>
      <c r="S608" s="1659"/>
      <c r="T608" s="1657">
        <f>Application!DR627</f>
        <v>0</v>
      </c>
      <c r="U608" s="1658"/>
      <c r="V608" s="1658"/>
      <c r="W608" s="1658"/>
      <c r="X608" s="1659"/>
      <c r="Y608" s="1708">
        <f t="shared" ref="Y608:Y612" si="8">IF(T608&gt;0,T608/O608,0)</f>
        <v>0</v>
      </c>
      <c r="Z608" s="1709"/>
      <c r="AA608" s="1709"/>
      <c r="AB608" s="1709"/>
      <c r="AC608" s="1710"/>
      <c r="AD608"/>
      <c r="AF608"/>
      <c r="AG608"/>
      <c r="AH608"/>
      <c r="AI608"/>
      <c r="AJ608"/>
      <c r="AO608" s="955">
        <f>ROUNDUP((O608*10%),0)</f>
        <v>0</v>
      </c>
      <c r="AP608" s="206"/>
      <c r="AR608" s="956" t="b">
        <f>OR(SUM($T$608:T608)&gt;=$AR$606,T608&gt;=AO608)</f>
        <v>1</v>
      </c>
    </row>
    <row r="609" spans="1:60">
      <c r="D609"/>
      <c r="E609"/>
      <c r="F609"/>
      <c r="G609"/>
      <c r="H609"/>
      <c r="I609"/>
      <c r="J609" s="1705" t="s">
        <v>31</v>
      </c>
      <c r="K609" s="1706"/>
      <c r="L609" s="1706"/>
      <c r="M609" s="1706"/>
      <c r="N609" s="1707"/>
      <c r="O609" s="1657">
        <f>Application!CH626</f>
        <v>0</v>
      </c>
      <c r="P609" s="1658"/>
      <c r="Q609" s="1658"/>
      <c r="R609" s="1658"/>
      <c r="S609" s="1659"/>
      <c r="T609" s="1657">
        <f>Application!DM627</f>
        <v>0</v>
      </c>
      <c r="U609" s="1658"/>
      <c r="V609" s="1658"/>
      <c r="W609" s="1658"/>
      <c r="X609" s="1659"/>
      <c r="Y609" s="1708">
        <f t="shared" si="8"/>
        <v>0</v>
      </c>
      <c r="Z609" s="1709"/>
      <c r="AA609" s="1709"/>
      <c r="AB609" s="1709"/>
      <c r="AC609" s="1710"/>
      <c r="AD609"/>
      <c r="AF609"/>
      <c r="AG609"/>
      <c r="AH609"/>
      <c r="AI609"/>
      <c r="AJ609"/>
      <c r="AO609" s="955">
        <f t="shared" ref="AO609:AO613" si="9">ROUNDUP((O609*10%),0)</f>
        <v>0</v>
      </c>
      <c r="AP609" s="206"/>
      <c r="AR609" s="956" t="b">
        <f>OR(SUM($T$608:T609)&gt;=$AR$606,T609&gt;=AO609)</f>
        <v>1</v>
      </c>
    </row>
    <row r="610" spans="1:60">
      <c r="D610"/>
      <c r="E610"/>
      <c r="F610"/>
      <c r="G610"/>
      <c r="H610"/>
      <c r="I610"/>
      <c r="J610" s="1705" t="s">
        <v>265</v>
      </c>
      <c r="K610" s="1706"/>
      <c r="L610" s="1706"/>
      <c r="M610" s="1706"/>
      <c r="N610" s="1707"/>
      <c r="O610" s="1657">
        <f>Application!CC626</f>
        <v>10</v>
      </c>
      <c r="P610" s="1658"/>
      <c r="Q610" s="1658"/>
      <c r="R610" s="1658"/>
      <c r="S610" s="1659"/>
      <c r="T610" s="1657">
        <f>Application!DH627</f>
        <v>2</v>
      </c>
      <c r="U610" s="1658"/>
      <c r="V610" s="1658"/>
      <c r="W610" s="1658"/>
      <c r="X610" s="1659"/>
      <c r="Y610" s="1708">
        <f t="shared" si="8"/>
        <v>0.2</v>
      </c>
      <c r="Z610" s="1709"/>
      <c r="AA610" s="1709"/>
      <c r="AB610" s="1709"/>
      <c r="AC610" s="1710"/>
      <c r="AD610"/>
      <c r="AF610"/>
      <c r="AG610"/>
      <c r="AH610"/>
      <c r="AI610"/>
      <c r="AJ610"/>
      <c r="AO610" s="955">
        <f t="shared" si="9"/>
        <v>1</v>
      </c>
      <c r="AP610" s="206"/>
      <c r="AR610" s="956" t="b">
        <f>OR(SUM($T$608:T610)&gt;=$AR$606,T610&gt;=AO610)</f>
        <v>1</v>
      </c>
    </row>
    <row r="611" spans="1:60">
      <c r="D611"/>
      <c r="E611"/>
      <c r="F611"/>
      <c r="G611"/>
      <c r="H611"/>
      <c r="I611"/>
      <c r="J611" s="1705" t="s">
        <v>264</v>
      </c>
      <c r="K611" s="1706"/>
      <c r="L611" s="1706"/>
      <c r="M611" s="1706"/>
      <c r="N611" s="1707"/>
      <c r="O611" s="1657">
        <f>Application!BX626</f>
        <v>17</v>
      </c>
      <c r="P611" s="1658"/>
      <c r="Q611" s="1658"/>
      <c r="R611" s="1658"/>
      <c r="S611" s="1659"/>
      <c r="T611" s="1657">
        <f>Application!DC627</f>
        <v>2</v>
      </c>
      <c r="U611" s="1658"/>
      <c r="V611" s="1658"/>
      <c r="W611" s="1658"/>
      <c r="X611" s="1659"/>
      <c r="Y611" s="1708">
        <f t="shared" si="8"/>
        <v>0.11764705882352941</v>
      </c>
      <c r="Z611" s="1709"/>
      <c r="AA611" s="1709"/>
      <c r="AB611" s="1709"/>
      <c r="AC611" s="1710"/>
      <c r="AD611"/>
      <c r="AF611"/>
      <c r="AG611"/>
      <c r="AH611"/>
      <c r="AI611"/>
      <c r="AJ611"/>
      <c r="AO611" s="955">
        <f t="shared" si="9"/>
        <v>2</v>
      </c>
      <c r="AP611" s="206"/>
      <c r="AR611" s="956" t="b">
        <f>OR(SUM($T$608:T611)&gt;=$AR$606,T611&gt;=AO611)</f>
        <v>1</v>
      </c>
    </row>
    <row r="612" spans="1:60">
      <c r="D612"/>
      <c r="E612"/>
      <c r="F612"/>
      <c r="G612"/>
      <c r="H612"/>
      <c r="I612"/>
      <c r="J612" s="1705" t="s">
        <v>263</v>
      </c>
      <c r="K612" s="1706"/>
      <c r="L612" s="1706"/>
      <c r="M612" s="1706"/>
      <c r="N612" s="1707"/>
      <c r="O612" s="1657">
        <f>Application!BS626</f>
        <v>0</v>
      </c>
      <c r="P612" s="1658"/>
      <c r="Q612" s="1658"/>
      <c r="R612" s="1658"/>
      <c r="S612" s="1659"/>
      <c r="T612" s="1657">
        <f>Application!CX627</f>
        <v>0</v>
      </c>
      <c r="U612" s="1658"/>
      <c r="V612" s="1658"/>
      <c r="W612" s="1658"/>
      <c r="X612" s="1659"/>
      <c r="Y612" s="1708">
        <f t="shared" si="8"/>
        <v>0</v>
      </c>
      <c r="Z612" s="1709"/>
      <c r="AA612" s="1709"/>
      <c r="AB612" s="1709"/>
      <c r="AC612" s="1710"/>
      <c r="AD612"/>
      <c r="AF612"/>
      <c r="AG612"/>
      <c r="AH612"/>
      <c r="AI612"/>
      <c r="AJ612"/>
      <c r="AO612" s="955">
        <f t="shared" si="9"/>
        <v>0</v>
      </c>
      <c r="AP612" s="206"/>
      <c r="AR612" s="956" t="b">
        <f>OR(SUM($T$608:T612)&gt;=$AR$606,T612&gt;=AO612)</f>
        <v>1</v>
      </c>
    </row>
    <row r="613" spans="1:60">
      <c r="D613"/>
      <c r="E613"/>
      <c r="F613"/>
      <c r="G613"/>
      <c r="H613"/>
      <c r="I613"/>
      <c r="J613" s="1705" t="s">
        <v>615</v>
      </c>
      <c r="K613" s="1706"/>
      <c r="L613" s="1706"/>
      <c r="M613" s="1706"/>
      <c r="N613" s="1707"/>
      <c r="O613" s="1657">
        <f>Application!BN626</f>
        <v>0</v>
      </c>
      <c r="P613" s="1658"/>
      <c r="Q613" s="1658"/>
      <c r="R613" s="1658"/>
      <c r="S613" s="1659"/>
      <c r="T613" s="1657">
        <f>Application!CS627</f>
        <v>0</v>
      </c>
      <c r="U613" s="1658"/>
      <c r="V613" s="1658"/>
      <c r="W613" s="1658"/>
      <c r="X613" s="1659"/>
      <c r="Y613" s="1708">
        <f>IF(T613&gt;0,T613/O613,0)</f>
        <v>0</v>
      </c>
      <c r="Z613" s="1709"/>
      <c r="AA613" s="1709"/>
      <c r="AB613" s="1709"/>
      <c r="AC613" s="1710"/>
      <c r="AD613"/>
      <c r="AF613"/>
      <c r="AG613"/>
      <c r="AH613"/>
      <c r="AI613"/>
      <c r="AJ613"/>
      <c r="AO613" s="955">
        <f t="shared" si="9"/>
        <v>0</v>
      </c>
      <c r="AP613" s="206"/>
      <c r="AR613" s="956" t="b">
        <f>OR(SUM($T$608:T613)&gt;=$AR$606,T613&gt;=AO613)</f>
        <v>1</v>
      </c>
    </row>
    <row r="614" spans="1:60">
      <c r="D614"/>
      <c r="E614"/>
      <c r="F614"/>
      <c r="G614"/>
      <c r="H614"/>
      <c r="I614"/>
      <c r="J614" s="1559" t="s">
        <v>876</v>
      </c>
      <c r="K614" s="1560"/>
      <c r="L614" s="1560"/>
      <c r="M614" s="1560"/>
      <c r="N614" s="1561"/>
      <c r="O614" s="1845">
        <f>SUM(O608:S613)</f>
        <v>27</v>
      </c>
      <c r="P614" s="1846"/>
      <c r="Q614" s="1846"/>
      <c r="R614" s="1846"/>
      <c r="S614" s="1847"/>
      <c r="T614" s="1845">
        <f>SUM(T608:X613)</f>
        <v>4</v>
      </c>
      <c r="U614" s="1846"/>
      <c r="V614" s="1846"/>
      <c r="W614" s="1846"/>
      <c r="X614" s="1847"/>
      <c r="Y614" s="1823">
        <f>IF(T614&gt;0,T614/O614,0)</f>
        <v>0.14814814814814814</v>
      </c>
      <c r="Z614" s="1824"/>
      <c r="AA614" s="1824"/>
      <c r="AB614" s="1824"/>
      <c r="AC614" s="182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14">
        <f>IF(AND(AR605,AR608,AR609,AR610,AR611,AR612,AR613),2,0)</f>
        <v>2</v>
      </c>
      <c r="AK617" s="1815"/>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44" t="s">
        <v>180</v>
      </c>
      <c r="B619" s="1844"/>
      <c r="C619" s="1844"/>
      <c r="D619" s="1844"/>
      <c r="E619" s="1844"/>
      <c r="F619" s="1844"/>
      <c r="G619" s="1844"/>
      <c r="H619" s="1844"/>
      <c r="I619" s="1844"/>
      <c r="J619" s="1844"/>
      <c r="K619" s="1844"/>
      <c r="L619" s="1844"/>
      <c r="M619" s="1844"/>
      <c r="N619" s="1844"/>
      <c r="O619" s="1844"/>
      <c r="P619" s="1844"/>
      <c r="Q619" s="1844"/>
      <c r="R619" s="1844"/>
      <c r="S619" s="1844"/>
      <c r="T619" s="1844"/>
      <c r="U619" s="1844"/>
      <c r="V619" s="1844"/>
      <c r="W619" s="1844"/>
      <c r="X619" s="1844"/>
      <c r="Y619" s="1844"/>
      <c r="Z619" s="1844"/>
      <c r="AA619" s="1844"/>
      <c r="AB619" s="1844"/>
      <c r="AC619" s="1844"/>
      <c r="AD619" s="1844"/>
      <c r="AE619" s="1844"/>
      <c r="AF619" s="1844"/>
      <c r="AG619" s="1844"/>
      <c r="AH619" s="1844"/>
      <c r="AI619" s="1844"/>
      <c r="AJ619" s="1844"/>
      <c r="AK619" s="1069">
        <f>IF($E$592=Application!G730,$AC$592+$AJ$617,0)</f>
        <v>52</v>
      </c>
      <c r="AL619" s="1070"/>
      <c r="AM619" s="10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68" t="s">
        <v>1510</v>
      </c>
      <c r="C623" s="1668"/>
      <c r="D623" s="1668"/>
      <c r="E623" s="1668"/>
      <c r="F623" s="1668"/>
      <c r="G623" s="1668"/>
      <c r="H623" s="1668"/>
      <c r="I623" s="1668"/>
      <c r="J623" s="1668"/>
      <c r="K623" s="1668"/>
      <c r="L623" s="1668"/>
      <c r="M623" s="1668"/>
      <c r="N623" s="1668"/>
      <c r="O623" s="1668"/>
      <c r="P623" s="1668"/>
      <c r="Q623" s="1668"/>
      <c r="R623" s="1668"/>
      <c r="S623" s="1668"/>
      <c r="T623" s="1668"/>
      <c r="U623" s="1668"/>
      <c r="V623" s="1668"/>
      <c r="W623" s="1668"/>
      <c r="X623" s="1668"/>
      <c r="Y623" s="1668"/>
      <c r="Z623" s="1668"/>
      <c r="AA623" s="1668"/>
      <c r="AB623" s="1668"/>
      <c r="AC623" s="1668"/>
      <c r="AD623" s="1668"/>
      <c r="AE623" s="1668"/>
      <c r="AF623" s="1668"/>
      <c r="AG623" s="1668"/>
      <c r="AH623" s="1668"/>
      <c r="AI623" s="1668"/>
      <c r="AJ623" s="1668"/>
      <c r="AK623" s="4"/>
      <c r="AL623" s="4"/>
      <c r="AM623" s="4"/>
    </row>
    <row r="624" spans="1:60">
      <c r="A624" s="4"/>
      <c r="B624" s="1668"/>
      <c r="C624" s="1668"/>
      <c r="D624" s="1668"/>
      <c r="E624" s="1668"/>
      <c r="F624" s="1668"/>
      <c r="G624" s="1668"/>
      <c r="H624" s="1668"/>
      <c r="I624" s="1668"/>
      <c r="J624" s="1668"/>
      <c r="K624" s="1668"/>
      <c r="L624" s="1668"/>
      <c r="M624" s="1668"/>
      <c r="N624" s="1668"/>
      <c r="O624" s="1668"/>
      <c r="P624" s="1668"/>
      <c r="Q624" s="1668"/>
      <c r="R624" s="1668"/>
      <c r="S624" s="1668"/>
      <c r="T624" s="1668"/>
      <c r="U624" s="1668"/>
      <c r="V624" s="1668"/>
      <c r="W624" s="1668"/>
      <c r="X624" s="1668"/>
      <c r="Y624" s="1668"/>
      <c r="Z624" s="1668"/>
      <c r="AA624" s="1668"/>
      <c r="AB624" s="1668"/>
      <c r="AC624" s="1668"/>
      <c r="AD624" s="1668"/>
      <c r="AE624" s="1668"/>
      <c r="AF624" s="1668"/>
      <c r="AG624" s="1668"/>
      <c r="AH624" s="1668"/>
      <c r="AI624" s="1668"/>
      <c r="AJ624" s="1668"/>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793" t="s">
        <v>2225</v>
      </c>
      <c r="G627" s="1794"/>
      <c r="H627" s="1794"/>
      <c r="I627" s="1794"/>
      <c r="J627" s="1794"/>
      <c r="K627" s="1794"/>
      <c r="L627" s="1794"/>
      <c r="M627" s="1794"/>
      <c r="N627" s="1794"/>
      <c r="O627" s="1794"/>
      <c r="P627" s="1794"/>
      <c r="Q627" s="1794"/>
      <c r="R627" s="1794"/>
      <c r="S627" s="1794"/>
      <c r="T627" s="1794"/>
      <c r="U627" s="1794"/>
      <c r="V627" s="1794"/>
      <c r="W627" s="1794"/>
      <c r="X627" s="1794"/>
      <c r="Y627" s="1794"/>
      <c r="Z627" s="1794"/>
      <c r="AA627" s="1794"/>
      <c r="AB627" s="1794"/>
      <c r="AC627" s="1794"/>
      <c r="AD627" s="1794"/>
      <c r="AE627" s="1795"/>
      <c r="AF627" s="175"/>
      <c r="AG627" s="1011" t="s">
        <v>938</v>
      </c>
      <c r="AH627" s="1011"/>
      <c r="AI627" s="1011"/>
      <c r="AJ627" s="1011"/>
      <c r="AK627" s="4"/>
      <c r="AL627" s="4"/>
      <c r="AM627" s="4"/>
      <c r="AO627" s="4"/>
      <c r="AP627" s="35"/>
    </row>
    <row r="628" spans="1:44">
      <c r="A628" s="4"/>
      <c r="B628" s="20"/>
      <c r="C628" s="45"/>
      <c r="D628" s="4"/>
      <c r="E628" s="185"/>
      <c r="F628" s="1796"/>
      <c r="G628" s="1797"/>
      <c r="H628" s="1797"/>
      <c r="I628" s="1797"/>
      <c r="J628" s="1797"/>
      <c r="K628" s="1797"/>
      <c r="L628" s="1797"/>
      <c r="M628" s="1797"/>
      <c r="N628" s="1797"/>
      <c r="O628" s="1797"/>
      <c r="P628" s="1797"/>
      <c r="Q628" s="1797"/>
      <c r="R628" s="1797"/>
      <c r="S628" s="1797"/>
      <c r="T628" s="1797"/>
      <c r="U628" s="1797"/>
      <c r="V628" s="1797"/>
      <c r="W628" s="1797"/>
      <c r="X628" s="1797"/>
      <c r="Y628" s="1797"/>
      <c r="Z628" s="1797"/>
      <c r="AA628" s="1797"/>
      <c r="AB628" s="1797"/>
      <c r="AC628" s="1797"/>
      <c r="AD628" s="1797"/>
      <c r="AE628" s="1798"/>
      <c r="AF628" s="175"/>
      <c r="AG628" s="175"/>
      <c r="AH628" s="175"/>
      <c r="AI628" s="175"/>
      <c r="AJ628" s="4"/>
      <c r="AK628" s="4"/>
      <c r="AL628" s="4"/>
      <c r="AM628" s="4"/>
    </row>
    <row r="629" spans="1:44" ht="13.7" customHeight="1">
      <c r="A629" s="4"/>
      <c r="B629" s="20"/>
      <c r="C629" s="45"/>
      <c r="D629" s="4"/>
      <c r="E629" s="185"/>
      <c r="F629" s="1799"/>
      <c r="G629" s="1800"/>
      <c r="H629" s="1800"/>
      <c r="I629" s="1800"/>
      <c r="J629" s="1800"/>
      <c r="K629" s="1800"/>
      <c r="L629" s="1800"/>
      <c r="M629" s="1800"/>
      <c r="N629" s="1800"/>
      <c r="O629" s="1800"/>
      <c r="P629" s="1800"/>
      <c r="Q629" s="1800"/>
      <c r="R629" s="1800"/>
      <c r="S629" s="1800"/>
      <c r="T629" s="1800"/>
      <c r="U629" s="1800"/>
      <c r="V629" s="1800"/>
      <c r="W629" s="1800"/>
      <c r="X629" s="1800"/>
      <c r="Y629" s="1800"/>
      <c r="Z629" s="1800"/>
      <c r="AA629" s="1800"/>
      <c r="AB629" s="1800"/>
      <c r="AC629" s="1800"/>
      <c r="AD629" s="1800"/>
      <c r="AE629" s="180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68" t="s">
        <v>2230</v>
      </c>
      <c r="C631" s="1668"/>
      <c r="D631" s="1668"/>
      <c r="E631" s="1668"/>
      <c r="F631" s="1668"/>
      <c r="G631" s="1668"/>
      <c r="H631" s="1668"/>
      <c r="I631" s="1668"/>
      <c r="J631" s="1668"/>
      <c r="K631" s="1668"/>
      <c r="L631" s="1668"/>
      <c r="M631" s="1668"/>
      <c r="N631" s="1668"/>
      <c r="O631" s="1668"/>
      <c r="P631" s="1668"/>
      <c r="Q631" s="1668"/>
      <c r="R631" s="1668"/>
      <c r="S631" s="1668"/>
      <c r="T631" s="1668"/>
      <c r="U631" s="1668"/>
      <c r="V631" s="1668"/>
      <c r="W631" s="1668"/>
      <c r="X631" s="1668"/>
      <c r="Y631" s="1668"/>
      <c r="Z631" s="1668"/>
      <c r="AA631" s="1668"/>
      <c r="AB631" s="1668"/>
      <c r="AC631" s="1668"/>
      <c r="AD631" s="1668"/>
      <c r="AE631" s="1668"/>
      <c r="AF631" s="1668"/>
      <c r="AG631" s="1668"/>
      <c r="AH631" s="1668"/>
      <c r="AI631" s="175"/>
      <c r="AJ631" s="4"/>
      <c r="AK631" s="4"/>
      <c r="AL631" s="4"/>
      <c r="AM631" s="4"/>
      <c r="AN631" s="79"/>
    </row>
    <row r="632" spans="1:44" ht="13.7" customHeight="1">
      <c r="B632" s="1668"/>
      <c r="C632" s="1668"/>
      <c r="D632" s="1668"/>
      <c r="E632" s="1668"/>
      <c r="F632" s="1668"/>
      <c r="G632" s="1668"/>
      <c r="H632" s="1668"/>
      <c r="I632" s="1668"/>
      <c r="J632" s="1668"/>
      <c r="K632" s="1668"/>
      <c r="L632" s="1668"/>
      <c r="M632" s="1668"/>
      <c r="N632" s="1668"/>
      <c r="O632" s="1668"/>
      <c r="P632" s="1668"/>
      <c r="Q632" s="1668"/>
      <c r="R632" s="1668"/>
      <c r="S632" s="1668"/>
      <c r="T632" s="1668"/>
      <c r="U632" s="1668"/>
      <c r="V632" s="1668"/>
      <c r="W632" s="1668"/>
      <c r="X632" s="1668"/>
      <c r="Y632" s="1668"/>
      <c r="Z632" s="1668"/>
      <c r="AA632" s="1668"/>
      <c r="AB632" s="1668"/>
      <c r="AC632" s="1668"/>
      <c r="AD632" s="1668"/>
      <c r="AE632" s="1668"/>
      <c r="AF632" s="1668"/>
      <c r="AG632" s="1668"/>
      <c r="AH632" s="1668"/>
      <c r="AI632" s="162"/>
      <c r="AJ632" s="4"/>
      <c r="AK632" s="4"/>
      <c r="AL632" s="4"/>
      <c r="AM632" s="4"/>
      <c r="AN632" s="79"/>
      <c r="AR632" s="41"/>
    </row>
    <row r="633" spans="1:44" ht="13.7" customHeight="1">
      <c r="A633" s="4"/>
      <c r="B633" s="1668"/>
      <c r="C633" s="1668"/>
      <c r="D633" s="1668"/>
      <c r="E633" s="1668"/>
      <c r="F633" s="1668"/>
      <c r="G633" s="1668"/>
      <c r="H633" s="1668"/>
      <c r="I633" s="1668"/>
      <c r="J633" s="1668"/>
      <c r="K633" s="1668"/>
      <c r="L633" s="1668"/>
      <c r="M633" s="1668"/>
      <c r="N633" s="1668"/>
      <c r="O633" s="1668"/>
      <c r="P633" s="1668"/>
      <c r="Q633" s="1668"/>
      <c r="R633" s="1668"/>
      <c r="S633" s="1668"/>
      <c r="T633" s="1668"/>
      <c r="U633" s="1668"/>
      <c r="V633" s="1668"/>
      <c r="W633" s="1668"/>
      <c r="X633" s="1668"/>
      <c r="Y633" s="1668"/>
      <c r="Z633" s="1668"/>
      <c r="AA633" s="1668"/>
      <c r="AB633" s="1668"/>
      <c r="AC633" s="1668"/>
      <c r="AD633" s="1668"/>
      <c r="AE633" s="1668"/>
      <c r="AF633" s="1668"/>
      <c r="AG633" s="1668"/>
      <c r="AH633" s="1668"/>
      <c r="AI633" s="162"/>
      <c r="AJ633" s="4"/>
      <c r="AK633" s="4"/>
      <c r="AL633" s="4"/>
      <c r="AM633" s="4"/>
      <c r="AN633" s="79"/>
    </row>
    <row r="634" spans="1:44" ht="13.7" customHeight="1">
      <c r="A634" s="4"/>
      <c r="B634" s="1668"/>
      <c r="C634" s="1668"/>
      <c r="D634" s="1668"/>
      <c r="E634" s="1668"/>
      <c r="F634" s="1668"/>
      <c r="G634" s="1668"/>
      <c r="H634" s="1668"/>
      <c r="I634" s="1668"/>
      <c r="J634" s="1668"/>
      <c r="K634" s="1668"/>
      <c r="L634" s="1668"/>
      <c r="M634" s="1668"/>
      <c r="N634" s="1668"/>
      <c r="O634" s="1668"/>
      <c r="P634" s="1668"/>
      <c r="Q634" s="1668"/>
      <c r="R634" s="1668"/>
      <c r="S634" s="1668"/>
      <c r="T634" s="1668"/>
      <c r="U634" s="1668"/>
      <c r="V634" s="1668"/>
      <c r="W634" s="1668"/>
      <c r="X634" s="1668"/>
      <c r="Y634" s="1668"/>
      <c r="Z634" s="1668"/>
      <c r="AA634" s="1668"/>
      <c r="AB634" s="1668"/>
      <c r="AC634" s="1668"/>
      <c r="AD634" s="1668"/>
      <c r="AE634" s="1668"/>
      <c r="AF634" s="1668"/>
      <c r="AG634" s="1668"/>
      <c r="AH634" s="1668"/>
      <c r="AI634" s="162"/>
      <c r="AJ634" s="4"/>
      <c r="AK634" s="4"/>
      <c r="AL634" s="4"/>
      <c r="AM634" s="4"/>
      <c r="AN634" s="79"/>
    </row>
    <row r="635" spans="1:44" ht="13.7" customHeight="1">
      <c r="A635" s="4"/>
      <c r="B635" s="1668"/>
      <c r="C635" s="1668"/>
      <c r="D635" s="1668"/>
      <c r="E635" s="1668"/>
      <c r="F635" s="1668"/>
      <c r="G635" s="1668"/>
      <c r="H635" s="1668"/>
      <c r="I635" s="1668"/>
      <c r="J635" s="1668"/>
      <c r="K635" s="1668"/>
      <c r="L635" s="1668"/>
      <c r="M635" s="1668"/>
      <c r="N635" s="1668"/>
      <c r="O635" s="1668"/>
      <c r="P635" s="1668"/>
      <c r="Q635" s="1668"/>
      <c r="R635" s="1668"/>
      <c r="S635" s="1668"/>
      <c r="T635" s="1668"/>
      <c r="U635" s="1668"/>
      <c r="V635" s="1668"/>
      <c r="W635" s="1668"/>
      <c r="X635" s="1668"/>
      <c r="Y635" s="1668"/>
      <c r="Z635" s="1668"/>
      <c r="AA635" s="1668"/>
      <c r="AB635" s="1668"/>
      <c r="AC635" s="1668"/>
      <c r="AD635" s="1668"/>
      <c r="AE635" s="1668"/>
      <c r="AF635" s="1668"/>
      <c r="AG635" s="1668"/>
      <c r="AH635" s="1668"/>
      <c r="AI635" s="162"/>
      <c r="AJ635" s="4"/>
      <c r="AK635" s="4"/>
      <c r="AL635" s="4"/>
      <c r="AM635" s="4"/>
      <c r="AN635" s="79"/>
    </row>
    <row r="636" spans="1:44" ht="13.7" customHeight="1">
      <c r="A636" s="4"/>
      <c r="B636" s="1668"/>
      <c r="C636" s="1668"/>
      <c r="D636" s="1668"/>
      <c r="E636" s="1668"/>
      <c r="F636" s="1668"/>
      <c r="G636" s="1668"/>
      <c r="H636" s="1668"/>
      <c r="I636" s="1668"/>
      <c r="J636" s="1668"/>
      <c r="K636" s="1668"/>
      <c r="L636" s="1668"/>
      <c r="M636" s="1668"/>
      <c r="N636" s="1668"/>
      <c r="O636" s="1668"/>
      <c r="P636" s="1668"/>
      <c r="Q636" s="1668"/>
      <c r="R636" s="1668"/>
      <c r="S636" s="1668"/>
      <c r="T636" s="1668"/>
      <c r="U636" s="1668"/>
      <c r="V636" s="1668"/>
      <c r="W636" s="1668"/>
      <c r="X636" s="1668"/>
      <c r="Y636" s="1668"/>
      <c r="Z636" s="1668"/>
      <c r="AA636" s="1668"/>
      <c r="AB636" s="1668"/>
      <c r="AC636" s="1668"/>
      <c r="AD636" s="1668"/>
      <c r="AE636" s="1668"/>
      <c r="AF636" s="1668"/>
      <c r="AG636" s="1668"/>
      <c r="AH636" s="1668"/>
      <c r="AI636" s="162"/>
      <c r="AJ636" s="4"/>
      <c r="AK636" s="4"/>
      <c r="AL636" s="4"/>
      <c r="AM636" s="4"/>
      <c r="AN636" s="79"/>
    </row>
    <row r="637" spans="1:44" ht="13.7" customHeight="1">
      <c r="A637" s="4"/>
      <c r="B637" s="1668"/>
      <c r="C637" s="1668"/>
      <c r="D637" s="1668"/>
      <c r="E637" s="1668"/>
      <c r="F637" s="1668"/>
      <c r="G637" s="1668"/>
      <c r="H637" s="1668"/>
      <c r="I637" s="1668"/>
      <c r="J637" s="1668"/>
      <c r="K637" s="1668"/>
      <c r="L637" s="1668"/>
      <c r="M637" s="1668"/>
      <c r="N637" s="1668"/>
      <c r="O637" s="1668"/>
      <c r="P637" s="1668"/>
      <c r="Q637" s="1668"/>
      <c r="R637" s="1668"/>
      <c r="S637" s="1668"/>
      <c r="T637" s="1668"/>
      <c r="U637" s="1668"/>
      <c r="V637" s="1668"/>
      <c r="W637" s="1668"/>
      <c r="X637" s="1668"/>
      <c r="Y637" s="1668"/>
      <c r="Z637" s="1668"/>
      <c r="AA637" s="1668"/>
      <c r="AB637" s="1668"/>
      <c r="AC637" s="1668"/>
      <c r="AD637" s="1668"/>
      <c r="AE637" s="1668"/>
      <c r="AF637" s="1668"/>
      <c r="AG637" s="1668"/>
      <c r="AH637" s="1668"/>
      <c r="AI637" s="162"/>
      <c r="AJ637" s="4"/>
      <c r="AK637" s="4"/>
      <c r="AL637" s="4"/>
      <c r="AM637" s="4"/>
      <c r="AN637" s="79"/>
    </row>
    <row r="638" spans="1:44">
      <c r="A638" s="4"/>
      <c r="B638" s="1668"/>
      <c r="C638" s="1668"/>
      <c r="D638" s="1668"/>
      <c r="E638" s="1668"/>
      <c r="F638" s="1668"/>
      <c r="G638" s="1668"/>
      <c r="H638" s="1668"/>
      <c r="I638" s="1668"/>
      <c r="J638" s="1668"/>
      <c r="K638" s="1668"/>
      <c r="L638" s="1668"/>
      <c r="M638" s="1668"/>
      <c r="N638" s="1668"/>
      <c r="O638" s="1668"/>
      <c r="P638" s="1668"/>
      <c r="Q638" s="1668"/>
      <c r="R638" s="1668"/>
      <c r="S638" s="1668"/>
      <c r="T638" s="1668"/>
      <c r="U638" s="1668"/>
      <c r="V638" s="1668"/>
      <c r="W638" s="1668"/>
      <c r="X638" s="1668"/>
      <c r="Y638" s="1668"/>
      <c r="Z638" s="1668"/>
      <c r="AA638" s="1668"/>
      <c r="AB638" s="1668"/>
      <c r="AC638" s="1668"/>
      <c r="AD638" s="1668"/>
      <c r="AE638" s="1668"/>
      <c r="AF638" s="1668"/>
      <c r="AG638" s="1668"/>
      <c r="AH638" s="1668"/>
      <c r="AI638" s="162"/>
      <c r="AJ638" s="4"/>
      <c r="AK638" s="4"/>
      <c r="AL638" s="4"/>
      <c r="AM638" s="4"/>
      <c r="AN638" s="79"/>
    </row>
    <row r="639" spans="1:44">
      <c r="A639" s="4"/>
      <c r="B639" s="1668"/>
      <c r="C639" s="1668"/>
      <c r="D639" s="1668"/>
      <c r="E639" s="1668"/>
      <c r="F639" s="1668"/>
      <c r="G639" s="1668"/>
      <c r="H639" s="1668"/>
      <c r="I639" s="1668"/>
      <c r="J639" s="1668"/>
      <c r="K639" s="1668"/>
      <c r="L639" s="1668"/>
      <c r="M639" s="1668"/>
      <c r="N639" s="1668"/>
      <c r="O639" s="1668"/>
      <c r="P639" s="1668"/>
      <c r="Q639" s="1668"/>
      <c r="R639" s="1668"/>
      <c r="S639" s="1668"/>
      <c r="T639" s="1668"/>
      <c r="U639" s="1668"/>
      <c r="V639" s="1668"/>
      <c r="W639" s="1668"/>
      <c r="X639" s="1668"/>
      <c r="Y639" s="1668"/>
      <c r="Z639" s="1668"/>
      <c r="AA639" s="1668"/>
      <c r="AB639" s="1668"/>
      <c r="AC639" s="1668"/>
      <c r="AD639" s="1668"/>
      <c r="AE639" s="1668"/>
      <c r="AF639" s="1668"/>
      <c r="AG639" s="1668"/>
      <c r="AH639" s="1668"/>
      <c r="AI639" s="162"/>
      <c r="AJ639" s="4"/>
      <c r="AK639" s="4"/>
      <c r="AL639" s="4"/>
      <c r="AM639" s="4"/>
      <c r="AN639" s="79"/>
    </row>
    <row r="640" spans="1:44">
      <c r="A640" s="4"/>
      <c r="B640" s="1668"/>
      <c r="C640" s="1668"/>
      <c r="D640" s="1668"/>
      <c r="E640" s="1668"/>
      <c r="F640" s="1668"/>
      <c r="G640" s="1668"/>
      <c r="H640" s="1668"/>
      <c r="I640" s="1668"/>
      <c r="J640" s="1668"/>
      <c r="K640" s="1668"/>
      <c r="L640" s="1668"/>
      <c r="M640" s="1668"/>
      <c r="N640" s="1668"/>
      <c r="O640" s="1668"/>
      <c r="P640" s="1668"/>
      <c r="Q640" s="1668"/>
      <c r="R640" s="1668"/>
      <c r="S640" s="1668"/>
      <c r="T640" s="1668"/>
      <c r="U640" s="1668"/>
      <c r="V640" s="1668"/>
      <c r="W640" s="1668"/>
      <c r="X640" s="1668"/>
      <c r="Y640" s="1668"/>
      <c r="Z640" s="1668"/>
      <c r="AA640" s="1668"/>
      <c r="AB640" s="1668"/>
      <c r="AC640" s="1668"/>
      <c r="AD640" s="1668"/>
      <c r="AE640" s="1668"/>
      <c r="AF640" s="1668"/>
      <c r="AG640" s="1668"/>
      <c r="AH640" s="1668"/>
      <c r="AI640" s="162"/>
      <c r="AJ640" s="4"/>
      <c r="AK640" s="4"/>
      <c r="AL640" s="4"/>
      <c r="AM640" s="4"/>
      <c r="AN640" s="79"/>
    </row>
    <row r="641" spans="1:60">
      <c r="A641" s="4"/>
      <c r="B641" s="1668"/>
      <c r="C641" s="1668"/>
      <c r="D641" s="1668"/>
      <c r="E641" s="1668"/>
      <c r="F641" s="1668"/>
      <c r="G641" s="1668"/>
      <c r="H641" s="1668"/>
      <c r="I641" s="1668"/>
      <c r="J641" s="1668"/>
      <c r="K641" s="1668"/>
      <c r="L641" s="1668"/>
      <c r="M641" s="1668"/>
      <c r="N641" s="1668"/>
      <c r="O641" s="1668"/>
      <c r="P641" s="1668"/>
      <c r="Q641" s="1668"/>
      <c r="R641" s="1668"/>
      <c r="S641" s="1668"/>
      <c r="T641" s="1668"/>
      <c r="U641" s="1668"/>
      <c r="V641" s="1668"/>
      <c r="W641" s="1668"/>
      <c r="X641" s="1668"/>
      <c r="Y641" s="1668"/>
      <c r="Z641" s="1668"/>
      <c r="AA641" s="1668"/>
      <c r="AB641" s="1668"/>
      <c r="AC641" s="1668"/>
      <c r="AD641" s="1668"/>
      <c r="AE641" s="1668"/>
      <c r="AF641" s="1668"/>
      <c r="AG641" s="1668"/>
      <c r="AH641" s="1668"/>
      <c r="AI641" s="162"/>
      <c r="AJ641" s="4"/>
      <c r="AK641" s="4"/>
      <c r="AL641" s="4"/>
      <c r="AM641" s="4"/>
      <c r="AN641" s="79"/>
    </row>
    <row r="642" spans="1:60" s="644" customFormat="1" ht="12.4" customHeight="1">
      <c r="A642" s="4"/>
      <c r="B642" s="1668"/>
      <c r="C642" s="1668"/>
      <c r="D642" s="1668"/>
      <c r="E642" s="1668"/>
      <c r="F642" s="1668"/>
      <c r="G642" s="1668"/>
      <c r="H642" s="1668"/>
      <c r="I642" s="1668"/>
      <c r="J642" s="1668"/>
      <c r="K642" s="1668"/>
      <c r="L642" s="1668"/>
      <c r="M642" s="1668"/>
      <c r="N642" s="1668"/>
      <c r="O642" s="1668"/>
      <c r="P642" s="1668"/>
      <c r="Q642" s="1668"/>
      <c r="R642" s="1668"/>
      <c r="S642" s="1668"/>
      <c r="T642" s="1668"/>
      <c r="U642" s="1668"/>
      <c r="V642" s="1668"/>
      <c r="W642" s="1668"/>
      <c r="X642" s="1668"/>
      <c r="Y642" s="1668"/>
      <c r="Z642" s="1668"/>
      <c r="AA642" s="1668"/>
      <c r="AB642" s="1668"/>
      <c r="AC642" s="1668"/>
      <c r="AD642" s="1668"/>
      <c r="AE642" s="1668"/>
      <c r="AF642" s="1668"/>
      <c r="AG642" s="1668"/>
      <c r="AH642" s="1668"/>
      <c r="AI642" s="162"/>
      <c r="AJ642" s="4"/>
      <c r="AK642" s="4"/>
      <c r="AL642" s="4"/>
      <c r="AM642" s="4"/>
      <c r="AN642" s="678"/>
      <c r="BD642" s="646"/>
      <c r="BE642" s="646"/>
      <c r="BF642" s="646"/>
      <c r="BG642" s="646"/>
      <c r="BH642" s="646"/>
    </row>
    <row r="643" spans="1:60">
      <c r="A643" s="4"/>
      <c r="B643" s="1668"/>
      <c r="C643" s="1668"/>
      <c r="D643" s="1668"/>
      <c r="E643" s="1668"/>
      <c r="F643" s="1668"/>
      <c r="G643" s="1668"/>
      <c r="H643" s="1668"/>
      <c r="I643" s="1668"/>
      <c r="J643" s="1668"/>
      <c r="K643" s="1668"/>
      <c r="L643" s="1668"/>
      <c r="M643" s="1668"/>
      <c r="N643" s="1668"/>
      <c r="O643" s="1668"/>
      <c r="P643" s="1668"/>
      <c r="Q643" s="1668"/>
      <c r="R643" s="1668"/>
      <c r="S643" s="1668"/>
      <c r="T643" s="1668"/>
      <c r="U643" s="1668"/>
      <c r="V643" s="1668"/>
      <c r="W643" s="1668"/>
      <c r="X643" s="1668"/>
      <c r="Y643" s="1668"/>
      <c r="Z643" s="1668"/>
      <c r="AA643" s="1668"/>
      <c r="AB643" s="1668"/>
      <c r="AC643" s="1668"/>
      <c r="AD643" s="1668"/>
      <c r="AE643" s="1668"/>
      <c r="AF643" s="1668"/>
      <c r="AG643" s="1668"/>
      <c r="AH643" s="166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108</v>
      </c>
      <c r="D650" s="1116"/>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68" t="s">
        <v>2215</v>
      </c>
      <c r="G673" s="1668"/>
      <c r="H673" s="1668"/>
      <c r="I673" s="1668"/>
      <c r="J673" s="1668"/>
      <c r="K673" s="1668"/>
      <c r="L673" s="1668"/>
      <c r="M673" s="1668"/>
      <c r="N673" s="1668"/>
      <c r="O673" s="1668"/>
      <c r="P673" s="1668"/>
      <c r="Q673" s="1668"/>
      <c r="R673" s="1668"/>
      <c r="S673" s="1668"/>
      <c r="T673" s="1668"/>
      <c r="U673" s="1668"/>
      <c r="V673" s="1668"/>
      <c r="W673" s="1668"/>
      <c r="X673" s="1668"/>
      <c r="Y673" s="1668"/>
      <c r="Z673" s="1668"/>
      <c r="AA673" s="1668"/>
      <c r="AB673" s="1668"/>
      <c r="AC673" s="1668"/>
      <c r="AD673" s="1668"/>
      <c r="AE673" s="19"/>
      <c r="AF673" s="19"/>
      <c r="AG673" s="3" t="s">
        <v>103</v>
      </c>
      <c r="AH673" s="19"/>
      <c r="AI673" s="19"/>
      <c r="AJ673" s="4"/>
      <c r="AK673" s="4"/>
      <c r="AL673" s="4"/>
      <c r="AM673" s="4"/>
      <c r="AN673" s="79"/>
      <c r="AO673" s="21"/>
    </row>
    <row r="674" spans="1:60">
      <c r="A674" s="4"/>
      <c r="B674" s="19"/>
      <c r="C674" s="19"/>
      <c r="D674" s="19"/>
      <c r="E674" s="19"/>
      <c r="F674" s="1668"/>
      <c r="G674" s="1668"/>
      <c r="H674" s="1668"/>
      <c r="I674" s="1668"/>
      <c r="J674" s="1668"/>
      <c r="K674" s="1668"/>
      <c r="L674" s="1668"/>
      <c r="M674" s="1668"/>
      <c r="N674" s="1668"/>
      <c r="O674" s="1668"/>
      <c r="P674" s="1668"/>
      <c r="Q674" s="1668"/>
      <c r="R674" s="1668"/>
      <c r="S674" s="1668"/>
      <c r="T674" s="1668"/>
      <c r="U674" s="1668"/>
      <c r="V674" s="1668"/>
      <c r="W674" s="1668"/>
      <c r="X674" s="1668"/>
      <c r="Y674" s="1668"/>
      <c r="Z674" s="1668"/>
      <c r="AA674" s="1668"/>
      <c r="AB674" s="1668"/>
      <c r="AC674" s="1668"/>
      <c r="AD674" s="1668"/>
      <c r="AE674" s="19"/>
      <c r="AF674" s="19"/>
      <c r="AG674" s="19"/>
      <c r="AH674" s="19"/>
      <c r="AI674" s="19"/>
      <c r="AJ674" s="4"/>
      <c r="AK674" s="4"/>
      <c r="AL674" s="4"/>
      <c r="AM674" s="4"/>
      <c r="AN674" s="79"/>
      <c r="AO674" s="21"/>
    </row>
    <row r="675" spans="1:60" ht="0.75" customHeight="1">
      <c r="A675" s="4"/>
      <c r="B675" s="19"/>
      <c r="C675" s="19"/>
      <c r="D675" s="19"/>
      <c r="E675" s="19"/>
      <c r="F675" s="1668"/>
      <c r="G675" s="1668"/>
      <c r="H675" s="1668"/>
      <c r="I675" s="1668"/>
      <c r="J675" s="1668"/>
      <c r="K675" s="1668"/>
      <c r="L675" s="1668"/>
      <c r="M675" s="1668"/>
      <c r="N675" s="1668"/>
      <c r="O675" s="1668"/>
      <c r="P675" s="1668"/>
      <c r="Q675" s="1668"/>
      <c r="R675" s="1668"/>
      <c r="S675" s="1668"/>
      <c r="T675" s="1668"/>
      <c r="U675" s="1668"/>
      <c r="V675" s="1668"/>
      <c r="W675" s="1668"/>
      <c r="X675" s="1668"/>
      <c r="Y675" s="1668"/>
      <c r="Z675" s="1668"/>
      <c r="AA675" s="1668"/>
      <c r="AB675" s="1668"/>
      <c r="AC675" s="1668"/>
      <c r="AD675" s="166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11" t="s">
        <v>722</v>
      </c>
      <c r="B691" s="1811"/>
      <c r="C691" s="1811"/>
      <c r="D691" s="1811"/>
      <c r="E691" s="1811"/>
      <c r="F691" s="1811"/>
      <c r="G691" s="1811"/>
      <c r="H691" s="1811"/>
      <c r="I691" s="1811"/>
      <c r="J691" s="1811"/>
      <c r="K691" s="1811"/>
      <c r="L691" s="1811"/>
      <c r="M691" s="1811"/>
      <c r="N691" s="1811"/>
      <c r="O691" s="1811"/>
      <c r="P691" s="1811"/>
      <c r="Q691" s="1811"/>
      <c r="R691" s="1811"/>
      <c r="S691" s="1811"/>
      <c r="T691" s="1811"/>
      <c r="U691" s="1811"/>
      <c r="V691" s="1811"/>
      <c r="W691" s="1811"/>
      <c r="X691" s="1811"/>
      <c r="Y691" s="1811"/>
      <c r="Z691" s="1811"/>
      <c r="AA691" s="1811"/>
      <c r="AB691" s="1811"/>
      <c r="AC691" s="1811"/>
      <c r="AD691" s="1811"/>
      <c r="AE691" s="1811"/>
      <c r="AF691" s="1811"/>
      <c r="AG691" s="1811"/>
      <c r="AH691" s="1811"/>
      <c r="AI691" s="1811"/>
      <c r="AJ691" s="1811"/>
      <c r="AK691" s="1811"/>
      <c r="AL691" s="1811"/>
      <c r="AM691" s="1811"/>
      <c r="AO691" s="206"/>
      <c r="AP691" s="206"/>
      <c r="AQ691" s="206"/>
    </row>
    <row r="692" spans="1:43">
      <c r="A692" s="1812"/>
      <c r="B692" s="1812"/>
      <c r="C692" s="1812"/>
      <c r="D692" s="1812"/>
      <c r="E692" s="1812"/>
      <c r="F692" s="1812"/>
      <c r="G692" s="1812"/>
      <c r="H692" s="1812"/>
      <c r="I692" s="1812"/>
      <c r="J692" s="1812"/>
      <c r="K692" s="1812"/>
      <c r="L692" s="1812"/>
      <c r="M692" s="1812"/>
      <c r="N692" s="1812"/>
      <c r="O692" s="1812"/>
      <c r="P692" s="1812"/>
      <c r="Q692" s="1812"/>
      <c r="R692" s="1812"/>
      <c r="S692" s="1812"/>
      <c r="T692" s="1812"/>
      <c r="U692" s="1812"/>
      <c r="V692" s="1812"/>
      <c r="W692" s="1812"/>
      <c r="X692" s="1812"/>
      <c r="Y692" s="1812"/>
      <c r="Z692" s="1812"/>
      <c r="AA692" s="1812"/>
      <c r="AB692" s="1812"/>
      <c r="AC692" s="1812"/>
      <c r="AD692" s="1812"/>
      <c r="AE692" s="1812"/>
      <c r="AF692" s="1812"/>
      <c r="AG692" s="1812"/>
      <c r="AH692" s="1812"/>
      <c r="AI692" s="1812"/>
      <c r="AJ692" s="1812"/>
      <c r="AK692" s="1812"/>
      <c r="AL692" s="1812"/>
      <c r="AM692" s="181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1944</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1945</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653</v>
      </c>
      <c r="B698" s="1700" t="s">
        <v>270</v>
      </c>
      <c r="C698" s="1700"/>
      <c r="D698" s="1700"/>
      <c r="E698" s="1700"/>
      <c r="F698" s="1700"/>
      <c r="G698" s="1700"/>
      <c r="H698" s="1700"/>
      <c r="I698" s="1700"/>
      <c r="J698" s="1700"/>
      <c r="K698" s="1700"/>
      <c r="L698" s="1700"/>
      <c r="M698" s="1700"/>
      <c r="N698" s="1700"/>
      <c r="O698" s="1700"/>
      <c r="P698" s="1700"/>
      <c r="Q698" s="1700"/>
      <c r="R698" s="1700"/>
      <c r="S698" s="1701"/>
      <c r="T698" s="1724">
        <f>SUM(T699:Y700)</f>
        <v>10</v>
      </c>
      <c r="U698" s="1724"/>
      <c r="V698" s="1724"/>
      <c r="W698" s="1724"/>
      <c r="X698" s="1724"/>
      <c r="Y698" s="1724"/>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02" t="s">
        <v>236</v>
      </c>
      <c r="F699" s="1702"/>
      <c r="G699" s="1702"/>
      <c r="H699" s="1702"/>
      <c r="I699" s="1702"/>
      <c r="J699" s="1702"/>
      <c r="K699" s="1702"/>
      <c r="L699" s="1702"/>
      <c r="M699" s="1702"/>
      <c r="N699" s="1702"/>
      <c r="O699" s="1702"/>
      <c r="P699" s="1702"/>
      <c r="Q699" s="1702"/>
      <c r="R699" s="1702"/>
      <c r="S699" s="1703"/>
      <c r="T699" s="1704">
        <f>AJ31</f>
        <v>7</v>
      </c>
      <c r="U699" s="1704"/>
      <c r="V699" s="1704"/>
      <c r="W699" s="1704"/>
      <c r="X699" s="1704"/>
      <c r="Y699" s="1704"/>
      <c r="Z699" s="1728">
        <v>7</v>
      </c>
      <c r="AA699" s="1728"/>
      <c r="AB699" s="1728"/>
      <c r="AC699" s="1728"/>
      <c r="AD699" s="1728"/>
      <c r="AE699" s="1728"/>
      <c r="AF699" s="1813"/>
      <c r="AG699" s="1813"/>
      <c r="AH699" s="1813"/>
      <c r="AI699" s="1813"/>
      <c r="AJ699" s="1813"/>
      <c r="AK699" s="1813"/>
      <c r="AL699" s="778"/>
      <c r="AM699" s="20"/>
    </row>
    <row r="700" spans="1:43">
      <c r="A700" s="616"/>
      <c r="B700" s="615"/>
      <c r="C700" s="615"/>
      <c r="D700" s="306" t="s">
        <v>428</v>
      </c>
      <c r="E700" s="1702" t="s">
        <v>237</v>
      </c>
      <c r="F700" s="1702"/>
      <c r="G700" s="1702"/>
      <c r="H700" s="1702"/>
      <c r="I700" s="1702"/>
      <c r="J700" s="1702"/>
      <c r="K700" s="1702"/>
      <c r="L700" s="1702"/>
      <c r="M700" s="1702"/>
      <c r="N700" s="1702"/>
      <c r="O700" s="1702"/>
      <c r="P700" s="1702"/>
      <c r="Q700" s="1702"/>
      <c r="R700" s="1702"/>
      <c r="S700" s="1703"/>
      <c r="T700" s="1704">
        <f>AJ47</f>
        <v>3</v>
      </c>
      <c r="U700" s="1704"/>
      <c r="V700" s="1704"/>
      <c r="W700" s="1704"/>
      <c r="X700" s="1704"/>
      <c r="Y700" s="1704"/>
      <c r="Z700" s="1728">
        <v>3</v>
      </c>
      <c r="AA700" s="1728"/>
      <c r="AB700" s="1728"/>
      <c r="AC700" s="1728"/>
      <c r="AD700" s="1728"/>
      <c r="AE700" s="1728"/>
      <c r="AF700" s="1813"/>
      <c r="AG700" s="1813"/>
      <c r="AH700" s="1813"/>
      <c r="AI700" s="1813"/>
      <c r="AJ700" s="1813"/>
      <c r="AK700" s="1813"/>
      <c r="AL700" s="778"/>
      <c r="AM700" s="20"/>
    </row>
    <row r="701" spans="1:43">
      <c r="A701" s="594" t="s">
        <v>8</v>
      </c>
      <c r="B701" s="1700" t="s">
        <v>271</v>
      </c>
      <c r="C701" s="1700"/>
      <c r="D701" s="1700"/>
      <c r="E701" s="1700"/>
      <c r="F701" s="1700"/>
      <c r="G701" s="1700"/>
      <c r="H701" s="1700"/>
      <c r="I701" s="1700"/>
      <c r="J701" s="1700"/>
      <c r="K701" s="1700"/>
      <c r="L701" s="1700"/>
      <c r="M701" s="1700"/>
      <c r="N701" s="1700"/>
      <c r="O701" s="1700"/>
      <c r="P701" s="1700"/>
      <c r="Q701" s="1700"/>
      <c r="R701" s="1700"/>
      <c r="S701" s="1701"/>
      <c r="T701" s="1724">
        <f>AK68</f>
        <v>10</v>
      </c>
      <c r="U701" s="1724"/>
      <c r="V701" s="1724"/>
      <c r="W701" s="1724"/>
      <c r="X701" s="1724"/>
      <c r="Y701" s="1724"/>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00" t="s">
        <v>272</v>
      </c>
      <c r="C702" s="1700"/>
      <c r="D702" s="1700"/>
      <c r="E702" s="1700"/>
      <c r="F702" s="1700"/>
      <c r="G702" s="1700"/>
      <c r="H702" s="1700"/>
      <c r="I702" s="1700"/>
      <c r="J702" s="1700"/>
      <c r="K702" s="1700"/>
      <c r="L702" s="1700"/>
      <c r="M702" s="1700"/>
      <c r="N702" s="1700"/>
      <c r="O702" s="1700"/>
      <c r="P702" s="1700"/>
      <c r="Q702" s="1700"/>
      <c r="R702" s="1700"/>
      <c r="S702" s="1701"/>
      <c r="T702" s="1724">
        <f>AO693</f>
        <v>25</v>
      </c>
      <c r="U702" s="1724">
        <f>IF(AND(AND(A703&gt;15,15+A704),A704&gt;10,A703+10),A702,0)</f>
        <v>0</v>
      </c>
      <c r="V702" s="1724">
        <f>IF(AND(AND(B703&gt;15,15+B704),B704&gt;10,B703+10),#REF!,0)</f>
        <v>0</v>
      </c>
      <c r="W702" s="1724">
        <f>IF(AND(AND(C703&gt;15,15+C704),C704&gt;10,C703+10),B702,0)</f>
        <v>0</v>
      </c>
      <c r="X702" s="1724" t="e">
        <f>IF(AND(AND(D703&gt;15,15+D704),D704&gt;10,D703+10),D702,0)</f>
        <v>#VALUE!</v>
      </c>
      <c r="Y702" s="1724"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1468</v>
      </c>
      <c r="E703" s="1702" t="s">
        <v>294</v>
      </c>
      <c r="F703" s="1702"/>
      <c r="G703" s="1702"/>
      <c r="H703" s="1702"/>
      <c r="I703" s="1702"/>
      <c r="J703" s="1702"/>
      <c r="K703" s="1702"/>
      <c r="L703" s="1702"/>
      <c r="M703" s="1702"/>
      <c r="N703" s="1702"/>
      <c r="O703" s="1702"/>
      <c r="P703" s="1702"/>
      <c r="Q703" s="1702"/>
      <c r="R703" s="1702"/>
      <c r="S703" s="1703"/>
      <c r="T703" s="1704">
        <f>AK283</f>
        <v>19</v>
      </c>
      <c r="U703" s="1704"/>
      <c r="V703" s="1704"/>
      <c r="W703" s="1704"/>
      <c r="X703" s="1704"/>
      <c r="Y703" s="1704"/>
      <c r="Z703" s="1728">
        <v>15</v>
      </c>
      <c r="AA703" s="1728"/>
      <c r="AB703" s="1728"/>
      <c r="AC703" s="1728"/>
      <c r="AD703" s="1728"/>
      <c r="AE703" s="1728"/>
      <c r="AF703" s="1813"/>
      <c r="AG703" s="1813"/>
      <c r="AH703" s="1813"/>
      <c r="AI703" s="1813"/>
      <c r="AJ703" s="1813"/>
      <c r="AK703" s="1813"/>
      <c r="AL703" s="778"/>
      <c r="AM703" s="20"/>
    </row>
    <row r="704" spans="1:43">
      <c r="A704" s="617"/>
      <c r="B704" s="90"/>
      <c r="C704" s="90"/>
      <c r="D704" s="618" t="s">
        <v>1469</v>
      </c>
      <c r="E704" s="1702" t="s">
        <v>295</v>
      </c>
      <c r="F704" s="1702"/>
      <c r="G704" s="1702"/>
      <c r="H704" s="1702"/>
      <c r="I704" s="1702"/>
      <c r="J704" s="1702"/>
      <c r="K704" s="1702"/>
      <c r="L704" s="1702"/>
      <c r="M704" s="1702"/>
      <c r="N704" s="1702"/>
      <c r="O704" s="1702"/>
      <c r="P704" s="1702"/>
      <c r="Q704" s="1702"/>
      <c r="R704" s="1702"/>
      <c r="S704" s="1703"/>
      <c r="T704" s="1704">
        <f>AK474</f>
        <v>10</v>
      </c>
      <c r="U704" s="1704"/>
      <c r="V704" s="1704"/>
      <c r="W704" s="1704"/>
      <c r="X704" s="1704"/>
      <c r="Y704" s="1704"/>
      <c r="Z704" s="1728">
        <v>10</v>
      </c>
      <c r="AA704" s="1728"/>
      <c r="AB704" s="1728"/>
      <c r="AC704" s="1728"/>
      <c r="AD704" s="1728"/>
      <c r="AE704" s="1728"/>
      <c r="AF704" s="1813"/>
      <c r="AG704" s="1813"/>
      <c r="AH704" s="1813"/>
      <c r="AI704" s="1813"/>
      <c r="AJ704" s="1813"/>
      <c r="AK704" s="1813"/>
      <c r="AL704" s="778"/>
      <c r="AM704" s="20"/>
    </row>
    <row r="705" spans="1:39" hidden="1">
      <c r="A705" s="594" t="s">
        <v>122</v>
      </c>
      <c r="B705" s="1700" t="s">
        <v>540</v>
      </c>
      <c r="C705" s="1700"/>
      <c r="D705" s="1700"/>
      <c r="E705" s="1700"/>
      <c r="F705" s="1700"/>
      <c r="G705" s="1700"/>
      <c r="H705" s="1700"/>
      <c r="I705" s="1700"/>
      <c r="J705" s="1700"/>
      <c r="K705" s="1700"/>
      <c r="L705" s="1700"/>
      <c r="M705" s="1700"/>
      <c r="N705" s="1700"/>
      <c r="O705" s="1700"/>
      <c r="P705" s="1700"/>
      <c r="Q705" s="1700"/>
      <c r="R705" s="1700"/>
      <c r="S705" s="1701"/>
      <c r="T705" s="1724"/>
      <c r="U705" s="1724"/>
      <c r="V705" s="1724"/>
      <c r="W705" s="1724"/>
      <c r="X705" s="1724"/>
      <c r="Y705" s="1724"/>
      <c r="Z705" s="1226"/>
      <c r="AA705" s="1226"/>
      <c r="AB705" s="1226"/>
      <c r="AC705" s="1226"/>
      <c r="AD705" s="1226"/>
      <c r="AE705" s="1226"/>
      <c r="AF705" s="1226"/>
      <c r="AG705" s="1226"/>
      <c r="AH705" s="1226"/>
      <c r="AI705" s="1226"/>
      <c r="AJ705" s="1226"/>
      <c r="AK705" s="1226"/>
      <c r="AL705" s="778"/>
      <c r="AM705" s="20"/>
    </row>
    <row r="706" spans="1:39">
      <c r="A706" s="594" t="s">
        <v>122</v>
      </c>
      <c r="B706" s="1700" t="s">
        <v>541</v>
      </c>
      <c r="C706" s="1700"/>
      <c r="D706" s="1700"/>
      <c r="E706" s="1700"/>
      <c r="F706" s="1700"/>
      <c r="G706" s="1700"/>
      <c r="H706" s="1700"/>
      <c r="I706" s="1700"/>
      <c r="J706" s="1700"/>
      <c r="K706" s="1700"/>
      <c r="L706" s="1700"/>
      <c r="M706" s="1700"/>
      <c r="N706" s="1700"/>
      <c r="O706" s="1700"/>
      <c r="P706" s="1700"/>
      <c r="Q706" s="1700"/>
      <c r="R706" s="1700"/>
      <c r="S706" s="1701"/>
      <c r="T706" s="1840">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c r="A707" s="619"/>
      <c r="B707" s="621"/>
      <c r="C707" s="621"/>
      <c r="D707" s="622" t="s">
        <v>2220</v>
      </c>
      <c r="E707" s="1702" t="s">
        <v>183</v>
      </c>
      <c r="F707" s="1702"/>
      <c r="G707" s="1702"/>
      <c r="H707" s="1702"/>
      <c r="I707" s="1702"/>
      <c r="J707" s="1702"/>
      <c r="K707" s="1702"/>
      <c r="L707" s="1702"/>
      <c r="M707" s="1702"/>
      <c r="N707" s="1702"/>
      <c r="O707" s="1702"/>
      <c r="P707" s="1702"/>
      <c r="Q707" s="1702"/>
      <c r="R707" s="1702"/>
      <c r="S707" s="1703"/>
      <c r="T707" s="1725">
        <f>AC592</f>
        <v>50</v>
      </c>
      <c r="U707" s="1726"/>
      <c r="V707" s="1726"/>
      <c r="W707" s="1726"/>
      <c r="X707" s="1726"/>
      <c r="Y707" s="1727"/>
      <c r="Z707" s="1725">
        <v>50</v>
      </c>
      <c r="AA707" s="1726"/>
      <c r="AB707" s="1726"/>
      <c r="AC707" s="1726"/>
      <c r="AD707" s="1726"/>
      <c r="AE707" s="1727"/>
      <c r="AF707" s="1808"/>
      <c r="AG707" s="1809"/>
      <c r="AH707" s="1809"/>
      <c r="AI707" s="1809"/>
      <c r="AJ707" s="1809"/>
      <c r="AK707" s="1810"/>
      <c r="AL707" s="778"/>
      <c r="AM707" s="4"/>
    </row>
    <row r="708" spans="1:39">
      <c r="A708" s="623"/>
      <c r="B708" s="615"/>
      <c r="C708" s="615"/>
      <c r="D708" s="306" t="s">
        <v>2221</v>
      </c>
      <c r="E708" s="1702" t="s">
        <v>269</v>
      </c>
      <c r="F708" s="1702"/>
      <c r="G708" s="1702"/>
      <c r="H708" s="1702"/>
      <c r="I708" s="1702"/>
      <c r="J708" s="1702"/>
      <c r="K708" s="1702"/>
      <c r="L708" s="1702"/>
      <c r="M708" s="1702"/>
      <c r="N708" s="1702"/>
      <c r="O708" s="1702"/>
      <c r="P708" s="1702"/>
      <c r="Q708" s="1702"/>
      <c r="R708" s="1702"/>
      <c r="S708" s="1703"/>
      <c r="T708" s="1785">
        <f>IF(AJ617&gt;0,2,0)</f>
        <v>2</v>
      </c>
      <c r="U708" s="1786"/>
      <c r="V708" s="1786"/>
      <c r="W708" s="1786"/>
      <c r="X708" s="1786"/>
      <c r="Y708" s="1787"/>
      <c r="Z708" s="1069">
        <v>2</v>
      </c>
      <c r="AA708" s="1070"/>
      <c r="AB708" s="1070"/>
      <c r="AC708" s="1070"/>
      <c r="AD708" s="1070"/>
      <c r="AE708" s="1072"/>
      <c r="AF708" s="1837"/>
      <c r="AG708" s="1838"/>
      <c r="AH708" s="1838"/>
      <c r="AI708" s="1838"/>
      <c r="AJ708" s="1838"/>
      <c r="AK708" s="1839"/>
      <c r="AL708" s="778"/>
      <c r="AM708" s="4"/>
    </row>
    <row r="709" spans="1:39">
      <c r="A709" s="619" t="s">
        <v>123</v>
      </c>
      <c r="B709" s="1700" t="s">
        <v>542</v>
      </c>
      <c r="C709" s="1700"/>
      <c r="D709" s="1700"/>
      <c r="E709" s="1700"/>
      <c r="F709" s="1700"/>
      <c r="G709" s="1700"/>
      <c r="H709" s="1700"/>
      <c r="I709" s="1700"/>
      <c r="J709" s="1700"/>
      <c r="K709" s="1700"/>
      <c r="L709" s="1700"/>
      <c r="M709" s="1700"/>
      <c r="N709" s="1700"/>
      <c r="O709" s="1700"/>
      <c r="P709" s="1700"/>
      <c r="Q709" s="1700"/>
      <c r="R709" s="1700"/>
      <c r="S709" s="1701"/>
      <c r="T709" s="1724">
        <f>AK645</f>
        <v>10</v>
      </c>
      <c r="U709" s="1724"/>
      <c r="V709" s="1724"/>
      <c r="W709" s="1724"/>
      <c r="X709" s="1724"/>
      <c r="Y709" s="1724"/>
      <c r="Z709" s="1226">
        <v>10</v>
      </c>
      <c r="AA709" s="1226"/>
      <c r="AB709" s="1226"/>
      <c r="AC709" s="1226"/>
      <c r="AD709" s="1226"/>
      <c r="AE709" s="1226"/>
      <c r="AF709" s="1420">
        <f>IF(T709&gt;Z709,Z709,T709)</f>
        <v>10</v>
      </c>
      <c r="AG709" s="1421"/>
      <c r="AH709" s="1421"/>
      <c r="AI709" s="1421"/>
      <c r="AJ709" s="1421"/>
      <c r="AK709" s="1422"/>
      <c r="AL709" s="778"/>
      <c r="AM709" s="20"/>
    </row>
    <row r="710" spans="1:39">
      <c r="A710" s="619" t="s">
        <v>125</v>
      </c>
      <c r="B710" s="1700" t="s">
        <v>985</v>
      </c>
      <c r="C710" s="1700"/>
      <c r="D710" s="1700"/>
      <c r="E710" s="1700"/>
      <c r="F710" s="1700"/>
      <c r="G710" s="1700"/>
      <c r="H710" s="1700"/>
      <c r="I710" s="1700"/>
      <c r="J710" s="1700"/>
      <c r="K710" s="1700"/>
      <c r="L710" s="1700"/>
      <c r="M710" s="1700"/>
      <c r="N710" s="1700"/>
      <c r="O710" s="1700"/>
      <c r="P710" s="1700"/>
      <c r="Q710" s="1700"/>
      <c r="R710" s="1700"/>
      <c r="S710" s="1701"/>
      <c r="T710" s="1841">
        <f>IF(AK688&gt;2,2,AK688)</f>
        <v>2</v>
      </c>
      <c r="U710" s="1842"/>
      <c r="V710" s="1842"/>
      <c r="W710" s="1842"/>
      <c r="X710" s="1842"/>
      <c r="Y710" s="1843"/>
      <c r="Z710" s="1420">
        <v>2</v>
      </c>
      <c r="AA710" s="1421"/>
      <c r="AB710" s="1421"/>
      <c r="AC710" s="1421"/>
      <c r="AD710" s="1421"/>
      <c r="AE710" s="1422"/>
      <c r="AF710" s="1420">
        <f>IF(T710&gt;Z710,Z710,T710)</f>
        <v>2</v>
      </c>
      <c r="AG710" s="1835"/>
      <c r="AH710" s="1835"/>
      <c r="AI710" s="1835"/>
      <c r="AJ710" s="1835"/>
      <c r="AK710" s="1836"/>
      <c r="AL710" s="3"/>
      <c r="AM710" s="20"/>
    </row>
    <row r="711" spans="1:39">
      <c r="A711" s="1699" t="s">
        <v>297</v>
      </c>
      <c r="B711" s="1700"/>
      <c r="C711" s="1700"/>
      <c r="D711" s="1700"/>
      <c r="E711" s="1700"/>
      <c r="F711" s="1700"/>
      <c r="G711" s="1700"/>
      <c r="H711" s="1700"/>
      <c r="I711" s="1700"/>
      <c r="J711" s="1700"/>
      <c r="K711" s="1700"/>
      <c r="L711" s="1700"/>
      <c r="M711" s="1700"/>
      <c r="N711" s="1700"/>
      <c r="O711" s="1700"/>
      <c r="P711" s="1700"/>
      <c r="Q711" s="1700"/>
      <c r="R711" s="1700"/>
      <c r="S711" s="1701"/>
      <c r="T711" s="1464"/>
      <c r="U711" s="1464"/>
      <c r="V711" s="1464"/>
      <c r="W711" s="1464"/>
      <c r="X711" s="1464"/>
      <c r="Y711" s="1464"/>
      <c r="Z711" s="1728" t="s">
        <v>296</v>
      </c>
      <c r="AA711" s="1728"/>
      <c r="AB711" s="1728"/>
      <c r="AC711" s="1728"/>
      <c r="AD711" s="1728"/>
      <c r="AE711" s="1728"/>
      <c r="AF711" s="1420">
        <f>IF(T711&gt;0,T711,0)</f>
        <v>0</v>
      </c>
      <c r="AG711" s="1421"/>
      <c r="AH711" s="1421"/>
      <c r="AI711" s="1421"/>
      <c r="AJ711" s="1421"/>
      <c r="AK711" s="1422"/>
      <c r="AL711" s="18"/>
      <c r="AM711" s="20"/>
    </row>
    <row r="712" spans="1:39" ht="15.75">
      <c r="A712" s="1711" t="s">
        <v>721</v>
      </c>
      <c r="B712" s="1712"/>
      <c r="C712" s="1712"/>
      <c r="D712" s="1712"/>
      <c r="E712" s="1712"/>
      <c r="F712" s="1712"/>
      <c r="G712" s="1712"/>
      <c r="H712" s="1712"/>
      <c r="I712" s="1712"/>
      <c r="J712" s="1712"/>
      <c r="K712" s="1712"/>
      <c r="L712" s="1712"/>
      <c r="M712" s="1712"/>
      <c r="N712" s="1712"/>
      <c r="O712" s="1712"/>
      <c r="P712" s="1712"/>
      <c r="Q712" s="1712"/>
      <c r="R712" s="1712"/>
      <c r="S712" s="1712"/>
      <c r="T712" s="1712"/>
      <c r="U712" s="1712"/>
      <c r="V712" s="1712"/>
      <c r="W712" s="1712"/>
      <c r="X712" s="1712"/>
      <c r="Y712" s="1712"/>
      <c r="Z712" s="1712"/>
      <c r="AA712" s="1712"/>
      <c r="AB712" s="1712"/>
      <c r="AC712" s="1712"/>
      <c r="AD712" s="1712"/>
      <c r="AE712" s="1713"/>
      <c r="AF712" s="1829">
        <f>SUM(AF698:AK710)-AF711</f>
        <v>109</v>
      </c>
      <c r="AG712" s="1830"/>
      <c r="AH712" s="1830"/>
      <c r="AI712" s="1830"/>
      <c r="AJ712" s="1830"/>
      <c r="AK712" s="1831"/>
      <c r="AL712" s="779"/>
      <c r="AM712" s="4"/>
    </row>
    <row r="713" spans="1:39" ht="12.4" customHeight="1">
      <c r="A713" s="1714"/>
      <c r="B713" s="1715"/>
      <c r="C713" s="1715"/>
      <c r="D713" s="1715"/>
      <c r="E713" s="1715"/>
      <c r="F713" s="1715"/>
      <c r="G713" s="1715"/>
      <c r="H713" s="1715"/>
      <c r="I713" s="1715"/>
      <c r="J713" s="1715"/>
      <c r="K713" s="1715"/>
      <c r="L713" s="1715"/>
      <c r="M713" s="1715"/>
      <c r="N713" s="1715"/>
      <c r="O713" s="1715"/>
      <c r="P713" s="1715"/>
      <c r="Q713" s="1715"/>
      <c r="R713" s="1715"/>
      <c r="S713" s="1715"/>
      <c r="T713" s="1715"/>
      <c r="U713" s="1715"/>
      <c r="V713" s="1715"/>
      <c r="W713" s="1715"/>
      <c r="X713" s="1715"/>
      <c r="Y713" s="1715"/>
      <c r="Z713" s="1715"/>
      <c r="AA713" s="1715"/>
      <c r="AB713" s="1715"/>
      <c r="AC713" s="1715"/>
      <c r="AD713" s="1715"/>
      <c r="AE713" s="1716"/>
      <c r="AF713" s="1832"/>
      <c r="AG713" s="1833"/>
      <c r="AH713" s="1833"/>
      <c r="AI713" s="1833"/>
      <c r="AJ713" s="1833"/>
      <c r="AK713" s="1834"/>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76"/>
    </row>
    <row r="715" spans="1:39" ht="12.4"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76"/>
    </row>
    <row r="716" spans="1:39" ht="12.4"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76"/>
    </row>
    <row r="717" spans="1:39" ht="12.4"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76"/>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76"/>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76"/>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K619:AM619"/>
    <mergeCell ref="AE574:AF574"/>
    <mergeCell ref="B597:AH602"/>
    <mergeCell ref="C673:D673"/>
    <mergeCell ref="F673:AD675"/>
    <mergeCell ref="E575:AH576"/>
    <mergeCell ref="AA308:AK308"/>
    <mergeCell ref="AA312:AK312"/>
    <mergeCell ref="AA311:AK311"/>
    <mergeCell ref="H319:R319"/>
    <mergeCell ref="H314:R314"/>
    <mergeCell ref="H318:M318"/>
    <mergeCell ref="C515:D515"/>
    <mergeCell ref="G518:AF518"/>
    <mergeCell ref="C520:D520"/>
    <mergeCell ref="C524:D524"/>
    <mergeCell ref="H312:R312"/>
    <mergeCell ref="AI309:AK309"/>
    <mergeCell ref="H315:R315"/>
    <mergeCell ref="H328:R328"/>
    <mergeCell ref="H329:R329"/>
    <mergeCell ref="P327:R327"/>
    <mergeCell ref="AI318:AK318"/>
    <mergeCell ref="AA316:AK316"/>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E592:J592"/>
    <mergeCell ref="W587:AB587"/>
    <mergeCell ref="E588:J588"/>
    <mergeCell ref="W589:AB589"/>
    <mergeCell ref="AF706:AK706"/>
    <mergeCell ref="Z707:AE707"/>
    <mergeCell ref="P318:R318"/>
    <mergeCell ref="AA309:AF309"/>
    <mergeCell ref="H320:R320"/>
    <mergeCell ref="AA317:AK317"/>
    <mergeCell ref="AA314:AK314"/>
    <mergeCell ref="H316:R316"/>
    <mergeCell ref="AA319:AK319"/>
    <mergeCell ref="AA320:AK320"/>
    <mergeCell ref="AA315:AK315"/>
    <mergeCell ref="AA318:AF31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AS355:AT355"/>
    <mergeCell ref="AF401:AL401"/>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C391:D391"/>
    <mergeCell ref="C409:D409"/>
    <mergeCell ref="H330:R330"/>
    <mergeCell ref="AA329:AK329"/>
    <mergeCell ref="AA326:AK326"/>
    <mergeCell ref="AF389:AL389"/>
    <mergeCell ref="AA327:AF327"/>
    <mergeCell ref="AA330:AK330"/>
    <mergeCell ref="H327:M327"/>
    <mergeCell ref="C366:AJ368"/>
    <mergeCell ref="AF468:AL468"/>
    <mergeCell ref="V490:X490"/>
    <mergeCell ref="BJ527:BK527"/>
    <mergeCell ref="BJ528:BK528"/>
    <mergeCell ref="AP534:AT534"/>
    <mergeCell ref="AU532:AY532"/>
    <mergeCell ref="AU534:AY534"/>
    <mergeCell ref="AP533:AT533"/>
    <mergeCell ref="AP507:AR521"/>
    <mergeCell ref="BD524:BE524"/>
    <mergeCell ref="AF391:AL391"/>
    <mergeCell ref="F529:AF530"/>
    <mergeCell ref="AU533:AY533"/>
    <mergeCell ref="AP532:AT532"/>
    <mergeCell ref="AF423:AL423"/>
    <mergeCell ref="BJ526:BK526"/>
    <mergeCell ref="BD525:BE525"/>
    <mergeCell ref="BJ504:BP505"/>
    <mergeCell ref="AU504:BA505"/>
    <mergeCell ref="G524:AF525"/>
    <mergeCell ref="F464:AF467"/>
    <mergeCell ref="F459:AE462"/>
    <mergeCell ref="BM529:BN529"/>
    <mergeCell ref="V497:X497"/>
    <mergeCell ref="BM528:BN528"/>
    <mergeCell ref="BM532:BP532"/>
    <mergeCell ref="AQ368:AR368"/>
    <mergeCell ref="AQ381:AR381"/>
    <mergeCell ref="AZ572:BD572"/>
    <mergeCell ref="Y567:Z567"/>
    <mergeCell ref="W572:X572"/>
    <mergeCell ref="T614:X614"/>
    <mergeCell ref="S562:T562"/>
    <mergeCell ref="W586:AB586"/>
    <mergeCell ref="Q586:V586"/>
    <mergeCell ref="AC569:AD569"/>
    <mergeCell ref="AC572:AD572"/>
    <mergeCell ref="U572:V572"/>
    <mergeCell ref="AE562:AF562"/>
    <mergeCell ref="Y573:Z573"/>
    <mergeCell ref="AP548:AT548"/>
    <mergeCell ref="U574:V574"/>
    <mergeCell ref="AE563:AF563"/>
    <mergeCell ref="W568:X568"/>
    <mergeCell ref="Y612:AC612"/>
    <mergeCell ref="AU537:AY537"/>
    <mergeCell ref="AU546:AV546"/>
    <mergeCell ref="AP536:AT536"/>
    <mergeCell ref="AU535:AY535"/>
    <mergeCell ref="AU536:AY536"/>
    <mergeCell ref="H287:R287"/>
    <mergeCell ref="H288:R288"/>
    <mergeCell ref="H289:R289"/>
    <mergeCell ref="H290:R290"/>
    <mergeCell ref="H291:M291"/>
    <mergeCell ref="AF210:AL210"/>
    <mergeCell ref="AE333:AK333"/>
    <mergeCell ref="C334:AJ341"/>
    <mergeCell ref="C342:AJ346"/>
    <mergeCell ref="AA325:AK325"/>
    <mergeCell ref="AI327:AK327"/>
    <mergeCell ref="H325:R325"/>
    <mergeCell ref="H305:R305"/>
    <mergeCell ref="H306:R306"/>
    <mergeCell ref="H292:R292"/>
    <mergeCell ref="H294:R294"/>
    <mergeCell ref="AA294:AK294"/>
    <mergeCell ref="H317:R317"/>
    <mergeCell ref="H324:R324"/>
    <mergeCell ref="AA301:AK301"/>
    <mergeCell ref="H323:R323"/>
    <mergeCell ref="H321:R321"/>
    <mergeCell ref="P300:R300"/>
    <mergeCell ref="H303:R303"/>
    <mergeCell ref="AJ271:AK271"/>
    <mergeCell ref="E234:AB236"/>
    <mergeCell ref="AF251:AL251"/>
    <mergeCell ref="E225:AB226"/>
    <mergeCell ref="E238:AA240"/>
    <mergeCell ref="AF234:AL234"/>
    <mergeCell ref="E260:AD262"/>
    <mergeCell ref="E251:AB252"/>
    <mergeCell ref="E248:AB249"/>
    <mergeCell ref="AF248:AL248"/>
    <mergeCell ref="H254:I254"/>
    <mergeCell ref="AJ256:AK256"/>
    <mergeCell ref="H269:I269"/>
    <mergeCell ref="AF264:AL264"/>
    <mergeCell ref="E264:AD267"/>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U562:V562"/>
    <mergeCell ref="AA565:AB565"/>
    <mergeCell ref="W564:X564"/>
    <mergeCell ref="Y562:Z562"/>
    <mergeCell ref="AP568:BJ569"/>
    <mergeCell ref="AP584:AT584"/>
    <mergeCell ref="AP585:AT585"/>
    <mergeCell ref="AP586:AT586"/>
    <mergeCell ref="AP587:AT587"/>
    <mergeCell ref="E590:J590"/>
    <mergeCell ref="E591:J591"/>
    <mergeCell ref="K590:P590"/>
    <mergeCell ref="Q590:V590"/>
    <mergeCell ref="W590:AB590"/>
    <mergeCell ref="AC590:AH590"/>
    <mergeCell ref="K591:P591"/>
    <mergeCell ref="Q591:V591"/>
    <mergeCell ref="W591:AB591"/>
    <mergeCell ref="AC591:AH591"/>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Z706:AE706"/>
    <mergeCell ref="C650:D650"/>
    <mergeCell ref="Y614:AC614"/>
    <mergeCell ref="Y571:Z571"/>
    <mergeCell ref="T612:X612"/>
    <mergeCell ref="AC592:AH592"/>
    <mergeCell ref="AF712:AK713"/>
    <mergeCell ref="AF711:AK711"/>
    <mergeCell ref="AF710:AK710"/>
    <mergeCell ref="AF708:AK708"/>
    <mergeCell ref="Z708:AE708"/>
    <mergeCell ref="Z710:AE710"/>
    <mergeCell ref="Z709:AE709"/>
    <mergeCell ref="T708:Y708"/>
    <mergeCell ref="T706:Y706"/>
    <mergeCell ref="T710:Y710"/>
    <mergeCell ref="O610:S610"/>
    <mergeCell ref="A619:AJ619"/>
    <mergeCell ref="J614:N614"/>
    <mergeCell ref="O614:S614"/>
    <mergeCell ref="T604:X607"/>
    <mergeCell ref="Y604:AC607"/>
    <mergeCell ref="AY541:AZ541"/>
    <mergeCell ref="AS542:AU542"/>
    <mergeCell ref="AX582:AY582"/>
    <mergeCell ref="AZ582:BA582"/>
    <mergeCell ref="AC586:AH586"/>
    <mergeCell ref="AC587:AH587"/>
    <mergeCell ref="AJ617:AK617"/>
    <mergeCell ref="AF699:AK699"/>
    <mergeCell ref="AC588:AH588"/>
    <mergeCell ref="AG596:AJ596"/>
    <mergeCell ref="Y608:AC608"/>
    <mergeCell ref="W588:AB588"/>
    <mergeCell ref="AC589:AH589"/>
    <mergeCell ref="AE570:AF570"/>
    <mergeCell ref="B631:AH643"/>
    <mergeCell ref="AG627:AJ627"/>
    <mergeCell ref="T609:X609"/>
    <mergeCell ref="J604:N607"/>
    <mergeCell ref="O608:S608"/>
    <mergeCell ref="T608:X608"/>
    <mergeCell ref="O611:S611"/>
    <mergeCell ref="T610:X610"/>
    <mergeCell ref="Y610:AC610"/>
    <mergeCell ref="Y611:AC611"/>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T613:X613"/>
    <mergeCell ref="O604:S607"/>
    <mergeCell ref="Y609:AC609"/>
    <mergeCell ref="A617:AI617"/>
    <mergeCell ref="B623:AJ624"/>
    <mergeCell ref="F627:AE629"/>
    <mergeCell ref="O612:S612"/>
    <mergeCell ref="J610:N610"/>
    <mergeCell ref="J611:N611"/>
    <mergeCell ref="S133:T133"/>
    <mergeCell ref="Y559:Z559"/>
    <mergeCell ref="AC574:AD574"/>
    <mergeCell ref="AG544:AJ544"/>
    <mergeCell ref="C510:D510"/>
    <mergeCell ref="F506:AE507"/>
    <mergeCell ref="V503:X503"/>
    <mergeCell ref="F510:AE511"/>
    <mergeCell ref="F429:AE431"/>
    <mergeCell ref="F435:AE443"/>
    <mergeCell ref="F447:AE450"/>
    <mergeCell ref="C432:D432"/>
    <mergeCell ref="S559:T559"/>
    <mergeCell ref="AF432:AL432"/>
    <mergeCell ref="AF444:AL444"/>
    <mergeCell ref="AF451:AL451"/>
    <mergeCell ref="AF128:AL128"/>
    <mergeCell ref="E191:AB194"/>
    <mergeCell ref="E210:AB212"/>
    <mergeCell ref="AF143:AL143"/>
    <mergeCell ref="AJ124:AK124"/>
    <mergeCell ref="AE73:AK73"/>
    <mergeCell ref="E188:AB189"/>
    <mergeCell ref="AF188:AL189"/>
    <mergeCell ref="AF191:AL192"/>
    <mergeCell ref="AF196:AL197"/>
    <mergeCell ref="Y112:AM113"/>
    <mergeCell ref="D116:AH117"/>
    <mergeCell ref="E156:AC158"/>
    <mergeCell ref="E160:AC162"/>
    <mergeCell ref="E164:AC166"/>
    <mergeCell ref="H204:I204"/>
    <mergeCell ref="H137:I137"/>
    <mergeCell ref="AF90:AL90"/>
    <mergeCell ref="AF95:AL95"/>
    <mergeCell ref="H182:I182"/>
    <mergeCell ref="E201:AB203"/>
    <mergeCell ref="AJ206:AK206"/>
    <mergeCell ref="AJ184:AK184"/>
    <mergeCell ref="AF172:AL172"/>
    <mergeCell ref="B120:C120"/>
    <mergeCell ref="B11:AI11"/>
    <mergeCell ref="B16:AJ16"/>
    <mergeCell ref="AB13:AC13"/>
    <mergeCell ref="AF33:AL33"/>
    <mergeCell ref="AF109:AL109"/>
    <mergeCell ref="AJ151:AK151"/>
    <mergeCell ref="Z40:AA40"/>
    <mergeCell ref="B43:AC43"/>
    <mergeCell ref="AF100:AL100"/>
    <mergeCell ref="E128:AD132"/>
    <mergeCell ref="AF135:AL135"/>
    <mergeCell ref="AF105:AL105"/>
    <mergeCell ref="AK68:AM68"/>
    <mergeCell ref="E120:AG123"/>
    <mergeCell ref="H118:AE118"/>
    <mergeCell ref="R112:W112"/>
    <mergeCell ref="H149:I149"/>
    <mergeCell ref="B20:AK30"/>
    <mergeCell ref="AK61:AM61"/>
    <mergeCell ref="B75:AK85"/>
    <mergeCell ref="AE64:AK64"/>
    <mergeCell ref="AJ139:AK139"/>
    <mergeCell ref="H112:I112"/>
    <mergeCell ref="A1:AM2"/>
    <mergeCell ref="B66:K66"/>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AP583:AT58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W566:X566"/>
    <mergeCell ref="AE561:AF561"/>
    <mergeCell ref="U565:V56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K283:AM283"/>
    <mergeCell ref="AF179:AL179"/>
    <mergeCell ref="AF156:AL156"/>
    <mergeCell ref="AF176:AL176"/>
    <mergeCell ref="E196:AB199"/>
    <mergeCell ref="C411:D411"/>
    <mergeCell ref="AF411:AL411"/>
    <mergeCell ref="C414:D414"/>
    <mergeCell ref="AF425:AL425"/>
    <mergeCell ref="AE165:AK165"/>
    <mergeCell ref="AF160:AL160"/>
    <mergeCell ref="E172:AC174"/>
    <mergeCell ref="E213:AB215"/>
    <mergeCell ref="AF222:AL222"/>
    <mergeCell ref="AF225:AL225"/>
    <mergeCell ref="P291:R291"/>
    <mergeCell ref="E176:AC177"/>
    <mergeCell ref="AJ281:AK281"/>
    <mergeCell ref="E168:AC170"/>
    <mergeCell ref="AF164:AL164"/>
    <mergeCell ref="AI300:AK300"/>
    <mergeCell ref="AA328:AK328"/>
    <mergeCell ref="AI291:AK291"/>
    <mergeCell ref="AJ244:AK244"/>
    <mergeCell ref="C517:D517"/>
    <mergeCell ref="O560:P560"/>
    <mergeCell ref="U559:V559"/>
    <mergeCell ref="AK540:AM540"/>
    <mergeCell ref="C506:D506"/>
    <mergeCell ref="C528:D528"/>
    <mergeCell ref="B545:AG550"/>
    <mergeCell ref="C444:D444"/>
    <mergeCell ref="AE477:AK477"/>
    <mergeCell ref="C468:D468"/>
    <mergeCell ref="C487:D487"/>
    <mergeCell ref="U370:W370"/>
    <mergeCell ref="U371:W371"/>
    <mergeCell ref="C389:D389"/>
    <mergeCell ref="C459:D459"/>
    <mergeCell ref="C455:D455"/>
    <mergeCell ref="C379:D379"/>
    <mergeCell ref="C451:D451"/>
    <mergeCell ref="F419:AE422"/>
    <mergeCell ref="AF415:AL415"/>
    <mergeCell ref="C399:D399"/>
    <mergeCell ref="F414:AE417"/>
    <mergeCell ref="C425:D425"/>
    <mergeCell ref="C401:D401"/>
    <mergeCell ref="O562:P562"/>
    <mergeCell ref="Q562:R562"/>
    <mergeCell ref="W559:X559"/>
    <mergeCell ref="W560:X560"/>
    <mergeCell ref="AA563:AB563"/>
    <mergeCell ref="Y565:Z565"/>
    <mergeCell ref="S565:T565"/>
    <mergeCell ref="Y564:Z564"/>
    <mergeCell ref="AF409:AL409"/>
    <mergeCell ref="F455:AE457"/>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E582:J582"/>
    <mergeCell ref="Q573:R573"/>
    <mergeCell ref="O571:P571"/>
    <mergeCell ref="Q571:R571"/>
    <mergeCell ref="Q574:R574"/>
    <mergeCell ref="S573:T573"/>
    <mergeCell ref="S572:T572"/>
    <mergeCell ref="O572:P572"/>
    <mergeCell ref="Y569:Z569"/>
    <mergeCell ref="W574:X574"/>
    <mergeCell ref="Y574:Z574"/>
    <mergeCell ref="Q570:R570"/>
    <mergeCell ref="O570:P570"/>
    <mergeCell ref="AC573:AD573"/>
    <mergeCell ref="E179:AC180"/>
    <mergeCell ref="O567:P567"/>
    <mergeCell ref="Y568:Z568"/>
    <mergeCell ref="Q560:R560"/>
    <mergeCell ref="AA292:AK292"/>
    <mergeCell ref="H279:I279"/>
    <mergeCell ref="E275:AD277"/>
    <mergeCell ref="AE543:AK543"/>
    <mergeCell ref="U564:V564"/>
    <mergeCell ref="V501:X501"/>
    <mergeCell ref="F508:Z508"/>
    <mergeCell ref="F513:H513"/>
    <mergeCell ref="S563:T563"/>
    <mergeCell ref="AA296:AK296"/>
    <mergeCell ref="AA297:AK297"/>
    <mergeCell ref="AA298:AK298"/>
    <mergeCell ref="AA299:AK299"/>
    <mergeCell ref="AA300:AF300"/>
    <mergeCell ref="AA302:AK302"/>
    <mergeCell ref="H293:R293"/>
    <mergeCell ref="AA287:AK287"/>
    <mergeCell ref="AA288:AK288"/>
    <mergeCell ref="W565:X565"/>
    <mergeCell ref="AA289:AK289"/>
    <mergeCell ref="AA290:AK290"/>
    <mergeCell ref="AA291:AF291"/>
    <mergeCell ref="AA293:AK293"/>
    <mergeCell ref="H296:R296"/>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I566:N574"/>
    <mergeCell ref="AC582:AH582"/>
    <mergeCell ref="AA566:AB566"/>
    <mergeCell ref="W567:X567"/>
    <mergeCell ref="Q582:V582"/>
    <mergeCell ref="AA568:AB568"/>
    <mergeCell ref="AA571:AB571"/>
    <mergeCell ref="AA574:AB574"/>
    <mergeCell ref="O563:P563"/>
    <mergeCell ref="O566:P566"/>
    <mergeCell ref="O565:P565"/>
    <mergeCell ref="Q581:V581"/>
    <mergeCell ref="S569:T569"/>
    <mergeCell ref="U563:V563"/>
    <mergeCell ref="Q565:R565"/>
    <mergeCell ref="Q564:R564"/>
    <mergeCell ref="S564:T564"/>
    <mergeCell ref="O568:P568"/>
    <mergeCell ref="Q572:R572"/>
    <mergeCell ref="Q566:R566"/>
    <mergeCell ref="S568:T568"/>
    <mergeCell ref="S566:T566"/>
    <mergeCell ref="Q569:R569"/>
    <mergeCell ref="Q567:R567"/>
    <mergeCell ref="S570:T570"/>
    <mergeCell ref="U566:V566"/>
    <mergeCell ref="S567:T567"/>
    <mergeCell ref="H297:R297"/>
    <mergeCell ref="H307:R307"/>
    <mergeCell ref="H308:R308"/>
    <mergeCell ref="H309:M309"/>
    <mergeCell ref="H310:R310"/>
    <mergeCell ref="H311:R311"/>
    <mergeCell ref="H298:R298"/>
    <mergeCell ref="H299:R299"/>
    <mergeCell ref="H300:M300"/>
    <mergeCell ref="H301:R301"/>
    <mergeCell ref="H302:R302"/>
    <mergeCell ref="P309:R3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2" t="s">
        <v>2037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898"/>
      <c r="B3" s="898"/>
      <c r="I3" s="899"/>
      <c r="K3" s="900"/>
    </row>
    <row r="4" spans="1:57" ht="14.25" customHeight="1">
      <c r="A4" s="1901" t="s">
        <v>2038</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898"/>
      <c r="B5" s="898"/>
      <c r="I5" s="899"/>
      <c r="K5" s="900"/>
    </row>
    <row r="6" spans="1:57">
      <c r="A6" s="898"/>
      <c r="B6" s="898"/>
      <c r="D6" s="896" t="s">
        <v>2041</v>
      </c>
      <c r="I6" s="899"/>
      <c r="K6" s="900"/>
      <c r="U6" s="1900"/>
      <c r="V6" s="1900"/>
      <c r="W6" s="1900"/>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8"/>
      <c r="Q9" s="1908"/>
      <c r="R9" s="1908"/>
      <c r="S9" s="1908"/>
      <c r="T9" s="1908"/>
    </row>
    <row r="10" spans="1:57">
      <c r="A10" s="898"/>
      <c r="B10" s="898"/>
      <c r="I10" s="899"/>
      <c r="K10" s="900"/>
    </row>
    <row r="11" spans="1:57">
      <c r="A11" s="1901" t="s">
        <v>2044</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896" t="s">
        <v>108</v>
      </c>
    </row>
    <row r="12" spans="1:57">
      <c r="A12" s="898"/>
      <c r="B12" s="898"/>
      <c r="I12" s="899"/>
      <c r="K12" s="900"/>
      <c r="BC12" s="896" t="s">
        <v>482</v>
      </c>
    </row>
    <row r="13" spans="1:57">
      <c r="A13" s="898"/>
      <c r="B13" s="898"/>
      <c r="D13" s="896" t="s">
        <v>2045</v>
      </c>
      <c r="I13" s="899"/>
      <c r="K13" s="900"/>
      <c r="T13" s="1900"/>
      <c r="U13" s="1900"/>
      <c r="V13" s="1900"/>
    </row>
    <row r="14" spans="1:57">
      <c r="A14" s="898"/>
      <c r="B14" s="898"/>
      <c r="E14" s="896" t="s">
        <v>2052</v>
      </c>
      <c r="I14" s="899"/>
      <c r="K14" s="900"/>
      <c r="N14" s="1906"/>
      <c r="O14" s="1906"/>
      <c r="P14" s="1906"/>
      <c r="Q14" s="1906"/>
      <c r="R14" s="1906"/>
      <c r="S14" s="1906"/>
      <c r="T14" s="1906"/>
      <c r="U14" s="1906"/>
      <c r="V14" s="1906"/>
      <c r="W14" s="1906"/>
      <c r="X14" s="1906"/>
      <c r="Y14" s="1906"/>
      <c r="Z14" s="1906"/>
      <c r="AA14" s="1906"/>
      <c r="AB14" s="1906"/>
      <c r="AC14" s="1906"/>
      <c r="AD14" s="1906"/>
      <c r="AE14" s="1906"/>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1499416</v>
      </c>
    </row>
    <row r="16" spans="1:57">
      <c r="A16" s="898"/>
      <c r="B16" s="898"/>
      <c r="BC16" s="896" t="s">
        <v>2056</v>
      </c>
      <c r="BE16" s="896">
        <f>'Basis &amp; Credits'!T11+'Basis &amp; Credits'!AD11</f>
        <v>20581468</v>
      </c>
    </row>
    <row r="17" spans="1:43">
      <c r="A17" s="898"/>
      <c r="B17" s="898"/>
      <c r="D17" s="896" t="s">
        <v>2047</v>
      </c>
      <c r="I17" s="899"/>
      <c r="K17" s="900"/>
      <c r="U17" s="1907" t="str">
        <f>IF(T13="yes",(BE15/BE16)," ")</f>
        <v xml:space="preserve"> </v>
      </c>
      <c r="V17" s="1907"/>
      <c r="W17" s="1907"/>
      <c r="X17" s="1907"/>
      <c r="Y17" s="1907"/>
    </row>
    <row r="18" spans="1:43">
      <c r="A18" s="898"/>
      <c r="B18" s="898"/>
      <c r="I18" s="899"/>
      <c r="K18" s="900"/>
    </row>
    <row r="19" spans="1:43">
      <c r="A19" s="1901" t="s">
        <v>2049</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898"/>
      <c r="D20" s="898"/>
      <c r="K20" s="899"/>
      <c r="M20" s="900"/>
    </row>
    <row r="21" spans="1:43">
      <c r="C21" s="898"/>
      <c r="D21" s="898"/>
      <c r="K21" s="899"/>
      <c r="M21" s="900"/>
    </row>
    <row r="22" spans="1:43">
      <c r="C22" s="901" t="s">
        <v>728</v>
      </c>
      <c r="D22" s="901"/>
      <c r="E22" s="896" t="s">
        <v>2050</v>
      </c>
      <c r="H22" s="902"/>
      <c r="K22" s="896"/>
      <c r="Q22" s="1909">
        <f>ROUND('Basis &amp; Credits'!AB55,0)</f>
        <v>1499416</v>
      </c>
      <c r="R22" s="1909"/>
      <c r="S22" s="1909"/>
      <c r="T22" s="1909"/>
      <c r="U22" s="1909"/>
      <c r="V22" s="1909"/>
      <c r="W22" s="1909"/>
      <c r="X22" s="1909"/>
      <c r="Y22" s="916"/>
    </row>
    <row r="23" spans="1:43">
      <c r="C23" s="898"/>
      <c r="D23" s="898"/>
      <c r="G23" s="903"/>
      <c r="H23" s="903"/>
      <c r="I23" s="904"/>
      <c r="J23" s="904"/>
      <c r="K23" s="903"/>
      <c r="M23" s="897"/>
    </row>
    <row r="24" spans="1:43">
      <c r="C24" s="905"/>
      <c r="D24" s="905"/>
      <c r="E24" s="906"/>
      <c r="J24" s="904"/>
      <c r="K24" s="896"/>
      <c r="L24" s="1912" t="s">
        <v>2027</v>
      </c>
      <c r="M24" s="1912"/>
      <c r="N24" s="1912"/>
      <c r="P24" s="1897" t="s">
        <v>2028</v>
      </c>
      <c r="Q24" s="1897"/>
      <c r="R24" s="1897"/>
      <c r="S24" s="1897"/>
      <c r="T24" s="1897"/>
      <c r="V24" s="1897" t="s">
        <v>2029</v>
      </c>
      <c r="W24" s="1897"/>
      <c r="X24" s="1897"/>
    </row>
    <row r="25" spans="1:43">
      <c r="C25" s="901" t="s">
        <v>190</v>
      </c>
      <c r="D25" s="901"/>
      <c r="E25" s="896" t="s">
        <v>986</v>
      </c>
      <c r="J25" s="904"/>
      <c r="L25" s="1898" t="s">
        <v>2030</v>
      </c>
      <c r="M25" s="1898"/>
      <c r="N25" s="1898"/>
      <c r="P25" s="1898" t="s">
        <v>2031</v>
      </c>
      <c r="Q25" s="1898"/>
      <c r="R25" s="1898"/>
      <c r="S25" s="1898"/>
      <c r="T25" s="1898"/>
      <c r="V25" s="1898" t="s">
        <v>2030</v>
      </c>
      <c r="W25" s="1898"/>
      <c r="X25" s="1898"/>
    </row>
    <row r="26" spans="1:43">
      <c r="C26" s="898"/>
      <c r="D26" s="898"/>
      <c r="E26" s="907" t="s">
        <v>2032</v>
      </c>
      <c r="F26" s="907"/>
      <c r="J26" s="908"/>
      <c r="L26" s="1910">
        <f>Application!BN626</f>
        <v>0</v>
      </c>
      <c r="M26" s="1910"/>
      <c r="N26" s="1910"/>
      <c r="P26" s="1899">
        <v>0.9</v>
      </c>
      <c r="Q26" s="1899"/>
      <c r="R26" s="1899"/>
      <c r="S26" s="1899"/>
      <c r="T26" s="1899"/>
      <c r="V26" s="1899">
        <f>L26*P26</f>
        <v>0</v>
      </c>
      <c r="W26" s="1899"/>
      <c r="X26" s="1899"/>
    </row>
    <row r="27" spans="1:43">
      <c r="C27" s="898"/>
      <c r="D27" s="898"/>
      <c r="E27" s="896" t="s">
        <v>2033</v>
      </c>
      <c r="J27" s="908"/>
      <c r="L27" s="1890">
        <f>Application!BS626</f>
        <v>0</v>
      </c>
      <c r="M27" s="1890">
        <f>Application!BS634+Application!BS643+Application!CX657</f>
        <v>0</v>
      </c>
      <c r="N27" s="1890"/>
      <c r="P27" s="1895">
        <v>1</v>
      </c>
      <c r="Q27" s="1895"/>
      <c r="R27" s="1895"/>
      <c r="S27" s="1895"/>
      <c r="T27" s="1895"/>
      <c r="V27" s="1895">
        <f>L27*P27</f>
        <v>0</v>
      </c>
      <c r="W27" s="1895"/>
      <c r="X27" s="1895"/>
    </row>
    <row r="28" spans="1:43">
      <c r="C28" s="898"/>
      <c r="D28" s="898"/>
      <c r="E28" s="896" t="s">
        <v>2034</v>
      </c>
      <c r="J28" s="908"/>
      <c r="L28" s="1890">
        <f>Application!BX626</f>
        <v>17</v>
      </c>
      <c r="M28" s="1890">
        <f>Application!BX634+Application!BX643+Application!DC657</f>
        <v>0</v>
      </c>
      <c r="N28" s="1890"/>
      <c r="P28" s="1895">
        <v>1.25</v>
      </c>
      <c r="Q28" s="1895"/>
      <c r="R28" s="1895"/>
      <c r="S28" s="1895"/>
      <c r="T28" s="1895"/>
      <c r="V28" s="1895">
        <f>L28*P28</f>
        <v>21.25</v>
      </c>
      <c r="W28" s="1895"/>
      <c r="X28" s="1895"/>
    </row>
    <row r="29" spans="1:43">
      <c r="C29" s="898"/>
      <c r="D29" s="898"/>
      <c r="E29" s="896" t="s">
        <v>2035</v>
      </c>
      <c r="J29" s="908"/>
      <c r="L29" s="1890">
        <f>Application!CC626</f>
        <v>10</v>
      </c>
      <c r="M29" s="1890">
        <f>Application!CC634+Application!CC643+Application!DH657</f>
        <v>0</v>
      </c>
      <c r="N29" s="1890"/>
      <c r="P29" s="1895">
        <v>1.5</v>
      </c>
      <c r="Q29" s="1895"/>
      <c r="R29" s="1895"/>
      <c r="S29" s="1895"/>
      <c r="T29" s="1895"/>
      <c r="V29" s="1895">
        <f>L29*P29</f>
        <v>15</v>
      </c>
      <c r="W29" s="1895"/>
      <c r="X29" s="1895"/>
    </row>
    <row r="30" spans="1:43">
      <c r="C30" s="898"/>
      <c r="D30" s="898"/>
      <c r="E30" s="896" t="s">
        <v>2036</v>
      </c>
      <c r="J30" s="908"/>
      <c r="L30" s="1891">
        <f>Application!CH626+Application!CM626</f>
        <v>0</v>
      </c>
      <c r="M30" s="1891"/>
      <c r="N30" s="1891"/>
      <c r="P30" s="1895">
        <v>1.75</v>
      </c>
      <c r="Q30" s="1895"/>
      <c r="R30" s="1895">
        <f>1.75+0.25*0</f>
        <v>1.75</v>
      </c>
      <c r="S30" s="1895"/>
      <c r="T30" s="1895"/>
      <c r="V30" s="1896">
        <f>L30*P30</f>
        <v>0</v>
      </c>
      <c r="W30" s="1896"/>
      <c r="X30" s="1896"/>
    </row>
    <row r="31" spans="1:43">
      <c r="C31" s="898"/>
      <c r="D31" s="898"/>
      <c r="L31" s="1910">
        <f>SUM(L26:N30)</f>
        <v>27</v>
      </c>
      <c r="M31" s="1911"/>
      <c r="N31" s="1911"/>
      <c r="V31" s="1899">
        <f>SUM(V26:X30)</f>
        <v>36.25</v>
      </c>
      <c r="W31" s="1899"/>
      <c r="X31" s="1899"/>
    </row>
    <row r="32" spans="1:43">
      <c r="C32" s="898"/>
      <c r="D32" s="898"/>
      <c r="K32" s="909"/>
    </row>
    <row r="33" spans="1:27">
      <c r="C33" s="901" t="s">
        <v>191</v>
      </c>
      <c r="D33" s="901"/>
      <c r="E33" s="898" t="s">
        <v>2051</v>
      </c>
      <c r="H33" s="910"/>
      <c r="I33" s="911"/>
      <c r="J33" s="912"/>
      <c r="K33" s="909"/>
      <c r="M33" s="897"/>
      <c r="V33" s="1892">
        <f>IF(V31&gt;0,V31/Q22," ")</f>
        <v>2.4176079220176389E-5</v>
      </c>
      <c r="W33" s="1893"/>
      <c r="X33" s="1893"/>
      <c r="Y33" s="1893"/>
      <c r="Z33" s="1893"/>
      <c r="AA33" s="1894"/>
    </row>
    <row r="34" spans="1:27">
      <c r="K34" s="896"/>
      <c r="M34" s="897"/>
    </row>
    <row r="35" spans="1:27">
      <c r="E35" s="898" t="s">
        <v>2057</v>
      </c>
      <c r="F35" s="898"/>
      <c r="G35" s="898"/>
      <c r="H35" s="898"/>
      <c r="I35" s="898"/>
      <c r="J35" s="898"/>
      <c r="K35" s="898"/>
      <c r="L35" s="898"/>
      <c r="M35" s="918"/>
      <c r="N35" s="898"/>
      <c r="O35" s="898"/>
      <c r="P35" s="898"/>
      <c r="Q35" s="898"/>
      <c r="R35" s="898"/>
      <c r="V35" s="1903">
        <f>IF(V31&gt;0,1/V33," ")</f>
        <v>41363.199999999997</v>
      </c>
      <c r="W35" s="1904"/>
      <c r="X35" s="1904"/>
      <c r="Y35" s="1904"/>
      <c r="Z35" s="1904"/>
      <c r="AA35" s="190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2024-01-24T15:56:22Z</cp:lastPrinted>
  <dcterms:created xsi:type="dcterms:W3CDTF">2007-12-27T18:26:28Z</dcterms:created>
  <dcterms:modified xsi:type="dcterms:W3CDTF">2024-02-13T22:27:37Z</dcterms:modified>
</cp:coreProperties>
</file>