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D:\adam\Documents\Work Files\2024\CTCAC\Round I\Westgate Manor (Corcoran)\Application\Application\"/>
    </mc:Choice>
  </mc:AlternateContent>
  <xr:revisionPtr revIDLastSave="0" documentId="13_ncr:1_{F1DF4E0C-AFAD-40F8-A67D-A957A71E0555}" xr6:coauthVersionLast="47" xr6:coauthVersionMax="47" xr10:uidLastSave="{00000000-0000-0000-0000-000000000000}"/>
  <bookViews>
    <workbookView xWindow="-1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88" i="6" l="1"/>
  <c r="K587" i="6"/>
  <c r="AJ31" i="6" l="1"/>
  <c r="AJ47" i="6"/>
  <c r="AQ6" i="6"/>
  <c r="AJ995" i="3"/>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4" i="3" l="1"/>
  <c r="BH723" i="3"/>
  <c r="BH722" i="3"/>
  <c r="BH721" i="3"/>
  <c r="BH697" i="3"/>
  <c r="BI697" i="3" s="1"/>
  <c r="BH705" i="3"/>
  <c r="BI705" i="3" s="1"/>
  <c r="BH713" i="3"/>
  <c r="BI713" i="3" s="1"/>
  <c r="BH690" i="3"/>
  <c r="BI690" i="3" s="1"/>
  <c r="BH698" i="3"/>
  <c r="BI698" i="3" s="1"/>
  <c r="BH691" i="3"/>
  <c r="BI691" i="3" s="1"/>
  <c r="BH699" i="3"/>
  <c r="BI699" i="3" s="1"/>
  <c r="BH707" i="3"/>
  <c r="BI707" i="3" s="1"/>
  <c r="BH710" i="3"/>
  <c r="BI710" i="3" s="1"/>
  <c r="BH703" i="3"/>
  <c r="BI703" i="3" s="1"/>
  <c r="BH696" i="3"/>
  <c r="BI696" i="3" s="1"/>
  <c r="BH692" i="3"/>
  <c r="BI692" i="3" s="1"/>
  <c r="BH700" i="3"/>
  <c r="BI700" i="3" s="1"/>
  <c r="BH708" i="3"/>
  <c r="BI708" i="3" s="1"/>
  <c r="BH702" i="3"/>
  <c r="BI702" i="3" s="1"/>
  <c r="BH695" i="3"/>
  <c r="BI695" i="3" s="1"/>
  <c r="BH704" i="3"/>
  <c r="BI704" i="3" s="1"/>
  <c r="BH706" i="3"/>
  <c r="BI706" i="3" s="1"/>
  <c r="BH693" i="3"/>
  <c r="BI693" i="3" s="1"/>
  <c r="BH701" i="3"/>
  <c r="BI701" i="3" s="1"/>
  <c r="BH709" i="3"/>
  <c r="BI709" i="3" s="1"/>
  <c r="BH694" i="3"/>
  <c r="BI694" i="3" s="1"/>
  <c r="BH711" i="3"/>
  <c r="BI711" i="3" s="1"/>
  <c r="BH712" i="3"/>
  <c r="BI712" i="3" s="1"/>
  <c r="BH689" i="3"/>
  <c r="BI689"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BI745" i="3" s="1"/>
  <c r="AM730" i="3" s="1"/>
  <c r="AC696" i="3"/>
  <c r="AM696" i="3" s="1"/>
  <c r="BI721" i="3" s="1"/>
  <c r="AC697" i="3"/>
  <c r="AM697" i="3" s="1"/>
  <c r="BI722" i="3" s="1"/>
  <c r="AC698" i="3"/>
  <c r="AM698" i="3" s="1"/>
  <c r="BI723" i="3" s="1"/>
  <c r="AC699" i="3"/>
  <c r="AM699" i="3" s="1"/>
  <c r="BI724"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E79" i="15" s="1"/>
  <c r="B79" i="15"/>
  <c r="B73" i="15"/>
  <c r="C73" i="15"/>
  <c r="D73" i="15"/>
  <c r="B74" i="15"/>
  <c r="E74" i="15"/>
  <c r="C74" i="15"/>
  <c r="D74" i="15"/>
  <c r="B75" i="15"/>
  <c r="C75" i="15"/>
  <c r="E75" i="15" s="1"/>
  <c r="D75" i="15"/>
  <c r="B76" i="15"/>
  <c r="C76" i="15"/>
  <c r="E76" i="15" s="1"/>
  <c r="D76" i="15"/>
  <c r="D72" i="15"/>
  <c r="C72" i="15"/>
  <c r="B72" i="15"/>
  <c r="E72" i="15" s="1"/>
  <c r="B66" i="15"/>
  <c r="C66" i="15"/>
  <c r="E66" i="15" s="1"/>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B41" i="15"/>
  <c r="E41" i="15" s="1"/>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E20" i="15" s="1"/>
  <c r="C20" i="15"/>
  <c r="D20" i="15"/>
  <c r="B21" i="15"/>
  <c r="C21" i="15"/>
  <c r="D21" i="15"/>
  <c r="B22" i="15"/>
  <c r="C22" i="15"/>
  <c r="E22" i="15" s="1"/>
  <c r="D22" i="15"/>
  <c r="B23" i="15"/>
  <c r="C23" i="15"/>
  <c r="D23" i="15"/>
  <c r="B24" i="15"/>
  <c r="C24" i="15"/>
  <c r="E24" i="15" s="1"/>
  <c r="D24" i="15"/>
  <c r="B25" i="15"/>
  <c r="C25" i="15"/>
  <c r="D25" i="15"/>
  <c r="B26" i="15"/>
  <c r="C26" i="15"/>
  <c r="E26" i="15"/>
  <c r="D26" i="15"/>
  <c r="B28" i="15"/>
  <c r="C28" i="15"/>
  <c r="E28" i="15" s="1"/>
  <c r="D28" i="15"/>
  <c r="B5" i="15"/>
  <c r="B9" i="15" s="1"/>
  <c r="C5" i="15"/>
  <c r="C9" i="15" s="1"/>
  <c r="B6" i="15"/>
  <c r="C6" i="15"/>
  <c r="B7" i="15"/>
  <c r="C7" i="15"/>
  <c r="B8" i="15"/>
  <c r="C8" i="15"/>
  <c r="B10" i="15"/>
  <c r="B12" i="15" s="1"/>
  <c r="C10" i="15"/>
  <c r="C12"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69" i="15"/>
  <c r="E56" i="15"/>
  <c r="E73" i="15"/>
  <c r="E91" i="15"/>
  <c r="E87" i="15"/>
  <c r="E67" i="15"/>
  <c r="E33" i="15"/>
  <c r="E58" i="15"/>
  <c r="E16" i="15"/>
  <c r="E7" i="15"/>
  <c r="E31" i="15"/>
  <c r="E51" i="15"/>
  <c r="E61" i="15"/>
  <c r="E57" i="15"/>
  <c r="E88" i="15"/>
  <c r="E14" i="15"/>
  <c r="E21" i="15"/>
  <c r="E8" i="15"/>
  <c r="E52" i="15"/>
  <c r="E48" i="15"/>
  <c r="E42" i="15"/>
  <c r="E50" i="15"/>
  <c r="E6" i="15"/>
  <c r="E23" i="15"/>
  <c r="E11" i="15"/>
  <c r="E46" i="15"/>
  <c r="E35" i="15"/>
  <c r="E36"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B25" i="18" s="1"/>
  <c r="C38" i="4"/>
  <c r="C42" i="4"/>
  <c r="C53" i="4"/>
  <c r="B52" i="18" s="1"/>
  <c r="C61" i="4"/>
  <c r="C69" i="4"/>
  <c r="B70" i="15" s="1"/>
  <c r="C76" i="4"/>
  <c r="C80" i="4"/>
  <c r="D81" i="15" s="1"/>
  <c r="C95" i="4"/>
  <c r="B96" i="15" s="1"/>
  <c r="C103" i="4"/>
  <c r="C104" i="15" s="1"/>
  <c r="C66" i="25"/>
  <c r="Y20" i="5"/>
  <c r="AI20" i="5"/>
  <c r="S26" i="4"/>
  <c r="E25" i="18" s="1"/>
  <c r="S38" i="4"/>
  <c r="S42" i="4"/>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37" i="18"/>
  <c r="E41"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62" i="4" s="1"/>
  <c r="G96"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D12" i="4"/>
  <c r="B43" i="15"/>
  <c r="E43" i="15" s="1"/>
  <c r="C43" i="15"/>
  <c r="D43" i="15"/>
  <c r="C39" i="15"/>
  <c r="E39" i="15" s="1"/>
  <c r="D39" i="15"/>
  <c r="B39" i="15"/>
  <c r="B27" i="15"/>
  <c r="B81" i="15"/>
  <c r="B76" i="4"/>
  <c r="B77" i="15"/>
  <c r="C77" i="15"/>
  <c r="D77" i="15"/>
  <c r="B8" i="4"/>
  <c r="T62" i="4"/>
  <c r="H61" i="18" s="1"/>
  <c r="C62" i="15"/>
  <c r="D62" i="15"/>
  <c r="B62" i="15"/>
  <c r="E62" i="15" s="1"/>
  <c r="G52" i="25"/>
  <c r="AB47" i="26"/>
  <c r="I61" i="18"/>
  <c r="I95" i="18"/>
  <c r="I103" i="18"/>
  <c r="I105" i="18"/>
  <c r="J61" i="18"/>
  <c r="J95" i="18"/>
  <c r="J103" i="18"/>
  <c r="J105" i="18"/>
  <c r="K12" i="4"/>
  <c r="B42" i="4"/>
  <c r="J12" i="4"/>
  <c r="R11" i="4"/>
  <c r="R8" i="4"/>
  <c r="D9" i="15"/>
  <c r="C61" i="18"/>
  <c r="C95" i="18"/>
  <c r="C103" i="18"/>
  <c r="C12" i="18"/>
  <c r="E12" i="4"/>
  <c r="M62" i="4"/>
  <c r="M96" i="4"/>
  <c r="M104" i="4"/>
  <c r="J62" i="4"/>
  <c r="J96" i="4"/>
  <c r="J104" i="4"/>
  <c r="O62" i="4"/>
  <c r="O96" i="4"/>
  <c r="O104" i="4"/>
  <c r="N62" i="4"/>
  <c r="N96" i="4"/>
  <c r="N104" i="4"/>
  <c r="D62" i="4"/>
  <c r="D96" i="4"/>
  <c r="D104" i="4"/>
  <c r="B75" i="18"/>
  <c r="L62" i="4"/>
  <c r="L96" i="4"/>
  <c r="L104" i="4"/>
  <c r="H12" i="4"/>
  <c r="H11" i="18"/>
  <c r="Q62" i="4"/>
  <c r="Q96" i="4"/>
  <c r="Q104" i="4"/>
  <c r="K62" i="4"/>
  <c r="K96" i="4"/>
  <c r="K104" i="4"/>
  <c r="I62" i="4"/>
  <c r="I96" i="4"/>
  <c r="I104" i="4"/>
  <c r="R38" i="4"/>
  <c r="R42" i="4"/>
  <c r="H62" i="4"/>
  <c r="H96" i="4"/>
  <c r="H104" i="4"/>
  <c r="M12" i="4"/>
  <c r="D12" i="18"/>
  <c r="P62" i="4"/>
  <c r="P96" i="4"/>
  <c r="P104" i="4"/>
  <c r="G61" i="18"/>
  <c r="G95" i="18"/>
  <c r="G103" i="18"/>
  <c r="G105" i="18"/>
  <c r="B38" i="4"/>
  <c r="F61" i="18"/>
  <c r="F95" i="18"/>
  <c r="F103" i="18"/>
  <c r="F105" i="18"/>
  <c r="D61" i="18"/>
  <c r="D95" i="18"/>
  <c r="D103" i="18"/>
  <c r="S28" i="9"/>
  <c r="AC28" i="9"/>
  <c r="T24" i="27"/>
  <c r="T24" i="26"/>
  <c r="R76" i="4" l="1"/>
  <c r="E77" i="15"/>
  <c r="E92" i="15"/>
  <c r="E90" i="15"/>
  <c r="B94" i="18"/>
  <c r="E83" i="15"/>
  <c r="T96" i="4"/>
  <c r="T104" i="4" s="1"/>
  <c r="T106" i="4" s="1"/>
  <c r="G104" i="4"/>
  <c r="G12" i="4"/>
  <c r="E12" i="15"/>
  <c r="E10" i="15"/>
  <c r="R12" i="4"/>
  <c r="E5" i="15"/>
  <c r="S62" i="4"/>
  <c r="H95" i="18"/>
  <c r="R95" i="4"/>
  <c r="R80" i="4"/>
  <c r="R69" i="4"/>
  <c r="R53" i="4"/>
  <c r="E62" i="4"/>
  <c r="E96" i="4" s="1"/>
  <c r="E104" i="4" s="1"/>
  <c r="D96" i="15"/>
  <c r="C96" i="15"/>
  <c r="E96" i="15" s="1"/>
  <c r="B95" i="4"/>
  <c r="B79" i="18"/>
  <c r="B80" i="4"/>
  <c r="C81" i="15"/>
  <c r="E81" i="15" s="1"/>
  <c r="B68" i="18"/>
  <c r="B69" i="4"/>
  <c r="D70" i="15"/>
  <c r="C70" i="15"/>
  <c r="E70" i="15" s="1"/>
  <c r="D54" i="15"/>
  <c r="B54" i="15"/>
  <c r="B53" i="4"/>
  <c r="C54" i="15"/>
  <c r="E54" i="15" s="1"/>
  <c r="R26" i="4"/>
  <c r="C12" i="4"/>
  <c r="B12" i="18" s="1"/>
  <c r="D13" i="15"/>
  <c r="E9" i="15"/>
  <c r="F62" i="4"/>
  <c r="F96" i="4" s="1"/>
  <c r="F104" i="4" s="1"/>
  <c r="F12" i="4"/>
  <c r="D27" i="15"/>
  <c r="B26" i="4"/>
  <c r="C27" i="15"/>
  <c r="E27" i="15" s="1"/>
  <c r="B13" i="15"/>
  <c r="B11" i="18"/>
  <c r="C62" i="4"/>
  <c r="C96" i="4" s="1"/>
  <c r="C97" i="15" s="1"/>
  <c r="B11" i="4"/>
  <c r="B12" i="4" s="1"/>
  <c r="C13"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H103" i="18" l="1"/>
  <c r="E13" i="15"/>
  <c r="E61" i="18"/>
  <c r="S96" i="4"/>
  <c r="H105" i="18"/>
  <c r="R62" i="4"/>
  <c r="R96" i="4" s="1"/>
  <c r="R104" i="4" s="1"/>
  <c r="B63" i="15"/>
  <c r="C63" i="15"/>
  <c r="B97" i="15"/>
  <c r="E97" i="15" s="1"/>
  <c r="B96" i="4"/>
  <c r="B61" i="18"/>
  <c r="D63" i="15"/>
  <c r="C104" i="4"/>
  <c r="AC448" i="3" s="1"/>
  <c r="B62" i="4"/>
  <c r="D97" i="15"/>
  <c r="B95" i="18"/>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104" i="4" l="1"/>
  <c r="E95" i="18"/>
  <c r="AD11" i="5"/>
  <c r="AI11" i="26"/>
  <c r="AI23" i="26" s="1"/>
  <c r="AI26" i="26" s="1"/>
  <c r="AI28" i="26" s="1"/>
  <c r="AD63" i="26" s="1"/>
  <c r="AD67" i="26" s="1"/>
  <c r="AI11" i="27"/>
  <c r="AI23" i="27" s="1"/>
  <c r="AI26" i="27" s="1"/>
  <c r="AI28" i="27" s="1"/>
  <c r="AD63" i="27" s="1"/>
  <c r="AD67" i="27" s="1"/>
  <c r="AD11" i="27"/>
  <c r="AD23" i="27" s="1"/>
  <c r="AD26" i="27" s="1"/>
  <c r="AD28" i="27" s="1"/>
  <c r="AD11" i="26"/>
  <c r="AD23" i="26" s="1"/>
  <c r="AD26" i="26" s="1"/>
  <c r="AD28" i="26" s="1"/>
  <c r="E63" i="15"/>
  <c r="B104" i="4"/>
  <c r="AC447" i="3" s="1"/>
  <c r="F450" i="3" s="1"/>
  <c r="B105" i="15"/>
  <c r="C105" i="15"/>
  <c r="D105" i="15"/>
  <c r="B103"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3" i="18" l="1"/>
  <c r="S106" i="4"/>
  <c r="AD23" i="5"/>
  <c r="AB46" i="5"/>
  <c r="AB48" i="5" s="1"/>
  <c r="AB53" i="5" s="1"/>
  <c r="AB54" i="5" s="1"/>
  <c r="J58" i="25"/>
  <c r="G71" i="25" s="1"/>
  <c r="G72" i="25" s="1"/>
  <c r="B75" i="25" s="1"/>
  <c r="AB46" i="26"/>
  <c r="AB48" i="26" s="1"/>
  <c r="AB53" i="26" s="1"/>
  <c r="AB54" i="26" s="1"/>
  <c r="AB46" i="27"/>
  <c r="AB48" i="27" s="1"/>
  <c r="AB53" i="27" s="1"/>
  <c r="AB54" i="27"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O76" i="25" s="1"/>
  <c r="E105" i="18"/>
  <c r="X1024" i="3"/>
  <c r="AC449" i="3"/>
  <c r="AD26" i="5"/>
  <c r="AD28" i="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Y11" i="26" l="1"/>
  <c r="Y23" i="26" s="1"/>
  <c r="Y26" i="26" s="1"/>
  <c r="Y28" i="26" s="1"/>
  <c r="Y63" i="26" s="1"/>
  <c r="Y67" i="26" s="1"/>
  <c r="Y11" i="27"/>
  <c r="Y23" i="27" s="1"/>
  <c r="Y26" i="27" s="1"/>
  <c r="Y28" i="27" s="1"/>
  <c r="Y63" i="27" s="1"/>
  <c r="Y67" i="27" s="1"/>
  <c r="T11" i="27"/>
  <c r="T23" i="27" s="1"/>
  <c r="T11" i="26"/>
  <c r="T23" i="26" s="1"/>
  <c r="T11" i="5"/>
  <c r="AD63" i="5"/>
  <c r="AD67" i="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3" i="5" l="1"/>
  <c r="BE16" i="28"/>
  <c r="T26" i="26"/>
  <c r="T28" i="26" s="1"/>
  <c r="T29" i="26" s="1"/>
  <c r="Y38" i="26"/>
  <c r="Y40" i="26" s="1"/>
  <c r="AD38" i="26"/>
  <c r="AD40" i="26" s="1"/>
  <c r="T26" i="27"/>
  <c r="T28" i="27" s="1"/>
  <c r="T29" i="27" s="1"/>
  <c r="AD38" i="27"/>
  <c r="AD40" i="27" s="1"/>
  <c r="Y38" i="27"/>
  <c r="Y40"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7" l="1"/>
  <c r="AB55" i="27" s="1"/>
  <c r="AB56" i="27" s="1"/>
  <c r="AB58" i="27" s="1"/>
  <c r="AB75" i="27" s="1"/>
  <c r="AB76" i="27" s="1"/>
  <c r="AB77" i="27" s="1"/>
  <c r="AB79" i="27" s="1"/>
  <c r="J80" i="27" s="1"/>
  <c r="Y41" i="26"/>
  <c r="AB55" i="26" s="1"/>
  <c r="AB56" i="26" s="1"/>
  <c r="AB58" i="26" s="1"/>
  <c r="AB75" i="26" s="1"/>
  <c r="AB76" i="26" s="1"/>
  <c r="AB77" i="26" s="1"/>
  <c r="AB79" i="26" s="1"/>
  <c r="J80" i="26" s="1"/>
  <c r="T26" i="5"/>
  <c r="T28" i="5" s="1"/>
  <c r="Y38" i="5" s="1"/>
  <c r="Y40" i="5" s="1"/>
  <c r="Q71" i="25"/>
  <c r="O75" i="25" s="1"/>
  <c r="R75" i="2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F59" i="27" l="1"/>
  <c r="F59" i="26"/>
  <c r="Y63" i="5"/>
  <c r="Y67" i="5" s="1"/>
  <c r="T29" i="5"/>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<sst xmlns="http://schemas.openxmlformats.org/spreadsheetml/2006/main" count="4771" uniqueCount="2505">
  <si>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</si>
  <si>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</si>
  <si>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</si>
  <si>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</si>
  <si>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</si>
  <si>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</si>
  <si>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</si>
  <si>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</si>
  <si>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</si>
  <si>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</si>
  <si>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</si>
  <si>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</si>
  <si>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</si>
  <si>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</si>
  <si>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</si>
  <si>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</si>
  <si>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</si>
  <si>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</si>
  <si>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</si>
  <si>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</si>
  <si>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</si>
  <si>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</si>
  <si>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</si>
  <si>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</si>
  <si>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</si>
  <si>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</si>
  <si>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</si>
  <si>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</si>
  <si>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</si>
  <si>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</si>
  <si>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</si>
  <si>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</si>
  <si>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</si>
  <si>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</si>
  <si>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</si>
  <si>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</si>
  <si>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</si>
  <si>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</si>
  <si>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</si>
  <si>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</si>
  <si>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</si>
  <si>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</si>
  <si>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</si>
  <si>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</si>
  <si>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</si>
  <si>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</si>
  <si>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</si>
  <si>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</si>
  <si>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</si>
  <si>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</si>
  <si>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</si>
  <si>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</si>
  <si>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</si>
  <si>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</si>
  <si>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</si>
  <si>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</si>
  <si>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</si>
  <si>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</si>
  <si>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</si>
  <si>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</si>
  <si>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</si>
  <si>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</si>
  <si>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</si>
  <si>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</si>
  <si>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</si>
  <si>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</si>
  <si>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</si>
  <si>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</si>
  <si>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</si>
  <si>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</si>
  <si>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</si>
  <si>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</si>
  <si>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</si>
  <si>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</si>
  <si>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</si>
  <si>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</si>
  <si>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</si>
  <si>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</si>
  <si>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</si>
  <si>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</si>
  <si>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</si>
  <si>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</si>
  <si>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</si>
  <si>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</si>
  <si>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</si>
  <si>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</si>
  <si>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</si>
  <si>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</si>
  <si>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</si>
  <si>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</si>
  <si>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</si>
  <si>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</si>
  <si>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</si>
  <si>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</si>
  <si>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</si>
  <si>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</si>
  <si>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</si>
  <si>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</si>
  <si>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</si>
  <si>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</si>
  <si>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</si>
  <si>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</si>
  <si>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</si>
  <si>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</si>
  <si>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</si>
  <si>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</si>
  <si>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</si>
  <si>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</si>
  <si>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</si>
  <si>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</si>
  <si>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</si>
  <si>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</si>
  <si>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</si>
  <si>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</si>
  <si>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</si>
  <si>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</si>
  <si>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</si>
  <si>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</si>
  <si>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</si>
  <si>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</si>
  <si>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</si>
  <si>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</si>
  <si>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</si>
  <si>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</si>
  <si>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</si>
  <si>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</si>
  <si>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</si>
  <si>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</si>
  <si>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</si>
  <si>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</si>
  <si>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</si>
  <si>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</si>
  <si>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</si>
  <si>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</si>
  <si>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</si>
  <si>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</si>
  <si>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</si>
  <si>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</si>
  <si>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</si>
  <si>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</si>
  <si>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</si>
  <si>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</si>
  <si>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</si>
  <si>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</si>
  <si>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</si>
  <si>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</si>
  <si>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</si>
  <si>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</si>
  <si>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</si>
  <si>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</si>
  <si>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</si>
  <si>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</si>
  <si>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</si>
  <si>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</si>
  <si>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</si>
  <si>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</si>
  <si>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</si>
  <si>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</si>
  <si>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</si>
  <si>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</si>
  <si>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</si>
  <si>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</si>
  <si>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</si>
  <si>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</si>
  <si>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</si>
  <si>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</si>
  <si>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</si>
  <si>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</si>
  <si>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</si>
  <si>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</si>
  <si>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</si>
  <si>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</si>
  <si>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</si>
  <si>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</si>
  <si>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</si>
  <si>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</si>
  <si>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</si>
  <si>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</si>
  <si>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</si>
  <si>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</si>
  <si>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</si>
  <si>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</si>
  <si>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</si>
  <si>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</si>
  <si>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</si>
  <si>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</si>
  <si>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</si>
  <si>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</si>
  <si>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</si>
  <si>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</si>
  <si>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</si>
  <si>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</si>
  <si>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</si>
  <si>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</si>
  <si>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</si>
  <si>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</si>
  <si>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</si>
  <si>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</si>
  <si>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</si>
  <si>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</si>
  <si>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</si>
  <si>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</si>
  <si>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</si>
  <si>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</si>
  <si>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</si>
  <si>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</si>
  <si>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</si>
  <si>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</si>
  <si>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</si>
  <si>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</si>
  <si>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</si>
  <si>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</si>
  <si>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</si>
  <si>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</si>
  <si>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</si>
  <si>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</si>
  <si>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</si>
  <si>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</si>
  <si>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</si>
  <si>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</si>
  <si>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</si>
  <si>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</si>
  <si>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</si>
  <si>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</si>
  <si>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</si>
  <si>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</si>
  <si>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</si>
  <si>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</si>
  <si>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</si>
  <si>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</si>
  <si>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</si>
  <si>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</si>
  <si>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</si>
  <si>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</si>
  <si>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</si>
  <si>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</si>
  <si>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</si>
  <si>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</si>
  <si>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</si>
  <si>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</si>
  <si>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</si>
  <si>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</si>
  <si>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</si>
  <si>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</si>
  <si>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</si>
  <si>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</si>
  <si>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</si>
  <si>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</si>
  <si>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</si>
  <si>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</si>
  <si>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</si>
  <si>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</si>
  <si>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</si>
  <si>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</si>
  <si>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</si>
  <si>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</si>
  <si>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</si>
  <si>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</si>
  <si>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</si>
  <si>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</si>
  <si>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</si>
  <si>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</si>
  <si>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</si>
  <si>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</si>
  <si>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</si>
  <si>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</si>
  <si>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</si>
  <si>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</si>
  <si>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</si>
  <si>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</si>
  <si>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</si>
  <si>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</si>
  <si>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</si>
  <si>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</si>
  <si>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</si>
  <si>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</si>
  <si>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</si>
  <si>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</si>
  <si>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</si>
  <si>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</si>
  <si>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</si>
  <si>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</si>
  <si>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</si>
  <si>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</si>
  <si>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</si>
  <si>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</si>
  <si>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</si>
  <si>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</si>
  <si>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</si>
  <si>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</si>
  <si>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</si>
  <si>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</si>
  <si>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</si>
  <si>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</si>
  <si>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</si>
  <si>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</si>
  <si>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</si>
  <si>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</si>
  <si>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</si>
  <si>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</si>
  <si>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</si>
  <si>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</si>
  <si>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</si>
  <si>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</si>
  <si>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</si>
  <si>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</si>
  <si>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</si>
  <si>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</si>
  <si>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</si>
  <si>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</si>
  <si>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</si>
  <si>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</si>
  <si>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</si>
  <si>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</si>
  <si>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</si>
  <si>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</si>
  <si>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</si>
  <si>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</si>
  <si>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</si>
  <si>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</si>
  <si>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</si>
  <si>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</si>
  <si>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</si>
  <si>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</si>
  <si>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</si>
  <si>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</si>
  <si>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</si>
  <si>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</si>
  <si>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</si>
  <si>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</si>
  <si>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</si>
  <si>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</si>
  <si>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</si>
  <si>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</si>
  <si>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</si>
  <si>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</si>
  <si>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</si>
  <si>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</si>
  <si>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</si>
  <si>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</si>
  <si>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</si>
  <si>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</si>
  <si>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</si>
  <si>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</si>
  <si>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</si>
  <si>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</si>
  <si>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</si>
  <si>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</si>
  <si>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</si>
  <si>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</si>
  <si>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</si>
  <si>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</si>
  <si>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</si>
  <si>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</si>
  <si>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</si>
  <si>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</si>
  <si>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</si>
  <si>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</si>
  <si>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</si>
  <si>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</si>
  <si>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</si>
  <si>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</si>
  <si>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</si>
  <si>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</si>
  <si>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</si>
  <si>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</si>
  <si>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</si>
  <si>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</si>
  <si>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</si>
  <si>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</si>
  <si>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</si>
  <si>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</si>
  <si>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</si>
  <si>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</si>
  <si>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</si>
  <si>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</si>
  <si>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</si>
  <si>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</si>
  <si>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</si>
  <si>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</si>
  <si>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</si>
  <si>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</si>
  <si>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</si>
  <si>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</si>
  <si>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</si>
  <si>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</si>
  <si>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</si>
  <si>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</si>
  <si>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</si>
  <si>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</si>
  <si>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</si>
  <si>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</si>
  <si>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</si>
  <si>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</si>
  <si>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</si>
  <si>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</si>
  <si>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</si>
  <si>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</si>
  <si>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</si>
  <si>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</si>
  <si>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</si>
  <si>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</si>
  <si>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</si>
  <si>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</si>
  <si>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</si>
  <si>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</si>
  <si>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</si>
  <si>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</si>
  <si>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</si>
  <si>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</si>
  <si>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</si>
  <si>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</si>
  <si>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</si>
  <si>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</si>
  <si>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</si>
  <si>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</si>
  <si>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</si>
  <si>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</si>
  <si>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</si>
  <si>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</si>
  <si>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</si>
  <si>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</si>
  <si>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</si>
  <si>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</si>
  <si>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</si>
  <si>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</si>
  <si>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</si>
  <si>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</si>
  <si>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</si>
  <si>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</si>
  <si>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</si>
  <si>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</si>
  <si>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</si>
  <si>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</si>
  <si>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</si>
  <si>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</si>
  <si>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</si>
  <si>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</si>
  <si>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</si>
  <si>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</si>
  <si>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</si>
  <si>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</si>
  <si>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</si>
  <si>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</si>
  <si>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</si>
  <si>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</si>
  <si>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</si>
  <si>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</si>
  <si>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</si>
  <si>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</si>
  <si>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</si>
  <si>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</si>
  <si>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</si>
  <si>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</si>
  <si>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</si>
  <si>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</si>
  <si>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</si>
  <si>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</si>
  <si>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</si>
  <si>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</si>
  <si>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</si>
  <si>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</si>
  <si>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</si>
  <si>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</si>
  <si>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</si>
  <si>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</si>
  <si>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</si>
  <si>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</si>
  <si>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</si>
  <si>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</si>
  <si>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</si>
  <si>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</si>
  <si>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</si>
  <si>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</si>
  <si>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</si>
  <si>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</si>
  <si>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</si>
  <si>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</si>
  <si>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</si>
  <si>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</si>
  <si>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</si>
  <si>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</si>
  <si>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</si>
  <si>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</si>
  <si>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</si>
  <si>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</si>
  <si>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</si>
  <si>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</si>
  <si>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</si>
  <si>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</si>
  <si>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</si>
  <si>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</si>
  <si>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</si>
  <si>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</si>
  <si>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</si>
  <si>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</si>
  <si>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</si>
  <si>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</si>
  <si>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</si>
  <si>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</si>
  <si>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</si>
  <si>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</si>
  <si>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</si>
  <si>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</si>
  <si>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</si>
  <si>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</si>
  <si>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</si>
  <si>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</si>
  <si>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</si>
  <si>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</si>
  <si>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</si>
  <si>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</si>
  <si>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</si>
  <si>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</si>
  <si>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</si>
  <si>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</si>
  <si>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</si>
  <si>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</si>
  <si>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</si>
  <si>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</si>
  <si>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</si>
  <si>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</si>
  <si>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</si>
  <si>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</si>
  <si>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</si>
  <si>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</si>
  <si>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</si>
  <si>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</si>
  <si>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</si>
  <si>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</si>
  <si>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</si>
  <si>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</si>
  <si>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</si>
  <si>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</si>
  <si>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</si>
  <si>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</si>
  <si>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</si>
  <si>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</si>
  <si>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</si>
  <si>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</si>
  <si>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</si>
  <si>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</si>
  <si>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</si>
  <si>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</si>
  <si>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</si>
  <si>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</si>
  <si>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</si>
  <si>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</si>
  <si>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</si>
  <si>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</si>
  <si>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</si>
  <si>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</si>
  <si>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</si>
  <si>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</si>
  <si>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</si>
  <si>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</si>
  <si>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</si>
  <si>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</si>
  <si>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</si>
  <si>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</si>
  <si>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</si>
  <si>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</si>
  <si>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</si>
  <si>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</si>
  <si>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</si>
  <si>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</si>
  <si>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</si>
  <si>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</si>
  <si>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</si>
  <si>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</si>
  <si>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</si>
  <si>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</si>
  <si>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</si>
  <si>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</si>
  <si>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</si>
  <si>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</si>
  <si>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</si>
  <si>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</si>
  <si>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</si>
  <si>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</si>
  <si>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</si>
  <si>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</si>
  <si>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</si>
  <si>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</si>
  <si>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</si>
  <si>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</si>
  <si>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</si>
  <si>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</si>
  <si>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</si>
  <si>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</si>
  <si>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</si>
  <si>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</si>
  <si>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</si>
  <si>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</si>
  <si>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</si>
  <si>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</si>
  <si>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</si>
  <si>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</si>
  <si>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</si>
  <si>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</si>
  <si>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</si>
  <si>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</si>
  <si>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</si>
  <si>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</si>
  <si>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</si>
  <si>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</si>
  <si>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</si>
  <si>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</si>
  <si>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</si>
  <si>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</si>
  <si>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</si>
  <si>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</si>
  <si>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</si>
  <si>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</si>
  <si>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</si>
  <si>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</si>
  <si>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</si>
  <si>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</si>
  <si>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</si>
  <si>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</si>
  <si>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</si>
  <si>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</si>
  <si>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</si>
  <si>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</si>
  <si>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</si>
  <si>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</si>
  <si>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</si>
  <si>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</si>
  <si>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</si>
  <si>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</si>
  <si>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</si>
  <si>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</si>
  <si>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</si>
  <si>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</si>
  <si>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</si>
  <si>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</si>
  <si>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</si>
  <si>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</si>
  <si>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</si>
  <si>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</si>
  <si>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</si>
  <si>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</si>
  <si>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</si>
  <si>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</si>
  <si>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</si>
  <si>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</si>
  <si>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</si>
  <si>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</si>
  <si>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</si>
  <si>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</si>
  <si>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</si>
  <si>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</si>
  <si>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</si>
  <si>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</si>
  <si>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</si>
  <si>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</si>
  <si>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</si>
  <si>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</si>
  <si>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</si>
  <si>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</si>
  <si>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</si>
  <si>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</si>
  <si>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</si>
  <si>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</si>
  <si>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</si>
  <si>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</si>
  <si>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</si>
  <si>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</si>
  <si>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</si>
  <si>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</si>
  <si>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</si>
  <si>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</si>
  <si>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</si>
  <si>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</si>
  <si>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</si>
  <si>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</si>
  <si>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</si>
  <si>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</si>
  <si>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</si>
  <si>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</si>
  <si>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</si>
  <si>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</si>
  <si>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</si>
  <si>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</si>
  <si>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</si>
  <si>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</si>
  <si>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</si>
  <si>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</si>
  <si>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</si>
  <si>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</si>
  <si>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</si>
  <si>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</si>
  <si>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</si>
  <si>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</si>
  <si>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</si>
  <si>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</si>
  <si>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</si>
  <si>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</si>
  <si>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</si>
  <si>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</si>
  <si>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</si>
  <si>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</si>
  <si>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</si>
  <si>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</si>
  <si>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</si>
  <si>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</si>
  <si>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</si>
  <si>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</si>
  <si>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</si>
  <si>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</si>
  <si>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</si>
  <si>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</si>
  <si>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</si>
  <si>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</si>
  <si>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</si>
  <si>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</si>
  <si>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</si>
  <si>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</si>
  <si>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</si>
  <si>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</si>
  <si>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</si>
  <si>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</si>
  <si>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</si>
  <si>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</si>
  <si>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</si>
  <si>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</si>
  <si>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</si>
  <si>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</si>
  <si>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</si>
  <si>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</si>
  <si>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</si>
  <si>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</si>
  <si>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</si>
  <si>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</si>
  <si>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</si>
  <si>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</si>
  <si>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</si>
  <si>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</si>
  <si>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</si>
  <si>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</si>
  <si>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</si>
  <si>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</si>
  <si>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</si>
  <si>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</si>
  <si>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</si>
  <si>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</si>
  <si>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</si>
  <si>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</si>
  <si>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</si>
  <si>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</si>
  <si>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</si>
  <si>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</si>
  <si>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</si>
  <si>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</si>
  <si>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</si>
  <si>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</si>
  <si>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</si>
  <si>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</si>
  <si>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</si>
  <si>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</si>
  <si>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</si>
  <si>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</si>
  <si>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</si>
  <si>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</si>
  <si>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</si>
  <si>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</si>
  <si>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</si>
  <si>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</si>
  <si>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</si>
  <si>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</si>
  <si>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</si>
  <si>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</si>
  <si>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</si>
  <si>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</si>
  <si>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</si>
  <si>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</si>
  <si>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</si>
  <si>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</si>
  <si>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</si>
  <si>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</si>
  <si>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</si>
  <si>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</si>
  <si>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</si>
  <si>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</si>
  <si>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</si>
  <si>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</si>
  <si>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</si>
  <si>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</si>
  <si>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</si>
  <si>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</si>
  <si>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</si>
  <si>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</si>
  <si>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</si>
  <si>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</si>
  <si>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</si>
  <si>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</si>
  <si>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</si>
  <si>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</si>
  <si>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</si>
  <si>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</si>
  <si>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</si>
  <si>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</si>
  <si>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</si>
  <si>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</si>
  <si>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</si>
  <si>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</si>
  <si>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</si>
  <si>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</si>
  <si>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</si>
  <si>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</si>
  <si>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</si>
  <si>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</si>
  <si>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</si>
  <si>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</si>
  <si>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</si>
  <si>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</si>
  <si>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</si>
  <si>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</si>
  <si>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</si>
  <si>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</si>
  <si>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</si>
  <si>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</si>
  <si>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</si>
  <si>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</si>
  <si>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</si>
  <si>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</si>
  <si>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</si>
  <si>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</si>
  <si>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</si>
  <si>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</si>
  <si>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</si>
  <si>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</si>
  <si>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</si>
  <si>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</si>
  <si>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</si>
  <si>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</si>
  <si>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</si>
  <si>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</si>
  <si>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</si>
  <si>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</si>
  <si>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</si>
  <si>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</si>
  <si>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</si>
  <si>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</si>
  <si>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</si>
  <si>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</si>
  <si>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</si>
  <si>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</si>
  <si>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</si>
  <si>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</si>
  <si>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</si>
  <si>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</si>
  <si>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</si>
  <si>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</si>
  <si>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</si>
  <si>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</si>
  <si>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</si>
  <si>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</si>
  <si>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</si>
  <si>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</si>
  <si>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</si>
  <si>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</si>
  <si>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</si>
  <si>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</si>
  <si>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</si>
  <si>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</si>
  <si>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</si>
  <si>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</si>
  <si>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</si>
  <si>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</si>
  <si>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</si>
  <si>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</si>
  <si>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</si>
  <si>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</si>
  <si>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</si>
  <si>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</si>
  <si>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</si>
  <si>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</si>
  <si>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</si>
  <si>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</si>
  <si>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</si>
  <si>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</si>
  <si>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</si>
  <si>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</si>
  <si>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</si>
  <si>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</si>
  <si>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</si>
  <si>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</si>
  <si>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</si>
  <si>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</si>
  <si>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</si>
  <si>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</si>
  <si>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</si>
  <si>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</si>
  <si>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</si>
  <si>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</si>
  <si>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</si>
  <si>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</si>
  <si>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</si>
  <si>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</si>
  <si>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</si>
  <si>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</si>
  <si>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</si>
  <si>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</si>
  <si>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</si>
  <si>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</si>
  <si>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</si>
  <si>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</si>
  <si>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</si>
  <si>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</si>
  <si>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</si>
  <si>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</si>
  <si>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</si>
  <si>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</si>
  <si>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</si>
  <si>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</si>
  <si>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</si>
  <si>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</si>
  <si>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</si>
  <si>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</si>
  <si>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</si>
  <si>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</si>
  <si>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</si>
  <si>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</si>
  <si>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</si>
  <si>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</si>
  <si>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</si>
  <si>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</si>
  <si>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</si>
  <si>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</si>
  <si>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</si>
  <si>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</si>
  <si>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</si>
  <si>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</si>
  <si>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</si>
  <si>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</si>
  <si>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</si>
  <si>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</si>
  <si>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</si>
  <si>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</si>
  <si>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</si>
  <si>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</si>
  <si>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</si>
  <si>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</si>
  <si>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</si>
  <si>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</si>
  <si>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</si>
  <si>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</si>
  <si>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</si>
  <si>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</si>
  <si>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</si>
  <si>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</si>
  <si>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</si>
  <si>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</si>
  <si>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</si>
  <si>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</si>
  <si>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</si>
  <si>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</si>
  <si>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</si>
  <si>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</si>
  <si>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</si>
  <si>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</si>
  <si>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</si>
  <si>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</si>
  <si>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</si>
  <si>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</si>
  <si>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</si>
  <si>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</si>
  <si>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</si>
  <si>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</si>
  <si>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</si>
  <si>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</si>
  <si>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</si>
  <si>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</si>
  <si>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</si>
  <si>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</si>
  <si>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</si>
  <si>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</si>
  <si>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</si>
  <si>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</si>
  <si>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</si>
  <si>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</si>
  <si>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</si>
  <si>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</si>
  <si>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</si>
  <si>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</si>
  <si>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</si>
  <si>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</si>
  <si>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</si>
  <si>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</si>
  <si>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</si>
  <si>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</si>
  <si>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</si>
  <si>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</si>
  <si>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</si>
  <si>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</si>
  <si>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</si>
  <si>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</si>
  <si>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</si>
  <si>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</si>
  <si>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</si>
  <si>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</si>
  <si>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</si>
  <si>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</si>
  <si>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</si>
  <si>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</si>
  <si>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</si>
  <si>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</si>
  <si>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</si>
  <si>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</si>
  <si>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</si>
  <si>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</si>
  <si>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</si>
  <si>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</si>
  <si>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</si>
  <si>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</si>
  <si>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</si>
  <si>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</si>
  <si>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</si>
  <si>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</si>
  <si>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</si>
  <si>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</si>
  <si>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</si>
  <si>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</si>
  <si>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</si>
  <si>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</si>
  <si>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</si>
  <si>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</si>
  <si>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</si>
  <si>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</si>
  <si>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</si>
  <si>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</si>
  <si>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</si>
  <si>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</si>
  <si>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</si>
  <si>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</si>
  <si>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</si>
  <si>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</si>
  <si>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</si>
  <si>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</si>
  <si>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</si>
  <si>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</si>
  <si>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</si>
  <si>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</si>
  <si>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</si>
  <si>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</si>
  <si>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</si>
  <si>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</si>
  <si>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</si>
  <si>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</si>
  <si>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</si>
  <si>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</si>
  <si>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</si>
  <si>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</si>
  <si>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</si>
  <si>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</si>
  <si>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</si>
  <si>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</si>
  <si>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</si>
  <si>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</si>
  <si>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</si>
  <si>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</si>
  <si>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</si>
  <si>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</si>
  <si>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</si>
  <si>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</si>
  <si>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</si>
  <si>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</si>
  <si>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</si>
  <si>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</si>
  <si>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</si>
  <si>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</si>
  <si>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</si>
  <si>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</si>
  <si>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</si>
  <si>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</si>
  <si>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</si>
  <si>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</si>
  <si>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</si>
  <si>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</si>
  <si>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</si>
  <si>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</si>
  <si>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</si>
  <si>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</si>
  <si>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</si>
  <si>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</si>
  <si>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</si>
  <si>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</si>
  <si>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</si>
  <si>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</si>
  <si>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</si>
  <si>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</si>
  <si>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</si>
  <si>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</si>
  <si>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</si>
  <si>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</si>
  <si>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</si>
  <si>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</si>
  <si>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</si>
  <si>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</si>
  <si>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</si>
  <si>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</si>
  <si>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</si>
  <si>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</si>
  <si>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</si>
  <si>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</si>
  <si>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</si>
  <si>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</si>
  <si>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</si>
  <si>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</si>
  <si>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</si>
  <si>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</si>
  <si>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</si>
  <si>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</si>
  <si>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</si>
  <si>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</si>
  <si>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</si>
  <si>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</si>
  <si>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</si>
  <si>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</si>
  <si>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</si>
  <si>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</si>
  <si>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</si>
  <si>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</si>
  <si>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</si>
  <si>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</si>
  <si>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</si>
  <si>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</si>
  <si>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</si>
  <si>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</si>
  <si>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</si>
  <si>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</si>
  <si>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</si>
  <si>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</si>
  <si>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</si>
  <si>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</si>
  <si>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</si>
  <si>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</si>
  <si>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</si>
  <si>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</si>
  <si>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</si>
  <si>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</si>
  <si>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</si>
  <si>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</si>
  <si>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</si>
  <si>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</si>
  <si>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</si>
  <si>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</si>
  <si>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</si>
  <si>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</si>
  <si>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</si>
  <si>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</si>
  <si>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</si>
  <si>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</si>
  <si>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</si>
  <si>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</si>
  <si>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</si>
  <si>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</si>
  <si>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</si>
  <si>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</si>
  <si>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</si>
  <si>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</si>
  <si>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</si>
  <si>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</si>
  <si>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</si>
  <si>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</si>
  <si>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</si>
  <si>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</si>
  <si>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</si>
  <si>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</si>
  <si>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</si>
  <si>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</si>
  <si>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</si>
  <si>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</si>
  <si>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</si>
  <si>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</si>
  <si>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</si>
  <si>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</si>
  <si>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</si>
  <si>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</si>
  <si>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</si>
  <si>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</si>
  <si>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</si>
  <si>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</si>
  <si>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</si>
  <si>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</si>
  <si>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</si>
  <si>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</si>
  <si>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</si>
  <si>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</si>
  <si>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</si>
  <si>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</si>
  <si>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</si>
  <si>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</si>
  <si>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</si>
  <si>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</si>
  <si>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</si>
  <si>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</si>
  <si>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</si>
  <si>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</si>
  <si>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</si>
  <si>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</si>
  <si>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</si>
  <si>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</si>
  <si>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</si>
  <si>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</si>
  <si>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</si>
  <si>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</si>
  <si>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</si>
  <si>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</si>
  <si>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</si>
  <si>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</si>
  <si>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</si>
  <si>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</si>
  <si>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</si>
  <si>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</si>
  <si>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</si>
  <si>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</si>
  <si>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</si>
  <si>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</si>
  <si>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</si>
  <si>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</si>
  <si>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</si>
  <si>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</si>
  <si>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</si>
  <si>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</si>
  <si>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</si>
  <si>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</si>
  <si>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</si>
  <si>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</si>
  <si>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</si>
  <si>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</si>
  <si>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</si>
  <si>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</si>
  <si>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</si>
  <si>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</si>
  <si>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</si>
  <si>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</si>
  <si>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</si>
  <si>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</si>
  <si>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</si>
  <si>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</si>
  <si>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</si>
  <si>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</si>
  <si>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</si>
  <si>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</si>
  <si>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</si>
  <si>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</si>
  <si>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</si>
  <si>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</si>
  <si>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</si>
  <si>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</si>
  <si>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</si>
  <si>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</si>
  <si>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</si>
  <si>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</si>
  <si>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</si>
  <si>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</si>
  <si>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</si>
  <si>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</si>
  <si>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</si>
  <si>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</si>
  <si>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</si>
  <si>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</si>
  <si>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</si>
  <si>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</si>
  <si>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</si>
  <si>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</si>
  <si>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</si>
  <si>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</si>
  <si>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</si>
  <si>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</si>
  <si>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</si>
  <si>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</si>
  <si>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</si>
  <si>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</si>
  <si>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</si>
  <si>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</si>
  <si>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</si>
  <si>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</si>
  <si>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</si>
  <si>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</si>
  <si>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</si>
  <si>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</si>
  <si>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</si>
  <si>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</si>
  <si>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</si>
  <si>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</si>
  <si>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</si>
  <si>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</si>
  <si>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</si>
  <si>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</si>
  <si>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</si>
  <si>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</si>
  <si>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</si>
  <si>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</si>
  <si>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</si>
  <si>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</si>
  <si>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</si>
  <si>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</si>
  <si>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</si>
  <si>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</si>
  <si>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</si>
  <si>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</si>
  <si>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</si>
  <si>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</si>
  <si>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</si>
  <si>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</si>
  <si>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</si>
  <si>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</si>
  <si>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</si>
  <si>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</si>
  <si>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</si>
  <si>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</si>
  <si>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</si>
  <si>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</si>
  <si>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</si>
  <si>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</si>
  <si>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</si>
  <si>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</si>
  <si>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</si>
  <si>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</si>
  <si>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</si>
  <si>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</si>
  <si>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</si>
  <si>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</si>
  <si>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</si>
  <si>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</si>
  <si>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</si>
  <si>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</si>
  <si>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</si>
  <si>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</si>
  <si>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</si>
  <si>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</si>
  <si>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</si>
  <si>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</si>
  <si>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</si>
  <si>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</si>
  <si>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</si>
  <si>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</si>
  <si>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</si>
  <si>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</si>
  <si>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</si>
  <si>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</si>
  <si>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</si>
  <si>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</si>
  <si>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</si>
  <si>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</si>
  <si>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</si>
  <si>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</si>
  <si>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</si>
  <si>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</si>
  <si>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</si>
  <si>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</si>
  <si>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</si>
  <si>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</si>
  <si>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</si>
  <si>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</si>
  <si>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</si>
  <si>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</si>
  <si>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</si>
  <si>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</si>
  <si>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</si>
  <si>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</si>
  <si>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</si>
  <si>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</si>
  <si>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</si>
  <si>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</si>
  <si>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</si>
  <si>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</si>
  <si>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</si>
  <si>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</si>
  <si>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</si>
  <si>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</si>
  <si>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</si>
  <si>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</si>
  <si>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</si>
  <si>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</si>
  <si>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</si>
  <si>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</si>
  <si>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</si>
  <si>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</si>
  <si>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</si>
  <si>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</si>
  <si>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</si>
  <si>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</si>
  <si>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</si>
  <si>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</si>
  <si>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</si>
  <si>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</si>
  <si>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</si>
  <si>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</si>
  <si>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</si>
  <si>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</si>
  <si>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</si>
  <si>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</si>
  <si>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</si>
  <si>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</si>
  <si>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</si>
  <si>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</si>
  <si>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</si>
  <si>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</si>
  <si>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</si>
  <si>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</si>
  <si>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</si>
  <si>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</si>
  <si>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</si>
  <si>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</si>
  <si>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</si>
  <si>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</si>
  <si>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</si>
  <si>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</si>
  <si>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</si>
  <si>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</si>
  <si>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</si>
  <si>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</si>
  <si>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</si>
  <si>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</si>
  <si>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</si>
  <si>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</si>
  <si>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</si>
  <si>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</si>
  <si>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</si>
  <si>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</si>
  <si>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</si>
  <si>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</si>
  <si>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</si>
  <si>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</si>
  <si>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</si>
  <si>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</si>
  <si>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</si>
  <si>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</si>
  <si>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</si>
  <si>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</si>
  <si>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</si>
  <si>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</si>
  <si>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</si>
  <si>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</si>
  <si>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</si>
  <si>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</si>
  <si>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</si>
  <si>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</si>
  <si>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</si>
  <si>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</si>
  <si>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</si>
  <si>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</si>
  <si>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</si>
  <si>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</si>
  <si>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</si>
  <si>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</si>
  <si>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</si>
  <si>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</si>
  <si>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</si>
  <si>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</si>
  <si>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</si>
  <si>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</si>
  <si>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</si>
  <si>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</si>
  <si>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</si>
  <si>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</si>
  <si>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</si>
  <si>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</si>
  <si>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</si>
  <si>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</si>
  <si>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</si>
  <si>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</si>
  <si>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</si>
  <si>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</si>
  <si>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</si>
  <si>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</si>
  <si>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</si>
  <si>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</si>
  <si>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</si>
  <si>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</si>
  <si>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</si>
  <si>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</si>
  <si>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</si>
  <si>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</si>
  <si>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</si>
  <si>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</si>
  <si>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</si>
  <si>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</si>
  <si>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</si>
  <si>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</si>
  <si>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</si>
  <si>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</si>
  <si>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</si>
  <si>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</si>
  <si>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</si>
  <si>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</si>
  <si>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</si>
  <si>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</si>
  <si>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</si>
  <si>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</si>
  <si>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</si>
  <si>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</si>
  <si>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</si>
  <si>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</si>
  <si>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</si>
  <si>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</si>
  <si>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</si>
  <si>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</si>
  <si>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</si>
  <si>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</si>
  <si>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</si>
  <si>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</si>
  <si>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</si>
  <si>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</si>
  <si>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</si>
  <si>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</si>
  <si>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</si>
  <si>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</si>
  <si>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</si>
  <si>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</si>
  <si>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</si>
  <si>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</si>
  <si>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</si>
  <si>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</si>
  <si>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</si>
  <si>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</si>
  <si>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</si>
  <si>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</si>
  <si>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</si>
  <si>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</si>
  <si>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</si>
  <si>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</si>
  <si>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</si>
  <si>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</si>
  <si>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</si>
  <si>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</si>
  <si>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</si>
  <si>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</si>
  <si>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</si>
  <si>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</si>
  <si>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</si>
  <si>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</si>
  <si>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</si>
  <si>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</si>
  <si>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</si>
  <si>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</si>
  <si>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</si>
  <si>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</si>
  <si>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</si>
  <si>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</si>
  <si>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</si>
  <si>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</si>
  <si>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</si>
  <si>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</si>
  <si>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</si>
  <si>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</si>
  <si>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</si>
  <si>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</si>
  <si>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</si>
  <si>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</si>
  <si>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</si>
  <si>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</si>
  <si>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</si>
  <si>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</si>
  <si>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</si>
  <si>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</si>
  <si>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</si>
  <si>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</si>
  <si>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</si>
  <si>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</si>
  <si>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</si>
  <si>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</si>
  <si>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</si>
  <si>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</si>
  <si>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</si>
  <si>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</si>
  <si>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</si>
  <si>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</si>
  <si>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</si>
  <si>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</si>
  <si>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</si>
  <si>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</si>
  <si>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</si>
  <si>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</si>
  <si>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</si>
  <si>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</si>
  <si>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</si>
  <si>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</si>
  <si>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</si>
  <si>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</si>
  <si>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</si>
  <si>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</si>
  <si>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</si>
  <si>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</si>
  <si>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</si>
  <si>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</si>
  <si>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</si>
  <si>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</si>
  <si>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</si>
  <si>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</si>
  <si>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</si>
  <si>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</si>
  <si>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</si>
  <si>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</si>
  <si>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</si>
  <si>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</si>
  <si>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</si>
  <si>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</si>
  <si>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</si>
  <si>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</si>
  <si>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</si>
  <si>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</si>
  <si>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</si>
  <si>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</si>
  <si>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</si>
  <si>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</si>
  <si>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</si>
  <si>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</si>
  <si>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</si>
  <si>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</si>
  <si>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</si>
  <si>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</si>
  <si>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</si>
  <si>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</si>
  <si>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</si>
  <si>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</si>
  <si>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</si>
  <si>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</si>
  <si>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</si>
  <si>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</si>
  <si>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</si>
  <si>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</si>
  <si>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</si>
  <si>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</si>
  <si>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</si>
  <si>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</si>
  <si>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</si>
  <si>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</si>
  <si>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</si>
  <si>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</si>
  <si>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</si>
  <si>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</si>
  <si>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</si>
  <si>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</si>
  <si>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</si>
  <si>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</si>
  <si>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</si>
  <si>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</si>
  <si>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</si>
  <si>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</si>
  <si>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</si>
  <si>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</si>
  <si>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</si>
  <si>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</si>
  <si>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</si>
  <si>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</si>
  <si>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</si>
  <si>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</si>
  <si>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</si>
  <si>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</si>
  <si>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</si>
  <si>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</si>
  <si>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</si>
  <si>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</si>
  <si>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</si>
  <si>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</si>
  <si>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</si>
  <si>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</si>
  <si>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</si>
  <si>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</si>
  <si>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</si>
  <si>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</si>
  <si>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</si>
  <si>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</si>
  <si>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</si>
  <si>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</si>
  <si>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</si>
  <si>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</si>
  <si>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</si>
  <si>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</si>
  <si>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</si>
  <si>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</si>
  <si>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</si>
  <si>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</si>
  <si>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</si>
  <si>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</si>
  <si>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</si>
  <si>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</si>
  <si>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</si>
  <si>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</si>
  <si>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</si>
  <si>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</si>
  <si>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</si>
  <si>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</si>
  <si>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</si>
  <si>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</si>
  <si>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</si>
  <si>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</si>
  <si>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</si>
  <si>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</si>
  <si>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</si>
  <si>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</si>
  <si>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</si>
  <si>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</si>
  <si>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</si>
  <si>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</si>
  <si>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</si>
  <si>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</si>
  <si>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</si>
  <si>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</si>
  <si>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</si>
  <si>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</si>
  <si>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</si>
  <si>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</si>
  <si>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</si>
  <si>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</si>
  <si>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</si>
  <si>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</si>
  <si>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</si>
  <si>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</si>
  <si>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</si>
  <si>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</si>
  <si>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</si>
  <si>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</si>
  <si>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</si>
  <si>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</si>
  <si>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</si>
  <si>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</si>
  <si>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</si>
  <si>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</si>
  <si>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</si>
  <si>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</si>
  <si>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</si>
  <si>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</si>
  <si>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</si>
  <si>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</si>
  <si>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</si>
  <si>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</si>
  <si>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</si>
  <si>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</si>
  <si>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</si>
  <si>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</si>
  <si>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</si>
  <si>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</si>
  <si>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</si>
  <si>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</si>
  <si>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</si>
  <si>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</si>
  <si>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</si>
  <si>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</si>
  <si>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</si>
  <si>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</si>
  <si>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</si>
  <si>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</si>
  <si>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</si>
  <si>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</si>
  <si>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</si>
  <si>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</si>
  <si>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</si>
  <si>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</si>
  <si>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</si>
  <si>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</si>
  <si>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</si>
  <si>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</si>
  <si>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</si>
  <si>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</si>
  <si>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</si>
  <si>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</si>
  <si>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</si>
  <si>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</si>
  <si>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</si>
  <si>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</si>
  <si>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</si>
  <si>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</si>
  <si>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</si>
  <si>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</si>
  <si>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</si>
  <si>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</si>
  <si>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</si>
  <si>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</si>
  <si>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</si>
  <si>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</si>
  <si>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</si>
  <si>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</si>
  <si>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</si>
  <si>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</si>
  <si>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</si>
  <si>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</si>
  <si>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</si>
  <si>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</si>
  <si>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</si>
  <si>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</si>
  <si>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</si>
  <si>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</si>
  <si>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</si>
  <si>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</si>
  <si>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</si>
  <si>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</si>
  <si>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</si>
  <si>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</si>
  <si>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</si>
  <si>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</si>
  <si>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</si>
  <si>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</si>
  <si>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</si>
  <si>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</si>
  <si>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</si>
  <si>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</si>
  <si>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</si>
  <si>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</si>
  <si>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</si>
  <si>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</si>
  <si>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</si>
  <si>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</si>
  <si>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</si>
  <si>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</si>
  <si>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</si>
  <si>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</si>
  <si>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</si>
  <si>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</si>
  <si>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</si>
  <si>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</si>
  <si>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</si>
  <si>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</si>
  <si>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</si>
  <si>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</si>
  <si>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</si>
  <si>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</si>
  <si>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</si>
  <si>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</si>
  <si>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</si>
  <si>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</si>
  <si>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</si>
  <si>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</si>
  <si>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</si>
  <si>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</si>
  <si>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</si>
  <si>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</si>
  <si>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</si>
  <si>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</si>
  <si>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</si>
  <si>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</si>
  <si>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</si>
  <si>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</si>
  <si>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</si>
  <si>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</si>
  <si>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</si>
  <si>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</si>
  <si>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</si>
  <si>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</si>
  <si>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</si>
  <si>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</si>
  <si>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</si>
  <si>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</si>
  <si>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</si>
  <si>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</si>
  <si>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</si>
  <si>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</si>
  <si>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</si>
  <si>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</si>
  <si>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</si>
  <si>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</si>
  <si>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</si>
  <si>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</si>
  <si>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</si>
  <si>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</si>
  <si>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</si>
  <si>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</si>
  <si>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</si>
  <si>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</si>
  <si>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</si>
  <si>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</si>
  <si>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</si>
  <si>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</si>
  <si>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</si>
  <si>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</si>
  <si>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</si>
  <si>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</si>
  <si>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</si>
  <si>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</si>
  <si>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</si>
  <si>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</si>
  <si>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</si>
  <si>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</si>
  <si>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</si>
  <si>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</si>
  <si>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</si>
  <si>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</si>
  <si>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</si>
  <si>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</si>
  <si>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</si>
  <si>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</si>
  <si>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</si>
  <si>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</si>
  <si>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</si>
  <si>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</si>
  <si>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</si>
  <si>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</si>
  <si>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</si>
  <si>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</si>
  <si>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</si>
  <si>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</si>
  <si>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</si>
  <si>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</si>
  <si>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</si>
  <si>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</si>
  <si>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</si>
  <si>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</si>
  <si>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</si>
  <si>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</si>
  <si>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</si>
  <si>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</si>
  <si>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</si>
  <si>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</si>
  <si>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</si>
  <si>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</si>
  <si>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</si>
  <si>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</si>
  <si>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</si>
  <si>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</si>
  <si>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</si>
  <si>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</si>
  <si>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</si>
  <si>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</si>
  <si>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</si>
  <si>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</si>
  <si>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</si>
  <si>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</si>
  <si>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</si>
  <si>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</si>
  <si>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</si>
  <si>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</si>
  <si>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</si>
  <si>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</si>
  <si>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</si>
  <si>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</si>
  <si>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</si>
  <si>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</si>
  <si>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</si>
  <si>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</si>
  <si>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</si>
  <si>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</si>
  <si>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</si>
  <si>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</si>
  <si>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</si>
  <si>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</si>
  <si>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</si>
  <si>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</si>
  <si>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</si>
  <si>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</si>
  <si>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</si>
  <si>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</si>
  <si>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</si>
  <si>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</si>
  <si>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</si>
  <si>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</si>
  <si>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</si>
  <si>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</si>
  <si>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</si>
  <si>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</si>
  <si>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</si>
  <si>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</si>
  <si>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</si>
  <si>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</si>
  <si>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</si>
  <si>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</si>
  <si>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</si>
  <si>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</si>
  <si>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</si>
  <si>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</si>
  <si>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</si>
  <si>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</si>
  <si>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</si>
  <si>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</si>
  <si>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</si>
  <si>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</si>
  <si>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</si>
  <si>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</si>
  <si>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</si>
  <si>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</si>
  <si>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</si>
  <si>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</si>
  <si>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</si>
  <si>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</si>
  <si>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</si>
  <si>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</si>
  <si>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</si>
  <si>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</si>
  <si>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</si>
  <si>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</si>
  <si>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</si>
  <si>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</si>
  <si>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</si>
  <si>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</si>
  <si>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</si>
  <si>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</si>
  <si>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</si>
  <si>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</si>
  <si>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</si>
  <si>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</si>
  <si>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</si>
  <si>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</si>
  <si>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</si>
  <si>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</si>
  <si>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</si>
  <si>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</si>
  <si>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</si>
  <si>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</si>
  <si>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</si>
  <si>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</si>
  <si>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</si>
  <si>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</si>
  <si>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</si>
  <si>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</si>
  <si>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</si>
  <si>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</si>
  <si>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</si>
  <si>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</si>
  <si>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</si>
  <si>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</si>
  <si>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</si>
  <si>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</si>
  <si>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</si>
  <si>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</si>
  <si>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</si>
  <si>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</si>
  <si>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</si>
  <si>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</si>
  <si>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</si>
  <si>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</si>
  <si>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</si>
  <si>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</si>
  <si>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</si>
  <si>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</si>
  <si>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</si>
  <si>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</si>
  <si>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</si>
  <si>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</si>
  <si>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</si>
  <si>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</si>
  <si>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</si>
  <si>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</si>
  <si>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</si>
  <si>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</si>
  <si>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</si>
  <si>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</si>
  <si>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</si>
  <si>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</si>
  <si>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</si>
  <si>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</si>
  <si>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</si>
  <si>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</si>
  <si>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</si>
  <si>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</si>
  <si>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</si>
  <si>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</si>
  <si>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</si>
  <si>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</si>
  <si>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</si>
  <si>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</si>
  <si>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</si>
  <si>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</si>
  <si>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</si>
  <si>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</si>
  <si>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</si>
  <si>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</si>
  <si>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</si>
  <si>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</si>
  <si>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</si>
  <si>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</si>
  <si>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</si>
  <si>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</si>
  <si>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</si>
  <si>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</si>
  <si>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</si>
  <si>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</si>
  <si>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</si>
  <si>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</si>
  <si>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</si>
  <si>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</si>
  <si>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</si>
  <si>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</si>
  <si>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</si>
  <si>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</si>
  <si>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</si>
  <si>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</si>
  <si>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</si>
  <si>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</si>
  <si>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</si>
  <si>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</si>
  <si>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</si>
  <si>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</si>
  <si>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</si>
  <si>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</si>
  <si>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</si>
  <si>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</si>
  <si>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</si>
  <si>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</si>
  <si>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</si>
  <si>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</si>
  <si>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</si>
  <si>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</si>
  <si>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</si>
  <si>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</si>
  <si>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</si>
  <si>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</si>
  <si>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</si>
  <si>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</si>
  <si>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</si>
  <si>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</si>
  <si>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</si>
  <si>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</si>
  <si>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</si>
  <si>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</si>
  <si>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</si>
  <si>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</si>
  <si>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</si>
  <si>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</si>
  <si>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</si>
  <si>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</si>
  <si>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</si>
  <si>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</si>
  <si>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</si>
  <si>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</si>
  <si>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</si>
  <si>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</si>
  <si>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</si>
  <si>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</si>
  <si>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</si>
  <si>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</si>
  <si>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</si>
  <si>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</si>
  <si>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</si>
  <si>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</si>
  <si>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</si>
  <si>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</si>
  <si>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</si>
  <si>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</si>
  <si>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</si>
  <si>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</si>
  <si>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</si>
  <si>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</si>
  <si>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</si>
  <si>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</si>
  <si>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</si>
  <si>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</si>
  <si>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</si>
  <si>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</si>
  <si>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</si>
  <si>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</si>
  <si>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</si>
  <si>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</si>
  <si>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</si>
  <si>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</si>
  <si>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</si>
  <si>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</si>
  <si>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</si>
  <si>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</si>
  <si>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</si>
  <si>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</si>
  <si>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</si>
  <si>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</si>
  <si>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</si>
  <si>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</si>
  <si>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</si>
  <si>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</si>
  <si>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</si>
  <si>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</si>
  <si>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</si>
  <si>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</si>
  <si>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</si>
  <si>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</si>
  <si>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</si>
  <si>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</si>
  <si>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</si>
  <si>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</si>
  <si>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</si>
  <si>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</si>
  <si>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</si>
  <si>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</si>
  <si>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</si>
  <si>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</si>
  <si>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</si>
  <si>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</si>
  <si>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</si>
  <si>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</si>
  <si>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</si>
  <si>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</si>
  <si>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</si>
  <si>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</si>
  <si>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</si>
  <si>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</si>
  <si>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</si>
  <si>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</si>
  <si>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</si>
  <si>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</si>
  <si>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</si>
  <si>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</si>
  <si>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</si>
  <si>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</si>
  <si>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</si>
  <si>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</si>
  <si>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</si>
  <si>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</si>
  <si>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</si>
  <si>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</si>
  <si>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</si>
  <si>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</si>
  <si>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</si>
  <si>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</si>
  <si>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</si>
  <si>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</si>
  <si>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</si>
  <si>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</si>
  <si>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</si>
  <si>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</si>
  <si>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</si>
  <si>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</si>
  <si>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</si>
  <si>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</si>
  <si>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</si>
  <si>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</si>
  <si>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</si>
  <si>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</si>
  <si>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</si>
  <si>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</si>
  <si>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</si>
  <si>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</si>
  <si>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</si>
  <si>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</si>
  <si>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</si>
  <si>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</si>
  <si>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</si>
  <si>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</si>
  <si>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</si>
  <si>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</si>
  <si>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</si>
  <si>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</si>
  <si>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</si>
  <si>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</si>
  <si>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</si>
  <si>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</si>
  <si>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</si>
  <si>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</si>
  <si>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</si>
  <si>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</si>
  <si>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</si>
  <si>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</si>
  <si>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</si>
  <si>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</si>
  <si>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</si>
  <si>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</si>
  <si>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</si>
  <si>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</si>
  <si>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</si>
  <si>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</si>
  <si>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</si>
  <si>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</si>
  <si>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</si>
  <si>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</si>
  <si>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</si>
  <si>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</si>
  <si>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</si>
  <si>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</si>
  <si>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</si>
  <si>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</si>
  <si>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</si>
  <si>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</si>
  <si>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</si>
  <si>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</si>
  <si>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</si>
  <si>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</si>
  <si>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</si>
  <si>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</si>
  <si>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</si>
  <si>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</si>
  <si>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</si>
  <si>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</si>
  <si>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</si>
  <si>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</si>
  <si>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</si>
  <si>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</si>
  <si>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</si>
  <si>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</si>
  <si>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</si>
  <si>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</si>
  <si>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</si>
  <si>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</si>
  <si>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</si>
  <si>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</si>
  <si>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</si>
  <si>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</si>
  <si>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</si>
  <si>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</si>
  <si>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</si>
  <si>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</si>
  <si>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</si>
  <si>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</si>
  <si>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</si>
  <si>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</si>
  <si>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</si>
  <si>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</si>
  <si>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</si>
  <si>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</si>
  <si>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</si>
  <si>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</si>
  <si>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</si>
  <si>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</si>
  <si>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</si>
  <si>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</si>
  <si>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</si>
  <si>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</si>
  <si>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</si>
  <si>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</si>
  <si>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</si>
  <si>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</si>
  <si>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</si>
  <si>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</si>
  <si>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</si>
  <si>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</si>
  <si>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</si>
  <si>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</si>
  <si>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</si>
  <si>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</si>
  <si>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</si>
  <si>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Central Valley Coalition for Affordable Housing</t>
  </si>
  <si>
    <t>Westgate Manor</t>
  </si>
  <si>
    <t>2330 Sherman Avenue</t>
  </si>
  <si>
    <t>Corcoran</t>
  </si>
  <si>
    <t>034-150-041-000</t>
  </si>
  <si>
    <t>City of Corcoran</t>
  </si>
  <si>
    <t>Greg Gatzka</t>
  </si>
  <si>
    <t>832 Whitley Avenue</t>
  </si>
  <si>
    <t>(559) 992-2151</t>
  </si>
  <si>
    <t>(559) 992-2348</t>
  </si>
  <si>
    <t xml:space="preserve">greg.gatzka@cityofcorcoran.com </t>
  </si>
  <si>
    <t>Christina Alley</t>
  </si>
  <si>
    <t>Chief Executive Officer</t>
  </si>
  <si>
    <t>40%/60%</t>
  </si>
  <si>
    <t>3351 "M" Street, Suite 100</t>
  </si>
  <si>
    <t>CA</t>
  </si>
  <si>
    <t>(209) 388-0782</t>
  </si>
  <si>
    <t>(209) 385-3770</t>
  </si>
  <si>
    <t xml:space="preserve">chris@centralvalleycoalition.com </t>
  </si>
  <si>
    <t>Not Applicable</t>
  </si>
  <si>
    <t>As sole MGP of a to-be-formed limited partnership</t>
  </si>
  <si>
    <t>Managing GP</t>
  </si>
  <si>
    <t>Managing General Partner</t>
  </si>
  <si>
    <t>Micon Real Estate, Inc.</t>
  </si>
  <si>
    <t>1370 Jensen, Suite B</t>
  </si>
  <si>
    <t>Sanger, CA 93657</t>
  </si>
  <si>
    <t>Michael L. Condry</t>
  </si>
  <si>
    <t>(559) 875-3330</t>
  </si>
  <si>
    <t>(559) 875-3365</t>
  </si>
  <si>
    <t>mccondry@miconrealestate.com</t>
  </si>
  <si>
    <t>Mercer Architecture</t>
  </si>
  <si>
    <t>17174 Benecia Road</t>
  </si>
  <si>
    <t>Madera, CA 93636</t>
  </si>
  <si>
    <t>Scott Mercer</t>
  </si>
  <si>
    <t>(559) 908-4362</t>
  </si>
  <si>
    <t>mercerarchitecture@gmail.com</t>
  </si>
  <si>
    <t>Haden Law Office</t>
  </si>
  <si>
    <t>2241 N Street</t>
  </si>
  <si>
    <t>Merced, CA 95340</t>
  </si>
  <si>
    <t>Robert Haden</t>
  </si>
  <si>
    <t>(209) 723-3247</t>
  </si>
  <si>
    <t>(209) 723-5288</t>
  </si>
  <si>
    <t>rhaden@hadenlaw.comcastbiz.net</t>
  </si>
  <si>
    <t xml:space="preserve">Micon Builders, Inc. </t>
  </si>
  <si>
    <t>mcondry@miconrealestate.com</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</si>
  <si>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</si>
  <si>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</si>
  <si>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</si>
  <si>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</si>
  <si>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</si>
  <si>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</si>
  <si>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</si>
  <si>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</si>
  <si>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</si>
  <si>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</si>
  <si>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</si>
  <si>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</si>
  <si>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</si>
  <si>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</si>
  <si>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</si>
  <si>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</si>
  <si>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</si>
  <si>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</si>
  <si>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</si>
  <si>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</si>
  <si>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</si>
  <si>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</si>
  <si>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6055 Timber Ridge Drive</t>
  </si>
  <si>
    <t>Magalia, CA 95954</t>
  </si>
  <si>
    <t>Adam Thompson</t>
  </si>
  <si>
    <t>(916) 468-6443</t>
  </si>
  <si>
    <t xml:space="preserve">adam@apthousingca.com </t>
  </si>
  <si>
    <t>Novogradac &amp; Company LLP</t>
  </si>
  <si>
    <t>6700 Antioch Road, 4th Floor</t>
  </si>
  <si>
    <t>Merriam, KS 66204</t>
  </si>
  <si>
    <t>Rachel Denton</t>
  </si>
  <si>
    <t>(913) 312-4612</t>
  </si>
  <si>
    <t>(913) 677-4601</t>
  </si>
  <si>
    <t>Rachel.Denton@novoco.com</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</si>
  <si>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</si>
  <si>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</si>
  <si>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</si>
  <si>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</si>
  <si>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</si>
  <si>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</si>
  <si>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</si>
  <si>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</si>
  <si>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</si>
  <si>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</si>
  <si>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</si>
  <si>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</si>
  <si>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</si>
  <si>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</si>
  <si>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USDA low-income senior housing</t>
  </si>
  <si>
    <t>Westgate Manor, LP</t>
  </si>
  <si>
    <t>Corcoran Westgate Manor, LLC</t>
  </si>
  <si>
    <t>Administrative General Partner</t>
  </si>
  <si>
    <t>(916) 769-7768</t>
  </si>
  <si>
    <t>One or Two Story Garden</t>
  </si>
  <si>
    <t>1 Year Renew An.</t>
  </si>
  <si>
    <t>Until Depleted</t>
  </si>
  <si>
    <t>USDA Flat Rate</t>
  </si>
  <si>
    <t>United States Department of Agriculture</t>
  </si>
  <si>
    <t>USDA 515 Loans</t>
  </si>
  <si>
    <t>Investor's Equity</t>
  </si>
  <si>
    <t>Deferred Operating Reserves</t>
  </si>
  <si>
    <t>Deferred Developer Fee</t>
  </si>
  <si>
    <t>Construction Loan</t>
  </si>
  <si>
    <t>USDA Section 521</t>
  </si>
  <si>
    <t>Inspections and Closing Costs</t>
  </si>
  <si>
    <t>Borrower's Counsel</t>
  </si>
  <si>
    <t>Required RD/Investor Reserves</t>
  </si>
  <si>
    <t>- Rural only*</t>
  </si>
  <si>
    <t>USDA Section 515 Loans</t>
  </si>
  <si>
    <t>1 bedroom</t>
  </si>
  <si>
    <t>Real Estate Special Assessments</t>
  </si>
  <si>
    <r>
      <t xml:space="preserve">1.  The anticipated rental subsidy in the amounts of $1,000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</si>
  <si>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13th</t>
  </si>
  <si>
    <t>February</t>
  </si>
  <si>
    <t>Conversion Costs &amp; Expenses</t>
  </si>
  <si>
    <t>39 Years</t>
  </si>
  <si>
    <t>R-3 / USDA Low-Income Senior Housing</t>
  </si>
  <si>
    <t>R-3 Multifamily Residential / 14.5 units per acre</t>
  </si>
  <si>
    <t>35 Feet</t>
  </si>
  <si>
    <t>1 space per 1BR unit</t>
  </si>
  <si>
    <t>1400 Independence Ave., SW, Rm 5014, STOP 0701</t>
  </si>
  <si>
    <t>Washington, DC 20250</t>
  </si>
  <si>
    <t>Katrina Moseley</t>
  </si>
  <si>
    <t>(352) 338-3438</t>
  </si>
  <si>
    <t>8721 Sunset Blvd., PH1</t>
  </si>
  <si>
    <t>Merced, CA 95348</t>
  </si>
  <si>
    <t>Callie Condry</t>
  </si>
  <si>
    <t>Supplies/Phone Services/Tech.</t>
  </si>
  <si>
    <t>Taxes/Benefits</t>
  </si>
  <si>
    <t>Fire Monitoring/HVAC/Supplies</t>
  </si>
  <si>
    <t xml:space="preserve">2.  For purposes of the tiebreaker, the existing USDA net basic rent in the amount of $1,000 was used in comparison to a net 40% CTCAC rent. </t>
  </si>
  <si>
    <t>Fixed</t>
  </si>
  <si>
    <t>325 E. Hillcrest Drive, Suite 160</t>
  </si>
  <si>
    <t>Thousand Oaks, CA 91360</t>
  </si>
  <si>
    <t>Mike Hemmens</t>
  </si>
  <si>
    <t>(805) 557-0933</t>
  </si>
  <si>
    <t xml:space="preserve">3.  Site Control - Please note that the original USDA Deed of Trust is not showing up on the preliminary title report.  The loan does exist as evidenced by the Original RD Deed of Trust included in Tab 1 of this application. </t>
  </si>
  <si>
    <t>Citibank Construction Loan</t>
  </si>
  <si>
    <t>Corcoran Area Transit Dial-A-Ride</t>
  </si>
  <si>
    <t>Corcoran, CA 93212</t>
  </si>
  <si>
    <t>Valeria Bega, Transit Coordinator</t>
  </si>
  <si>
    <t>www.cityofcorcoran.ca.gov</t>
  </si>
  <si>
    <t>Picks up on-site</t>
  </si>
  <si>
    <t>Burnham Smith Park/JG Boswell Park</t>
  </si>
  <si>
    <t>900 Dairy Avenue</t>
  </si>
  <si>
    <t>Joseph Faulkner, Parks &amp; Rec</t>
  </si>
  <si>
    <t>(559) 992-5171</t>
  </si>
  <si>
    <t>Corcoran Branch Library</t>
  </si>
  <si>
    <t>1001-A Chittenden Avenue</t>
  </si>
  <si>
    <t>Branch Manager</t>
  </si>
  <si>
    <t>(559) 992-3314</t>
  </si>
  <si>
    <t>www.kingscountylibrary.org/branches/corcoran-branch</t>
  </si>
  <si>
    <t>0.90 miles</t>
  </si>
  <si>
    <t>0.30 miles</t>
  </si>
  <si>
    <t>Cost Less Food Company</t>
  </si>
  <si>
    <t>2001 Whitley Avenue</t>
  </si>
  <si>
    <t>JR Ramirez, Store Manager</t>
  </si>
  <si>
    <t>(559) 992-5125</t>
  </si>
  <si>
    <t>www.costlessfoods.com/locations/corcoran</t>
  </si>
  <si>
    <t>Corcoran Senior Center</t>
  </si>
  <si>
    <t>800 Dairy Avenue</t>
  </si>
  <si>
    <t>Lilly Orozco or Parks &amp; Rec.</t>
  </si>
  <si>
    <t>(559) 992-4419</t>
  </si>
  <si>
    <t>www.cityofcorcoran.com</t>
  </si>
  <si>
    <t>0.40 miles</t>
  </si>
  <si>
    <t>Adventist Health Medical Clinic</t>
  </si>
  <si>
    <t>1212 Hanna Avenue</t>
  </si>
  <si>
    <t>Administration</t>
  </si>
  <si>
    <t>(559) 992-2800</t>
  </si>
  <si>
    <t>www.adventisthealth.org</t>
  </si>
  <si>
    <t>0.65 miles</t>
  </si>
  <si>
    <t>United Health Center</t>
  </si>
  <si>
    <t>1000 Chittenden Avenue</t>
  </si>
  <si>
    <t>(800) 492-4227</t>
  </si>
  <si>
    <t>www.unitedhealthcenters.org</t>
  </si>
  <si>
    <t>Rite Aid Pharmacy</t>
  </si>
  <si>
    <t>1500 Whitley Avenue</t>
  </si>
  <si>
    <t>Pharmacy Manager</t>
  </si>
  <si>
    <t>(559) 992-8020</t>
  </si>
  <si>
    <t>www.riteaid.com</t>
  </si>
  <si>
    <t>0.60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</si>
</sst>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73" fillId="0" borderId="0" xfId="0" applyFont="1" applyAlignment="1" applyProtection="1">
      <alignment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69" t="s">
        <v>1873</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2158</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2302</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2309</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2310</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2019</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1287</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1144</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3" t="s">
        <v>1688</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3" t="s">
        <v>2160</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5" t="s">
        <v>2161</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197</v>
      </c>
      <c r="G51" s="975" t="s">
        <v>2162</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3" t="s">
        <v>1691</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1690</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3" t="s">
        <v>1692</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1693</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1706</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1707</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3" t="s">
        <v>1694</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1695</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3" t="s">
        <v>1699</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1700</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1701</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1702</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3" t="s">
        <v>1703</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3" t="s">
        <v>1704</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80" t="s">
        <v>1705</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3" t="s">
        <v>1708</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3" t="s">
        <v>1709</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3" t="s">
        <v>1710</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3" t="s">
        <v>1711</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902</v>
      </c>
      <c r="F235" s="5" t="s">
        <v>245</v>
      </c>
      <c r="G235" s="5"/>
      <c r="H235" s="5"/>
      <c r="I235" s="5"/>
      <c r="M235" s="5"/>
      <c r="N235" s="5"/>
      <c r="O235" s="5"/>
      <c r="P235" s="5"/>
      <c r="Q235" s="5"/>
      <c r="R235" s="5"/>
      <c r="S235" s="5"/>
    </row>
    <row r="236" spans="1:38">
      <c r="B236" s="5"/>
      <c r="C236" s="5"/>
      <c r="F236" s="5" t="s">
        <v>822</v>
      </c>
      <c r="G236" s="973" t="s">
        <v>1712</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5" t="s">
        <v>1823</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901</v>
      </c>
      <c r="F348" s="973" t="s">
        <v>1824</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902</v>
      </c>
      <c r="F352" s="973" t="s">
        <v>1825</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8" customFormat="1">
      <c r="A365"/>
      <c r="B365" s="3"/>
      <c r="C365"/>
      <c r="D365"/>
      <c r="E365" s="978" t="s">
        <v>1820</v>
      </c>
    </row>
    <row r="366" spans="1:38" s="978" customFormat="1">
      <c r="A366"/>
      <c r="B366" s="3"/>
      <c r="C366"/>
      <c r="D366"/>
    </row>
    <row r="367" spans="1:38">
      <c r="B367" s="3"/>
      <c r="F367" s="976" t="s">
        <v>1821</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E42" sqref="E4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4" t="s">
        <v>1865</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2123</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2231</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2209</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2124</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1804</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1805</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1696</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1609</v>
      </c>
      <c r="C29" s="1955"/>
      <c r="D29" s="1955"/>
      <c r="E29" s="1955"/>
      <c r="F29" s="1955"/>
      <c r="G29" s="1955"/>
      <c r="H29" s="376"/>
      <c r="I29" s="376"/>
      <c r="J29" s="376"/>
      <c r="K29" s="376"/>
      <c r="L29" s="376"/>
      <c r="M29" s="376"/>
      <c r="N29" s="376"/>
      <c r="O29" s="1953" t="s">
        <v>1618</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993</v>
      </c>
      <c r="K32" s="1957">
        <v>1</v>
      </c>
      <c r="M32" s="509"/>
      <c r="O32" s="1954"/>
      <c r="P32" s="1923" t="s">
        <v>1944</v>
      </c>
    </row>
    <row r="33" spans="1:21" ht="15" customHeight="1">
      <c r="B33" s="1958" t="s">
        <v>1613</v>
      </c>
      <c r="C33" s="1958"/>
      <c r="D33" s="1958"/>
      <c r="E33" s="1958"/>
      <c r="F33" s="1958"/>
      <c r="G33" s="1958"/>
      <c r="I33" s="1922"/>
      <c r="J33" s="1923"/>
      <c r="K33" s="1957"/>
      <c r="M33" s="510"/>
      <c r="O33" s="1958" t="s">
        <v>1613</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1603</v>
      </c>
      <c r="C37" s="1945"/>
      <c r="D37" s="1945"/>
      <c r="E37" s="1945"/>
      <c r="F37" s="516"/>
      <c r="G37" s="516"/>
      <c r="H37" s="517"/>
      <c r="I37" s="376"/>
      <c r="J37" s="376"/>
      <c r="L37" s="529"/>
      <c r="M37" s="529"/>
      <c r="N37" s="529"/>
      <c r="O37" s="529"/>
      <c r="P37" s="529"/>
      <c r="Q37" s="529"/>
      <c r="R37" s="529"/>
      <c r="S37" s="529"/>
    </row>
    <row r="38" spans="1:21" ht="15" customHeight="1">
      <c r="B38" s="1932" t="s">
        <v>1619</v>
      </c>
      <c r="C38" s="1932"/>
      <c r="D38" s="1932"/>
      <c r="E38" s="1932"/>
      <c r="F38" s="650"/>
      <c r="G38" s="518">
        <f>D110</f>
        <v>2353107.5161969964</v>
      </c>
      <c r="H38" s="384"/>
      <c r="I38" s="519"/>
      <c r="J38" s="384"/>
      <c r="K38" s="1941" t="s">
        <v>2228</v>
      </c>
      <c r="L38" s="1941"/>
      <c r="M38" s="1941"/>
      <c r="N38" s="1941"/>
      <c r="O38" s="1941"/>
      <c r="P38" s="1941"/>
      <c r="Q38" s="1941"/>
      <c r="R38" s="1941"/>
      <c r="S38" s="1941"/>
    </row>
    <row r="39" spans="1:21" ht="15" customHeight="1">
      <c r="B39" s="1940" t="s">
        <v>1284</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1285</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1614</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t="s">
        <v>2432</v>
      </c>
      <c r="C42" s="634"/>
      <c r="D42" s="628"/>
      <c r="E42" s="652">
        <v>2952132</v>
      </c>
      <c r="F42" s="650"/>
      <c r="G42" s="384"/>
      <c r="H42" s="384"/>
      <c r="I42" s="519"/>
      <c r="J42" s="384"/>
      <c r="K42" s="1939"/>
      <c r="L42" s="1939"/>
      <c r="M42" s="1939"/>
      <c r="N42" s="1939"/>
      <c r="O42" s="1939"/>
      <c r="Q42" s="1919"/>
      <c r="R42" s="1919"/>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19"/>
      <c r="R44" s="1919"/>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6" t="s">
        <v>1852</v>
      </c>
      <c r="L46" s="1916"/>
      <c r="M46" s="1916"/>
      <c r="N46" s="1916"/>
      <c r="O46" s="1916"/>
      <c r="Q46" s="1914"/>
      <c r="R46" s="1914"/>
    </row>
    <row r="47" spans="1:21" ht="15" customHeight="1">
      <c r="B47" s="634"/>
      <c r="C47" s="634"/>
      <c r="D47" s="504"/>
      <c r="E47" s="652"/>
      <c r="F47" s="650"/>
      <c r="G47" s="384"/>
      <c r="H47" s="384"/>
      <c r="I47" s="519"/>
      <c r="J47" s="384"/>
      <c r="K47" s="1915" t="s">
        <v>1853</v>
      </c>
      <c r="L47" s="1915"/>
      <c r="M47" s="1915"/>
      <c r="N47" s="1915"/>
      <c r="O47" s="1915"/>
      <c r="Q47" s="1952"/>
      <c r="R47" s="1952"/>
    </row>
    <row r="48" spans="1:21" ht="15" customHeight="1">
      <c r="B48" s="634"/>
      <c r="C48" s="634"/>
      <c r="D48" s="504"/>
      <c r="E48" s="652"/>
      <c r="F48" s="650"/>
      <c r="G48" s="384"/>
      <c r="H48" s="384"/>
      <c r="I48" s="519"/>
      <c r="J48" s="384"/>
      <c r="K48" s="1951" t="s">
        <v>1854</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2" t="s">
        <v>1610</v>
      </c>
      <c r="C52" s="1932"/>
      <c r="D52" s="1932"/>
      <c r="E52" s="1932"/>
      <c r="F52" s="650"/>
      <c r="G52" s="518">
        <f>SUM(E42:E49)-ABS(E50)-ABS(E51)</f>
        <v>2952132</v>
      </c>
      <c r="H52" s="384"/>
      <c r="I52" s="519"/>
      <c r="J52" s="384"/>
    </row>
    <row r="53" spans="1:29" ht="15" customHeight="1">
      <c r="C53" s="523"/>
      <c r="D53" s="523" t="s">
        <v>876</v>
      </c>
      <c r="E53" s="523"/>
      <c r="F53" s="523"/>
      <c r="G53" s="524">
        <f>SUM(G38:G40)+G52</f>
        <v>5305239.516196996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1" t="s">
        <v>1265</v>
      </c>
      <c r="C56" s="1931"/>
      <c r="D56" s="650"/>
      <c r="E56" s="650"/>
      <c r="F56" s="650"/>
      <c r="G56" s="650"/>
      <c r="H56" s="650"/>
      <c r="I56" s="650"/>
      <c r="J56" s="650"/>
      <c r="K56" s="650"/>
      <c r="L56" s="650"/>
      <c r="M56" s="650"/>
      <c r="N56" s="650"/>
      <c r="O56" s="650"/>
      <c r="P56" s="650"/>
      <c r="U56" s="952" t="s">
        <v>1799</v>
      </c>
      <c r="AC56" s="953">
        <v>0.2</v>
      </c>
    </row>
    <row r="57" spans="1:29" ht="15" customHeight="1">
      <c r="A57" s="521"/>
      <c r="B57" s="1930" t="s">
        <v>1605</v>
      </c>
      <c r="C57" s="1930"/>
      <c r="D57" s="1930"/>
      <c r="E57" s="1930"/>
      <c r="F57" s="1930"/>
      <c r="G57" s="1930"/>
      <c r="H57" s="1930"/>
      <c r="I57" s="1930"/>
      <c r="J57" s="1930"/>
      <c r="K57" s="1930"/>
      <c r="L57" s="1930"/>
      <c r="M57" s="1930"/>
      <c r="N57" s="1930"/>
      <c r="O57" s="1930"/>
      <c r="P57" s="650"/>
      <c r="U57" s="952" t="s">
        <v>1800</v>
      </c>
      <c r="AC57" s="953">
        <v>0.1</v>
      </c>
    </row>
    <row r="58" spans="1:29" ht="15" customHeight="1">
      <c r="B58" s="1945" t="s">
        <v>2226</v>
      </c>
      <c r="C58" s="1946"/>
      <c r="D58" s="1946"/>
      <c r="E58" s="1946"/>
      <c r="F58" s="526"/>
      <c r="G58" s="526"/>
      <c r="H58" s="516"/>
      <c r="I58" s="516"/>
      <c r="J58" s="1947">
        <f>('Sources and Uses Budget'!D104+Q47)/('Sources and Uses Budget'!B104+Q48)</f>
        <v>0</v>
      </c>
      <c r="K58" s="1948"/>
      <c r="L58" s="1948"/>
      <c r="M58" s="1948"/>
      <c r="N58" s="1949"/>
      <c r="O58" s="516"/>
      <c r="P58" s="516"/>
      <c r="U58" s="952" t="s">
        <v>1801</v>
      </c>
      <c r="AC58" s="953">
        <v>0.1</v>
      </c>
    </row>
    <row r="59" spans="1:29" ht="15" customHeight="1">
      <c r="B59" s="1929" t="s">
        <v>2125</v>
      </c>
      <c r="C59" s="1929"/>
      <c r="D59" s="1929"/>
      <c r="E59" s="1929"/>
      <c r="F59" s="1929"/>
      <c r="G59" s="1929"/>
      <c r="H59" s="1929"/>
      <c r="I59" s="1929"/>
      <c r="J59" s="1929"/>
      <c r="K59" s="1929"/>
      <c r="L59" s="1929"/>
      <c r="M59" s="1929"/>
      <c r="N59" s="1929"/>
      <c r="O59" s="1929"/>
      <c r="P59" s="516"/>
      <c r="U59" s="952" t="s">
        <v>1802</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2229</v>
      </c>
      <c r="K63" s="1936"/>
      <c r="L63" s="1936"/>
      <c r="M63" s="1936"/>
      <c r="N63" s="1936"/>
      <c r="O63" s="1936"/>
      <c r="P63" s="1936"/>
      <c r="Q63" s="1936"/>
      <c r="R63" s="1936"/>
    </row>
    <row r="64" spans="1:29" ht="15" customHeight="1" thickBot="1">
      <c r="B64" s="1931" t="s">
        <v>1615</v>
      </c>
      <c r="C64" s="1931"/>
      <c r="D64" s="376"/>
      <c r="F64" s="376"/>
      <c r="G64" s="523" t="s">
        <v>1855</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1608</v>
      </c>
      <c r="C65" s="512" t="str">
        <f>IF(OR(Application!M349="Yes",Application!M350="Yes"),"Yes","No")</f>
        <v>No</v>
      </c>
      <c r="E65" s="788"/>
      <c r="F65" s="788"/>
      <c r="G65" s="523" t="s">
        <v>1857</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1684</v>
      </c>
      <c r="C66" s="638">
        <f>Application!AG430-Application!AG431</f>
        <v>44</v>
      </c>
      <c r="D66" s="788"/>
      <c r="E66" s="528" t="s">
        <v>1858</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44</v>
      </c>
      <c r="H67" s="529"/>
      <c r="I67" s="759"/>
      <c r="J67" s="1933" t="s">
        <v>124</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1612</v>
      </c>
      <c r="C70" s="508"/>
      <c r="D70" s="508"/>
      <c r="E70" s="508"/>
      <c r="F70" s="508"/>
      <c r="G70" s="508"/>
      <c r="U70" s="1943"/>
      <c r="V70" s="373" t="s">
        <v>1803</v>
      </c>
    </row>
    <row r="71" spans="1:22" ht="15" customHeight="1">
      <c r="B71" s="1932" t="s">
        <v>1616</v>
      </c>
      <c r="C71" s="1932"/>
      <c r="D71" s="1932"/>
      <c r="E71" s="508"/>
      <c r="F71" s="508"/>
      <c r="G71" s="518">
        <f>G53*(1-J58)</f>
        <v>5305239.516196996</v>
      </c>
      <c r="J71" s="530"/>
      <c r="K71" s="687" t="s">
        <v>1618</v>
      </c>
      <c r="L71" s="687"/>
      <c r="M71" s="687"/>
      <c r="N71" s="687"/>
      <c r="O71" s="687"/>
      <c r="Q71" s="1916">
        <f>'Basis &amp; Credits'!T23+'Basis &amp; Credits'!Y23+'Basis &amp; Credits'!AD23+'Basis &amp; Credits'!AI23</f>
        <v>9369142</v>
      </c>
      <c r="R71" s="1916"/>
    </row>
    <row r="72" spans="1:22" ht="15" customHeight="1">
      <c r="B72" s="1918" t="s">
        <v>1617</v>
      </c>
      <c r="C72" s="1918"/>
      <c r="D72" s="1918"/>
      <c r="E72" s="508"/>
      <c r="F72" s="508"/>
      <c r="G72" s="518">
        <f>G71*C67</f>
        <v>5305239.516196996</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5305239.516196996</v>
      </c>
      <c r="C75" s="1921"/>
      <c r="D75" s="1921"/>
      <c r="E75" s="1921"/>
      <c r="F75" s="1921"/>
      <c r="G75" s="1921"/>
      <c r="H75" s="531"/>
      <c r="I75" s="1922" t="s">
        <v>139</v>
      </c>
      <c r="J75" s="1923" t="s">
        <v>993</v>
      </c>
      <c r="K75" s="1922">
        <v>1</v>
      </c>
      <c r="M75" s="395"/>
      <c r="N75" s="510"/>
      <c r="O75" s="657">
        <f>$Q$71</f>
        <v>9369142</v>
      </c>
      <c r="P75" s="1923" t="s">
        <v>1944</v>
      </c>
      <c r="Q75" s="1924" t="s">
        <v>138</v>
      </c>
      <c r="R75" s="1927">
        <f>((B75/B76)+((1-(O75/O76))/2))+U69</f>
        <v>0.55695477863976395</v>
      </c>
    </row>
    <row r="76" spans="1:22" ht="15" customHeight="1" thickBot="1">
      <c r="B76" s="1925">
        <f>'Sources and Uses Budget'!$C$104+$Q$46-($E$50+$E$51)*(1-$J$58)</f>
        <v>10897567</v>
      </c>
      <c r="C76" s="1926"/>
      <c r="D76" s="1926"/>
      <c r="E76" s="1926"/>
      <c r="F76" s="1926"/>
      <c r="G76" s="1925"/>
      <c r="I76" s="1922"/>
      <c r="J76" s="1923"/>
      <c r="K76" s="1922"/>
      <c r="M76" s="648"/>
      <c r="O76" s="656">
        <f>B76</f>
        <v>10897567</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4"/>
      <c r="R84" s="1914"/>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4"/>
      <c r="R89" s="1914"/>
    </row>
    <row r="90" spans="2:18" ht="15" customHeight="1">
      <c r="B90" s="497" t="s">
        <v>2433</v>
      </c>
      <c r="C90" s="498">
        <v>43</v>
      </c>
      <c r="D90" s="499">
        <v>510</v>
      </c>
      <c r="E90" s="499">
        <v>1000</v>
      </c>
      <c r="F90" s="540"/>
      <c r="G90" s="384">
        <f>MAX(($E90-$D90)*$C90*12,0)</f>
        <v>252840</v>
      </c>
      <c r="I90" s="519"/>
      <c r="K90" s="756" t="s">
        <v>1627</v>
      </c>
      <c r="L90" s="684"/>
      <c r="M90" s="684"/>
      <c r="N90" s="684"/>
      <c r="O90" s="684"/>
      <c r="P90" s="684"/>
      <c r="Q90" s="1917"/>
      <c r="R90" s="1917"/>
    </row>
    <row r="91" spans="2:18" ht="15" customHeight="1">
      <c r="B91" s="497" t="s">
        <v>616</v>
      </c>
      <c r="C91" s="498"/>
      <c r="D91" s="499"/>
      <c r="E91" s="499"/>
      <c r="F91" s="540"/>
      <c r="G91" s="384">
        <f t="shared" ref="G91:G97" si="0">MAX(($E91-$D91)*$C91*12,0)</f>
        <v>0</v>
      </c>
      <c r="I91" s="519"/>
      <c r="K91" s="756" t="s">
        <v>1630</v>
      </c>
      <c r="L91" s="684"/>
      <c r="M91" s="684"/>
      <c r="N91" s="684"/>
      <c r="O91" s="684"/>
      <c r="P91" s="684"/>
      <c r="Q91" s="1915">
        <f>IFERROR(Q89/Q90,0)</f>
        <v>0</v>
      </c>
      <c r="R91" s="1915"/>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6">
        <f>MAX(Q84,Q91)</f>
        <v>0</v>
      </c>
      <c r="R93" s="1916"/>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252840</v>
      </c>
      <c r="I98" s="519"/>
    </row>
    <row r="99" spans="2:9" ht="15" customHeight="1">
      <c r="I99" s="519"/>
    </row>
    <row r="100" spans="2:9" ht="15" customHeight="1">
      <c r="B100" s="376" t="s">
        <v>1628</v>
      </c>
      <c r="D100" s="520">
        <f>G98+Q93</f>
        <v>252840</v>
      </c>
      <c r="I100" s="519"/>
    </row>
    <row r="101" spans="2:9" ht="15" customHeight="1">
      <c r="B101" s="376" t="s">
        <v>989</v>
      </c>
      <c r="D101" s="536">
        <v>0.05</v>
      </c>
      <c r="I101" s="519"/>
    </row>
    <row r="102" spans="2:9" ht="15" customHeight="1">
      <c r="B102" s="376" t="s">
        <v>1018</v>
      </c>
      <c r="D102" s="520">
        <f>D100-(D100*D101)</f>
        <v>240198</v>
      </c>
    </row>
    <row r="103" spans="2:9" ht="15" customHeight="1">
      <c r="B103" s="376" t="s">
        <v>1620</v>
      </c>
      <c r="D103" s="537"/>
    </row>
    <row r="104" spans="2:9" ht="15" customHeight="1">
      <c r="B104" s="376" t="s">
        <v>1629</v>
      </c>
      <c r="D104" s="520">
        <f>D102/D108</f>
        <v>208867.82608695654</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2353107.5161969964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D41" sqref="D4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335304</v>
      </c>
      <c r="F4" s="384"/>
      <c r="G4" s="384">
        <f>E4*$C$4</f>
        <v>343686.6</v>
      </c>
      <c r="H4" s="384"/>
      <c r="I4" s="384">
        <f>G4*$C$4</f>
        <v>352278.76499999996</v>
      </c>
      <c r="J4" s="384"/>
      <c r="K4" s="384">
        <f>I4*$C$4</f>
        <v>361085.7341249999</v>
      </c>
      <c r="L4" s="384"/>
      <c r="M4" s="384">
        <f>K4*$C$4</f>
        <v>370112.87747812486</v>
      </c>
      <c r="N4" s="384"/>
      <c r="O4" s="384">
        <f>M4*$C$4</f>
        <v>379365.69941507798</v>
      </c>
      <c r="P4" s="384"/>
      <c r="Q4" s="384">
        <f>O4*$C$4</f>
        <v>388849.84190045489</v>
      </c>
      <c r="R4" s="384"/>
      <c r="S4" s="384">
        <f>Q4*$C$4</f>
        <v>398571.08794796624</v>
      </c>
      <c r="T4" s="384"/>
      <c r="U4" s="384">
        <f>S4*$C$4</f>
        <v>408535.36514666537</v>
      </c>
      <c r="V4" s="384"/>
      <c r="W4" s="384">
        <f>U4*$C$4</f>
        <v>418748.74927533197</v>
      </c>
      <c r="X4" s="384"/>
      <c r="Y4" s="384">
        <f>W4*$C$4</f>
        <v>429217.46800721524</v>
      </c>
      <c r="Z4" s="384"/>
      <c r="AA4" s="384">
        <f>Y4*$C$4</f>
        <v>439947.90470739559</v>
      </c>
      <c r="AB4" s="384"/>
      <c r="AC4" s="384">
        <f>AA4*$C$4</f>
        <v>450946.60232508043</v>
      </c>
      <c r="AD4" s="384"/>
      <c r="AE4" s="384">
        <f>AC4*$C$4</f>
        <v>462220.26738320739</v>
      </c>
      <c r="AF4" s="384"/>
      <c r="AG4" s="384">
        <f>AE4*$C$4</f>
        <v>473775.77406778751</v>
      </c>
      <c r="AH4" s="384"/>
    </row>
    <row r="5" spans="1:34" ht="14.25">
      <c r="A5" s="376"/>
      <c r="B5" s="376" t="s">
        <v>989</v>
      </c>
      <c r="C5" s="408">
        <f>IF(Application!$D$214="Special Needs",0.1,0.05)</f>
        <v>0.05</v>
      </c>
      <c r="D5" s="376"/>
      <c r="E5" s="386">
        <f>-E4*$C$5</f>
        <v>-16765.2</v>
      </c>
      <c r="F5" s="386"/>
      <c r="G5" s="386">
        <f>-G4*$C$5</f>
        <v>-17184.329999999998</v>
      </c>
      <c r="H5" s="386"/>
      <c r="I5" s="386">
        <f>-I4*$C$5</f>
        <v>-17613.938249999999</v>
      </c>
      <c r="J5" s="386"/>
      <c r="K5" s="386">
        <f>-K4*$C$5</f>
        <v>-18054.286706249997</v>
      </c>
      <c r="L5" s="386"/>
      <c r="M5" s="386">
        <f>-M4*$C$5</f>
        <v>-18505.643873906243</v>
      </c>
      <c r="N5" s="386"/>
      <c r="O5" s="386">
        <f>-O4*$C$5</f>
        <v>-18968.284970753899</v>
      </c>
      <c r="P5" s="386"/>
      <c r="Q5" s="386">
        <f>-Q4*$C$5</f>
        <v>-19442.492095022746</v>
      </c>
      <c r="R5" s="386"/>
      <c r="S5" s="386">
        <f>-S4*$C$5</f>
        <v>-19928.554397398315</v>
      </c>
      <c r="T5" s="386"/>
      <c r="U5" s="386">
        <f>-U4*$C$5</f>
        <v>-20426.768257333271</v>
      </c>
      <c r="V5" s="386"/>
      <c r="W5" s="386">
        <f>-W4*$C$5</f>
        <v>-20937.437463766601</v>
      </c>
      <c r="X5" s="386"/>
      <c r="Y5" s="386">
        <f>-Y4*$C$5</f>
        <v>-21460.873400360764</v>
      </c>
      <c r="Z5" s="386"/>
      <c r="AA5" s="386">
        <f>-AA4*$C$5</f>
        <v>-21997.395235369782</v>
      </c>
      <c r="AB5" s="386"/>
      <c r="AC5" s="386">
        <f>-AC4*$C$5</f>
        <v>-22547.330116254023</v>
      </c>
      <c r="AD5" s="386"/>
      <c r="AE5" s="386">
        <f>-AE4*$C$5</f>
        <v>-23111.01336916037</v>
      </c>
      <c r="AF5" s="386"/>
      <c r="AG5" s="386">
        <f>-AG4*$C$5</f>
        <v>-23688.788703389378</v>
      </c>
      <c r="AH5" s="376"/>
    </row>
    <row r="6" spans="1:34" ht="14.25">
      <c r="A6" s="376" t="s">
        <v>1075</v>
      </c>
      <c r="B6" s="376"/>
      <c r="C6" s="407">
        <v>1.0249999999999999</v>
      </c>
      <c r="D6" s="376"/>
      <c r="E6" s="387">
        <f>Application!Z788</f>
        <v>180696</v>
      </c>
      <c r="F6" s="387"/>
      <c r="G6" s="387">
        <f>E6*$C$6</f>
        <v>185213.4</v>
      </c>
      <c r="H6" s="387"/>
      <c r="I6" s="387">
        <f>G6*$C$6</f>
        <v>189843.73499999999</v>
      </c>
      <c r="J6" s="387"/>
      <c r="K6" s="387">
        <f>I6*$C$6</f>
        <v>194589.82837499998</v>
      </c>
      <c r="L6" s="387"/>
      <c r="M6" s="387">
        <f>K6*$C$6</f>
        <v>199454.57408437497</v>
      </c>
      <c r="N6" s="387"/>
      <c r="O6" s="387">
        <f>M6*$C$6</f>
        <v>204440.93843648431</v>
      </c>
      <c r="P6" s="387"/>
      <c r="Q6" s="387">
        <f>O6*$C$6</f>
        <v>209551.9618973964</v>
      </c>
      <c r="R6" s="387"/>
      <c r="S6" s="387">
        <f>Q6*$C$6</f>
        <v>214790.76094483127</v>
      </c>
      <c r="T6" s="387"/>
      <c r="U6" s="387">
        <f>S6*$C$6</f>
        <v>220160.52996845203</v>
      </c>
      <c r="V6" s="387"/>
      <c r="W6" s="387">
        <f>U6*$C$6</f>
        <v>225664.5432176633</v>
      </c>
      <c r="X6" s="387"/>
      <c r="Y6" s="387">
        <f>W6*$C$6</f>
        <v>231306.15679810487</v>
      </c>
      <c r="Z6" s="387"/>
      <c r="AA6" s="387">
        <f>Y6*$C$6</f>
        <v>237088.81071805747</v>
      </c>
      <c r="AB6" s="387"/>
      <c r="AC6" s="387">
        <f>AA6*$C$6</f>
        <v>243016.0309860089</v>
      </c>
      <c r="AD6" s="387"/>
      <c r="AE6" s="387">
        <f>AC6*$C$6</f>
        <v>249091.43176065909</v>
      </c>
      <c r="AF6" s="387"/>
      <c r="AG6" s="387">
        <f>AE6*$C$6</f>
        <v>255318.71755467556</v>
      </c>
      <c r="AH6" s="376"/>
    </row>
    <row r="7" spans="1:34" ht="14.25">
      <c r="A7" s="376"/>
      <c r="B7" s="376" t="s">
        <v>989</v>
      </c>
      <c r="C7" s="408">
        <f>IF(Application!$D$214="Special Needs",0.1,0.05)</f>
        <v>0.05</v>
      </c>
      <c r="D7" s="376"/>
      <c r="E7" s="386">
        <f>-E6*$C$7</f>
        <v>-9034.8000000000011</v>
      </c>
      <c r="F7" s="386"/>
      <c r="G7" s="386">
        <f>-G6*$C$7</f>
        <v>-9260.67</v>
      </c>
      <c r="H7" s="386"/>
      <c r="I7" s="386">
        <f>-I6*$C$7</f>
        <v>-9492.1867499999989</v>
      </c>
      <c r="J7" s="386"/>
      <c r="K7" s="386">
        <f>-K6*$C$7</f>
        <v>-9729.4914187499999</v>
      </c>
      <c r="L7" s="386"/>
      <c r="M7" s="386">
        <f>-M6*$C$7</f>
        <v>-9972.728704218749</v>
      </c>
      <c r="N7" s="386"/>
      <c r="O7" s="386">
        <f>-O6*$C$7</f>
        <v>-10222.046921824216</v>
      </c>
      <c r="P7" s="386"/>
      <c r="Q7" s="386">
        <f>-Q6*$C$7</f>
        <v>-10477.59809486982</v>
      </c>
      <c r="R7" s="386"/>
      <c r="S7" s="386">
        <f>-S6*$C$7</f>
        <v>-10739.538047241564</v>
      </c>
      <c r="T7" s="386"/>
      <c r="U7" s="386">
        <f>-U6*$C$7</f>
        <v>-11008.026498422601</v>
      </c>
      <c r="V7" s="386"/>
      <c r="W7" s="386">
        <f>-W6*$C$7</f>
        <v>-11283.227160883165</v>
      </c>
      <c r="X7" s="386"/>
      <c r="Y7" s="386">
        <f>-Y6*$C$7</f>
        <v>-11565.307839905245</v>
      </c>
      <c r="Z7" s="386"/>
      <c r="AA7" s="386">
        <f>-AA6*$C$7</f>
        <v>-11854.440535902875</v>
      </c>
      <c r="AB7" s="386"/>
      <c r="AC7" s="386">
        <f>-AC6*$C$7</f>
        <v>-12150.801549300446</v>
      </c>
      <c r="AD7" s="386"/>
      <c r="AE7" s="386">
        <f>-AE6*$C$7</f>
        <v>-12454.571588032955</v>
      </c>
      <c r="AF7" s="386"/>
      <c r="AG7" s="386">
        <f>-AG6*$C$7</f>
        <v>-12765.935877733778</v>
      </c>
      <c r="AH7" s="376"/>
    </row>
    <row r="8" spans="1:34" ht="14.25">
      <c r="A8" s="376" t="s">
        <v>261</v>
      </c>
      <c r="B8" s="376"/>
      <c r="C8" s="407">
        <v>1.0249999999999999</v>
      </c>
      <c r="D8" s="376"/>
      <c r="E8" s="387">
        <f>Application!Z796</f>
        <v>4000</v>
      </c>
      <c r="F8" s="387"/>
      <c r="G8" s="387">
        <f>E8*$C$8</f>
        <v>4100</v>
      </c>
      <c r="H8" s="387"/>
      <c r="I8" s="387">
        <f>G8*$C$8</f>
        <v>4202.5</v>
      </c>
      <c r="J8" s="387"/>
      <c r="K8" s="387">
        <f>I8*$C$8</f>
        <v>4307.5625</v>
      </c>
      <c r="L8" s="387"/>
      <c r="M8" s="387">
        <f>K8*$C$8</f>
        <v>4415.2515624999996</v>
      </c>
      <c r="N8" s="387"/>
      <c r="O8" s="387">
        <f>M8*$C$8</f>
        <v>4525.6328515624991</v>
      </c>
      <c r="P8" s="387"/>
      <c r="Q8" s="387">
        <f>O8*$C$8</f>
        <v>4638.7736728515611</v>
      </c>
      <c r="R8" s="387"/>
      <c r="S8" s="387">
        <f>Q8*$C$8</f>
        <v>4754.7430146728493</v>
      </c>
      <c r="T8" s="387"/>
      <c r="U8" s="387">
        <f>S8*$C$8</f>
        <v>4873.6115900396699</v>
      </c>
      <c r="V8" s="387"/>
      <c r="W8" s="387">
        <f>U8*$C$8</f>
        <v>4995.4518797906612</v>
      </c>
      <c r="X8" s="387"/>
      <c r="Y8" s="387">
        <f>W8*$C$8</f>
        <v>5120.3381767854271</v>
      </c>
      <c r="Z8" s="387"/>
      <c r="AA8" s="387">
        <f>Y8*$C$8</f>
        <v>5248.3466312050623</v>
      </c>
      <c r="AB8" s="387"/>
      <c r="AC8" s="387">
        <f>AA8*$C$8</f>
        <v>5379.5552969851888</v>
      </c>
      <c r="AD8" s="387"/>
      <c r="AE8" s="387">
        <f>AC8*$C$8</f>
        <v>5514.0441794098178</v>
      </c>
      <c r="AF8" s="387"/>
      <c r="AG8" s="387">
        <f>AE8*$C$8</f>
        <v>5651.8952838950627</v>
      </c>
      <c r="AH8" s="376"/>
    </row>
    <row r="9" spans="1:34" ht="14.25">
      <c r="A9" s="376"/>
      <c r="B9" s="376" t="s">
        <v>989</v>
      </c>
      <c r="C9" s="408">
        <f>IF(Application!$D$214="Special Needs",0.1,0.05)</f>
        <v>0.05</v>
      </c>
      <c r="D9" s="376"/>
      <c r="E9" s="386">
        <f>-E8*$C$9</f>
        <v>-200</v>
      </c>
      <c r="F9" s="386"/>
      <c r="G9" s="386">
        <f>-G8*$C$9</f>
        <v>-205</v>
      </c>
      <c r="H9" s="386"/>
      <c r="I9" s="386">
        <f>-I8*$C$9</f>
        <v>-210.125</v>
      </c>
      <c r="J9" s="386"/>
      <c r="K9" s="386">
        <f>-K8*$C$9</f>
        <v>-215.37812500000001</v>
      </c>
      <c r="L9" s="386"/>
      <c r="M9" s="386">
        <f>-M8*$C$9</f>
        <v>-220.762578125</v>
      </c>
      <c r="N9" s="386"/>
      <c r="O9" s="386">
        <f>-O8*$C$9</f>
        <v>-226.28164257812497</v>
      </c>
      <c r="P9" s="386"/>
      <c r="Q9" s="386">
        <f>-Q8*$C$9</f>
        <v>-231.93868364257807</v>
      </c>
      <c r="R9" s="386"/>
      <c r="S9" s="386">
        <f>-S8*$C$9</f>
        <v>-237.73715073364247</v>
      </c>
      <c r="T9" s="386"/>
      <c r="U9" s="386">
        <f>-U8*$C$9</f>
        <v>-243.68057950198352</v>
      </c>
      <c r="V9" s="386"/>
      <c r="W9" s="386">
        <f>-W8*$C$9</f>
        <v>-249.77259398953308</v>
      </c>
      <c r="X9" s="386"/>
      <c r="Y9" s="386">
        <f>-Y8*$C$9</f>
        <v>-256.01690883927137</v>
      </c>
      <c r="Z9" s="386"/>
      <c r="AA9" s="386">
        <f>-AA8*$C$9</f>
        <v>-262.4173315602531</v>
      </c>
      <c r="AB9" s="386"/>
      <c r="AC9" s="386">
        <f>-AC8*$C$9</f>
        <v>-268.97776484925947</v>
      </c>
      <c r="AD9" s="386"/>
      <c r="AE9" s="386">
        <f>-AE8*$C$9</f>
        <v>-275.70220897049091</v>
      </c>
      <c r="AF9" s="386"/>
      <c r="AG9" s="386">
        <f>-AG8*$C$9</f>
        <v>-282.59476419475317</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494000</v>
      </c>
      <c r="F11" s="388"/>
      <c r="G11" s="388">
        <f>SUM(G4:G10)</f>
        <v>506349.99999999994</v>
      </c>
      <c r="H11" s="388"/>
      <c r="I11" s="388">
        <f>SUM(I4:I10)</f>
        <v>519008.74999999988</v>
      </c>
      <c r="J11" s="388"/>
      <c r="K11" s="388">
        <f>SUM(K4:K10)</f>
        <v>531983.96874999977</v>
      </c>
      <c r="L11" s="388"/>
      <c r="M11" s="388">
        <f>SUM(M4:M10)</f>
        <v>545283.56796874991</v>
      </c>
      <c r="N11" s="388"/>
      <c r="O11" s="388">
        <f>SUM(O4:O10)</f>
        <v>558915.65716796857</v>
      </c>
      <c r="P11" s="388"/>
      <c r="Q11" s="388">
        <f>SUM(Q4:Q10)</f>
        <v>572888.54859716771</v>
      </c>
      <c r="R11" s="388"/>
      <c r="S11" s="388">
        <f>SUM(S4:S10)</f>
        <v>587210.76231209701</v>
      </c>
      <c r="T11" s="388"/>
      <c r="U11" s="388">
        <f>SUM(U4:U10)</f>
        <v>601891.03136989917</v>
      </c>
      <c r="V11" s="388"/>
      <c r="W11" s="388">
        <f>SUM(W4:W10)</f>
        <v>616938.30715414661</v>
      </c>
      <c r="X11" s="388"/>
      <c r="Y11" s="388">
        <f>SUM(Y4:Y10)</f>
        <v>632361.76483300026</v>
      </c>
      <c r="Z11" s="388"/>
      <c r="AA11" s="388">
        <f>SUM(AA4:AA10)</f>
        <v>648170.80895382515</v>
      </c>
      <c r="AB11" s="388"/>
      <c r="AC11" s="388">
        <f>SUM(AC4:AC10)</f>
        <v>664375.07917767088</v>
      </c>
      <c r="AD11" s="388"/>
      <c r="AE11" s="388">
        <f>SUM(AE4:AE10)</f>
        <v>680984.45615711249</v>
      </c>
      <c r="AF11" s="388"/>
      <c r="AG11" s="388">
        <f>SUM(AG4:AG10)</f>
        <v>698009.06756104017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21265</v>
      </c>
      <c r="F15" s="384"/>
      <c r="G15" s="384">
        <f t="shared" ref="G15:G21" si="0">E15*$C$14</f>
        <v>22009.274999999998</v>
      </c>
      <c r="H15" s="384"/>
      <c r="I15" s="384">
        <f t="shared" ref="I15:I21" si="1">G15*$C$14</f>
        <v>22779.599624999995</v>
      </c>
      <c r="J15" s="384"/>
      <c r="K15" s="384">
        <f t="shared" ref="K15:K21" si="2">I15*$C$14</f>
        <v>23576.885611874994</v>
      </c>
      <c r="L15" s="384"/>
      <c r="M15" s="384">
        <f t="shared" ref="M15:M21" si="3">K15*$C$14</f>
        <v>24402.076608290616</v>
      </c>
      <c r="N15" s="384"/>
      <c r="O15" s="384">
        <f t="shared" ref="O15:O21" si="4">M15*$C$14</f>
        <v>25256.149289580786</v>
      </c>
      <c r="P15" s="384"/>
      <c r="Q15" s="384">
        <f t="shared" ref="Q15:Q21" si="5">O15*$C$14</f>
        <v>26140.114514716111</v>
      </c>
      <c r="R15" s="384"/>
      <c r="S15" s="384">
        <f t="shared" ref="S15:S21" si="6">Q15*$C$14</f>
        <v>27055.018522731174</v>
      </c>
      <c r="T15" s="384"/>
      <c r="U15" s="384">
        <f t="shared" ref="U15:U21" si="7">S15*$C$14</f>
        <v>28001.944171026764</v>
      </c>
      <c r="V15" s="384"/>
      <c r="W15" s="384">
        <f t="shared" ref="W15:W21" si="8">U15*$C$14</f>
        <v>28982.0122170127</v>
      </c>
      <c r="X15" s="384"/>
      <c r="Y15" s="384">
        <f t="shared" ref="Y15:Y21" si="9">W15*$C$14</f>
        <v>29996.38264460814</v>
      </c>
      <c r="Z15" s="384"/>
      <c r="AA15" s="384">
        <f t="shared" ref="AA15:AA21" si="10">Y15*$C$14</f>
        <v>31046.256037169424</v>
      </c>
      <c r="AB15" s="384"/>
      <c r="AC15" s="384">
        <f t="shared" ref="AC15:AC21" si="11">AA15*$C$14</f>
        <v>32132.87499847035</v>
      </c>
      <c r="AD15" s="384"/>
      <c r="AE15" s="384">
        <f t="shared" ref="AE15:AE21" si="12">AC15*$C$14</f>
        <v>33257.525623416812</v>
      </c>
      <c r="AF15" s="384"/>
      <c r="AG15" s="384">
        <f t="shared" ref="AG15:AG21" si="13">AE15*$C$14</f>
        <v>34421.5390202364</v>
      </c>
      <c r="AH15" s="384"/>
    </row>
    <row r="16" spans="1:34" ht="14.25">
      <c r="A16" s="376" t="s">
        <v>469</v>
      </c>
      <c r="B16" s="376"/>
      <c r="C16" s="398"/>
      <c r="D16" s="376"/>
      <c r="E16" s="387">
        <f>Application!W828</f>
        <v>48504</v>
      </c>
      <c r="F16" s="387"/>
      <c r="G16" s="387">
        <f t="shared" si="0"/>
        <v>50201.64</v>
      </c>
      <c r="H16" s="387"/>
      <c r="I16" s="387">
        <f t="shared" si="1"/>
        <v>51958.697399999997</v>
      </c>
      <c r="J16" s="387"/>
      <c r="K16" s="387">
        <f t="shared" si="2"/>
        <v>53777.251808999994</v>
      </c>
      <c r="L16" s="387"/>
      <c r="M16" s="387">
        <f t="shared" si="3"/>
        <v>55659.455622314992</v>
      </c>
      <c r="N16" s="387"/>
      <c r="O16" s="387">
        <f t="shared" si="4"/>
        <v>57607.53656909601</v>
      </c>
      <c r="P16" s="387"/>
      <c r="Q16" s="387">
        <f t="shared" si="5"/>
        <v>59623.800349014367</v>
      </c>
      <c r="R16" s="387"/>
      <c r="S16" s="387">
        <f t="shared" si="6"/>
        <v>61710.633361229862</v>
      </c>
      <c r="T16" s="387"/>
      <c r="U16" s="387">
        <f t="shared" si="7"/>
        <v>63870.505528872905</v>
      </c>
      <c r="V16" s="387"/>
      <c r="W16" s="387">
        <f t="shared" si="8"/>
        <v>66105.973222383458</v>
      </c>
      <c r="X16" s="387"/>
      <c r="Y16" s="387">
        <f t="shared" si="9"/>
        <v>68419.682285166869</v>
      </c>
      <c r="Z16" s="387"/>
      <c r="AA16" s="387">
        <f t="shared" si="10"/>
        <v>70814.371165147706</v>
      </c>
      <c r="AB16" s="387"/>
      <c r="AC16" s="387">
        <f t="shared" si="11"/>
        <v>73292.874155927871</v>
      </c>
      <c r="AD16" s="387"/>
      <c r="AE16" s="387">
        <f t="shared" si="12"/>
        <v>75858.124751385345</v>
      </c>
      <c r="AF16" s="387"/>
      <c r="AG16" s="387">
        <f t="shared" si="13"/>
        <v>78513.159117683826</v>
      </c>
      <c r="AH16" s="376"/>
    </row>
    <row r="17" spans="1:34" ht="14.25">
      <c r="A17" s="376" t="s">
        <v>735</v>
      </c>
      <c r="B17" s="376"/>
      <c r="C17" s="398"/>
      <c r="D17" s="376"/>
      <c r="E17" s="387">
        <f>Application!W834</f>
        <v>41100</v>
      </c>
      <c r="F17" s="387"/>
      <c r="G17" s="387">
        <f t="shared" si="0"/>
        <v>42538.5</v>
      </c>
      <c r="H17" s="387"/>
      <c r="I17" s="387">
        <f t="shared" si="1"/>
        <v>44027.347499999996</v>
      </c>
      <c r="J17" s="387"/>
      <c r="K17" s="387">
        <f t="shared" si="2"/>
        <v>45568.304662499992</v>
      </c>
      <c r="L17" s="387"/>
      <c r="M17" s="387">
        <f t="shared" si="3"/>
        <v>47163.195325687484</v>
      </c>
      <c r="N17" s="387"/>
      <c r="O17" s="387">
        <f t="shared" si="4"/>
        <v>48813.907162086543</v>
      </c>
      <c r="P17" s="387"/>
      <c r="Q17" s="387">
        <f t="shared" si="5"/>
        <v>50522.393912759566</v>
      </c>
      <c r="R17" s="387"/>
      <c r="S17" s="387">
        <f t="shared" si="6"/>
        <v>52290.677699706146</v>
      </c>
      <c r="T17" s="387"/>
      <c r="U17" s="387">
        <f t="shared" si="7"/>
        <v>54120.85141919586</v>
      </c>
      <c r="V17" s="387"/>
      <c r="W17" s="387">
        <f t="shared" si="8"/>
        <v>56015.081218867708</v>
      </c>
      <c r="X17" s="387"/>
      <c r="Y17" s="387">
        <f t="shared" si="9"/>
        <v>57975.60906152807</v>
      </c>
      <c r="Z17" s="387"/>
      <c r="AA17" s="387">
        <f t="shared" si="10"/>
        <v>60004.755378681548</v>
      </c>
      <c r="AB17" s="387"/>
      <c r="AC17" s="387">
        <f t="shared" si="11"/>
        <v>62104.921816935399</v>
      </c>
      <c r="AD17" s="387"/>
      <c r="AE17" s="387">
        <f t="shared" si="12"/>
        <v>64278.594080528135</v>
      </c>
      <c r="AF17" s="387"/>
      <c r="AG17" s="387">
        <f t="shared" si="13"/>
        <v>66528.344873346621</v>
      </c>
      <c r="AH17" s="376"/>
    </row>
    <row r="18" spans="1:34" ht="14.25">
      <c r="A18" s="376" t="s">
        <v>1080</v>
      </c>
      <c r="B18" s="376"/>
      <c r="C18" s="398"/>
      <c r="D18" s="376"/>
      <c r="E18" s="387">
        <f>Application!W841</f>
        <v>128840</v>
      </c>
      <c r="F18" s="387"/>
      <c r="G18" s="387">
        <f t="shared" si="0"/>
        <v>133349.4</v>
      </c>
      <c r="H18" s="387"/>
      <c r="I18" s="387">
        <f t="shared" si="1"/>
        <v>138016.62899999999</v>
      </c>
      <c r="J18" s="387"/>
      <c r="K18" s="387">
        <f t="shared" si="2"/>
        <v>142847.21101499998</v>
      </c>
      <c r="L18" s="387"/>
      <c r="M18" s="387">
        <f t="shared" si="3"/>
        <v>147846.86340052498</v>
      </c>
      <c r="N18" s="387"/>
      <c r="O18" s="387">
        <f t="shared" si="4"/>
        <v>153021.50361954333</v>
      </c>
      <c r="P18" s="387"/>
      <c r="Q18" s="387">
        <f t="shared" si="5"/>
        <v>158377.25624622733</v>
      </c>
      <c r="R18" s="387"/>
      <c r="S18" s="387">
        <f t="shared" si="6"/>
        <v>163920.46021484528</v>
      </c>
      <c r="T18" s="387"/>
      <c r="U18" s="387">
        <f t="shared" si="7"/>
        <v>169657.67632236486</v>
      </c>
      <c r="V18" s="387"/>
      <c r="W18" s="387">
        <f t="shared" si="8"/>
        <v>175595.69499364763</v>
      </c>
      <c r="X18" s="387"/>
      <c r="Y18" s="387">
        <f t="shared" si="9"/>
        <v>181741.54431842529</v>
      </c>
      <c r="Z18" s="387"/>
      <c r="AA18" s="387">
        <f t="shared" si="10"/>
        <v>188102.49836957015</v>
      </c>
      <c r="AB18" s="387"/>
      <c r="AC18" s="387">
        <f t="shared" si="11"/>
        <v>194686.0858125051</v>
      </c>
      <c r="AD18" s="387"/>
      <c r="AE18" s="387">
        <f t="shared" si="12"/>
        <v>201500.09881594277</v>
      </c>
      <c r="AF18" s="387"/>
      <c r="AG18" s="387">
        <f t="shared" si="13"/>
        <v>208552.60227450074</v>
      </c>
    </row>
    <row r="19" spans="1:34" ht="14.25">
      <c r="A19" s="376" t="s">
        <v>932</v>
      </c>
      <c r="B19" s="376"/>
      <c r="C19" s="398"/>
      <c r="D19" s="376"/>
      <c r="E19" s="387">
        <f>Application!W842</f>
        <v>30000</v>
      </c>
      <c r="F19" s="387"/>
      <c r="G19" s="387">
        <f t="shared" si="0"/>
        <v>31049.999999999996</v>
      </c>
      <c r="H19" s="387"/>
      <c r="I19" s="387">
        <f t="shared" si="1"/>
        <v>32136.749999999993</v>
      </c>
      <c r="J19" s="387"/>
      <c r="K19" s="387">
        <f t="shared" si="2"/>
        <v>33261.53624999999</v>
      </c>
      <c r="L19" s="387"/>
      <c r="M19" s="387">
        <f t="shared" si="3"/>
        <v>34425.690018749985</v>
      </c>
      <c r="N19" s="387"/>
      <c r="O19" s="387">
        <f t="shared" si="4"/>
        <v>35630.58916940623</v>
      </c>
      <c r="P19" s="387"/>
      <c r="Q19" s="387">
        <f t="shared" si="5"/>
        <v>36877.659790335449</v>
      </c>
      <c r="R19" s="387"/>
      <c r="S19" s="387">
        <f t="shared" si="6"/>
        <v>38168.377882997185</v>
      </c>
      <c r="T19" s="387"/>
      <c r="U19" s="387">
        <f t="shared" si="7"/>
        <v>39504.271108902081</v>
      </c>
      <c r="V19" s="387"/>
      <c r="W19" s="387">
        <f t="shared" si="8"/>
        <v>40886.920597713652</v>
      </c>
      <c r="X19" s="387"/>
      <c r="Y19" s="387">
        <f t="shared" si="9"/>
        <v>42317.962818633627</v>
      </c>
      <c r="Z19" s="387"/>
      <c r="AA19" s="387">
        <f t="shared" si="10"/>
        <v>43799.0915172858</v>
      </c>
      <c r="AB19" s="387"/>
      <c r="AC19" s="387">
        <f t="shared" si="11"/>
        <v>45332.059720390796</v>
      </c>
      <c r="AD19" s="387"/>
      <c r="AE19" s="387">
        <f t="shared" si="12"/>
        <v>46918.681810604474</v>
      </c>
      <c r="AF19" s="387"/>
      <c r="AG19" s="387">
        <f t="shared" si="13"/>
        <v>48560.835673975627</v>
      </c>
    </row>
    <row r="20" spans="1:34" ht="14.25">
      <c r="A20" s="376" t="s">
        <v>55</v>
      </c>
      <c r="B20" s="376"/>
      <c r="C20" s="398"/>
      <c r="D20" s="376"/>
      <c r="E20" s="387">
        <f>Application!W851</f>
        <v>77291</v>
      </c>
      <c r="F20" s="387"/>
      <c r="G20" s="387">
        <f t="shared" si="0"/>
        <v>79996.184999999998</v>
      </c>
      <c r="H20" s="387"/>
      <c r="I20" s="387">
        <f t="shared" si="1"/>
        <v>82796.051474999986</v>
      </c>
      <c r="J20" s="387"/>
      <c r="K20" s="387">
        <f t="shared" si="2"/>
        <v>85693.913276624982</v>
      </c>
      <c r="L20" s="387"/>
      <c r="M20" s="387">
        <f t="shared" si="3"/>
        <v>88693.200241306855</v>
      </c>
      <c r="N20" s="387"/>
      <c r="O20" s="387">
        <f t="shared" si="4"/>
        <v>91797.462249752585</v>
      </c>
      <c r="P20" s="387"/>
      <c r="Q20" s="387">
        <f t="shared" si="5"/>
        <v>95010.373428493913</v>
      </c>
      <c r="R20" s="387"/>
      <c r="S20" s="387">
        <f t="shared" si="6"/>
        <v>98335.736498491198</v>
      </c>
      <c r="T20" s="387"/>
      <c r="U20" s="387">
        <f t="shared" si="7"/>
        <v>101777.48727593839</v>
      </c>
      <c r="V20" s="387"/>
      <c r="W20" s="387">
        <f t="shared" si="8"/>
        <v>105339.69933059622</v>
      </c>
      <c r="X20" s="387"/>
      <c r="Y20" s="387">
        <f t="shared" si="9"/>
        <v>109026.58880716708</v>
      </c>
      <c r="Z20" s="387"/>
      <c r="AA20" s="387">
        <f t="shared" si="10"/>
        <v>112842.51941541792</v>
      </c>
      <c r="AB20" s="387"/>
      <c r="AC20" s="387">
        <f t="shared" si="11"/>
        <v>116792.00759495754</v>
      </c>
      <c r="AD20" s="387"/>
      <c r="AE20" s="387">
        <f t="shared" si="12"/>
        <v>120879.72786078104</v>
      </c>
      <c r="AF20" s="387"/>
      <c r="AG20" s="387">
        <f t="shared" si="13"/>
        <v>125110.51833590837</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347000</v>
      </c>
      <c r="F22" s="388"/>
      <c r="G22" s="388">
        <f>SUM(G15:G21)</f>
        <v>359145</v>
      </c>
      <c r="H22" s="388"/>
      <c r="I22" s="388">
        <f>SUM(I15:I21)</f>
        <v>371715.07499999995</v>
      </c>
      <c r="J22" s="388"/>
      <c r="K22" s="388">
        <f>SUM(K15:K21)</f>
        <v>384725.10262499994</v>
      </c>
      <c r="L22" s="388"/>
      <c r="M22" s="388">
        <f>SUM(M15:M21)</f>
        <v>398190.4812168749</v>
      </c>
      <c r="N22" s="388"/>
      <c r="O22" s="388">
        <f>SUM(O15:O21)</f>
        <v>412127.14805946546</v>
      </c>
      <c r="P22" s="388"/>
      <c r="Q22" s="388">
        <f>SUM(Q15:Q21)</f>
        <v>426551.59824154672</v>
      </c>
      <c r="R22" s="388"/>
      <c r="S22" s="388">
        <f>SUM(S15:S21)</f>
        <v>441480.90418000083</v>
      </c>
      <c r="T22" s="388"/>
      <c r="U22" s="388">
        <f>SUM(U15:U21)</f>
        <v>456932.73582630081</v>
      </c>
      <c r="V22" s="388"/>
      <c r="W22" s="388">
        <f>SUM(W15:W21)</f>
        <v>472925.38158022135</v>
      </c>
      <c r="X22" s="388"/>
      <c r="Y22" s="388">
        <f>SUM(Y15:Y21)</f>
        <v>489477.7699355291</v>
      </c>
      <c r="Z22" s="388"/>
      <c r="AA22" s="388">
        <f>SUM(AA15:AA21)</f>
        <v>506609.49188327254</v>
      </c>
      <c r="AB22" s="388"/>
      <c r="AC22" s="388">
        <f>SUM(AC15:AC21)</f>
        <v>524340.82409918704</v>
      </c>
      <c r="AD22" s="388"/>
      <c r="AE22" s="388">
        <f>SUM(AE15:AE21)</f>
        <v>542692.75294265861</v>
      </c>
      <c r="AF22" s="388"/>
      <c r="AG22" s="388">
        <f>SUM(AG15:AG21)</f>
        <v>561686.99929565168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v>
      </c>
      <c r="D27" s="376"/>
      <c r="E27" s="387">
        <f>Application!AC867</f>
        <v>15500</v>
      </c>
      <c r="F27" s="387"/>
      <c r="G27" s="387">
        <f>E27*$C$27</f>
        <v>15500</v>
      </c>
      <c r="H27" s="387"/>
      <c r="I27" s="387">
        <f>G27*$C$27</f>
        <v>15500</v>
      </c>
      <c r="J27" s="387"/>
      <c r="K27" s="387">
        <f>I27*$C$27</f>
        <v>15500</v>
      </c>
      <c r="L27" s="387"/>
      <c r="M27" s="387">
        <f>K27*$C$27</f>
        <v>15500</v>
      </c>
      <c r="N27" s="387"/>
      <c r="O27" s="387">
        <f>M27*$C$27</f>
        <v>15500</v>
      </c>
      <c r="P27" s="387"/>
      <c r="Q27" s="387">
        <f>O27*$C$27</f>
        <v>15500</v>
      </c>
      <c r="R27" s="387"/>
      <c r="S27" s="387">
        <f>Q27*$C$27</f>
        <v>15500</v>
      </c>
      <c r="T27" s="387"/>
      <c r="U27" s="387">
        <f>S27*$C$27</f>
        <v>15500</v>
      </c>
      <c r="V27" s="387"/>
      <c r="W27" s="387">
        <f>U27*$C$27</f>
        <v>15500</v>
      </c>
      <c r="X27" s="387"/>
      <c r="Y27" s="387">
        <f>W27*$C$27</f>
        <v>15500</v>
      </c>
      <c r="Z27" s="387"/>
      <c r="AA27" s="387">
        <f>Y27*$C$27</f>
        <v>15500</v>
      </c>
      <c r="AB27" s="387"/>
      <c r="AC27" s="387">
        <f>AA27*$C$27</f>
        <v>15500</v>
      </c>
      <c r="AD27" s="387"/>
      <c r="AE27" s="387">
        <f>AC27*$C$27</f>
        <v>15500</v>
      </c>
      <c r="AF27" s="387"/>
      <c r="AG27" s="387">
        <f>AE27*$C$27</f>
        <v>15500</v>
      </c>
    </row>
    <row r="28" spans="1:34" ht="14.25">
      <c r="A28" s="599" t="s">
        <v>1083</v>
      </c>
      <c r="B28" s="376"/>
      <c r="C28" s="407"/>
      <c r="D28" s="376"/>
      <c r="E28" s="387">
        <f>Application!AC868</f>
        <v>13200</v>
      </c>
      <c r="F28" s="387"/>
      <c r="G28" s="387">
        <f>$E$28</f>
        <v>13200</v>
      </c>
      <c r="H28" s="387"/>
      <c r="I28" s="387">
        <f>$E$28</f>
        <v>13200</v>
      </c>
      <c r="J28" s="387"/>
      <c r="K28" s="387">
        <f>$E$28</f>
        <v>13200</v>
      </c>
      <c r="L28" s="387"/>
      <c r="M28" s="387">
        <f>$E$28</f>
        <v>13200</v>
      </c>
      <c r="N28" s="387"/>
      <c r="O28" s="387">
        <f>$E$28</f>
        <v>13200</v>
      </c>
      <c r="P28" s="387"/>
      <c r="Q28" s="387">
        <f>$E$28</f>
        <v>13200</v>
      </c>
      <c r="R28" s="387"/>
      <c r="S28" s="387">
        <f>$E$28</f>
        <v>13200</v>
      </c>
      <c r="T28" s="387"/>
      <c r="U28" s="387">
        <f>$E$28</f>
        <v>13200</v>
      </c>
      <c r="V28" s="387"/>
      <c r="W28" s="387">
        <f>$E$28</f>
        <v>13200</v>
      </c>
      <c r="X28" s="387"/>
      <c r="Y28" s="387">
        <f>$E$28</f>
        <v>13200</v>
      </c>
      <c r="Z28" s="387"/>
      <c r="AA28" s="387">
        <f>$E$28</f>
        <v>13200</v>
      </c>
      <c r="AB28" s="387"/>
      <c r="AC28" s="387">
        <f>$E$28</f>
        <v>13200</v>
      </c>
      <c r="AD28" s="387"/>
      <c r="AE28" s="387">
        <f>$E$28</f>
        <v>13200</v>
      </c>
      <c r="AF28" s="387"/>
      <c r="AG28" s="387">
        <f>$E$28</f>
        <v>13200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Real Estate Special Assessments</v>
      </c>
      <c r="B32" s="376"/>
      <c r="C32" s="488">
        <v>1.02</v>
      </c>
      <c r="D32" s="376"/>
      <c r="E32" s="387">
        <f>Application!AC872</f>
        <v>2500</v>
      </c>
      <c r="F32" s="387"/>
      <c r="G32" s="387">
        <f>E32*$C$32</f>
        <v>2550</v>
      </c>
      <c r="H32" s="387"/>
      <c r="I32" s="387">
        <f>G32*$C$32</f>
        <v>2601</v>
      </c>
      <c r="J32" s="387"/>
      <c r="K32" s="387">
        <f>I32*$C$32</f>
        <v>2653.02</v>
      </c>
      <c r="L32" s="387"/>
      <c r="M32" s="387">
        <f>K32*$C$32</f>
        <v>2706.0803999999998</v>
      </c>
      <c r="N32" s="387"/>
      <c r="O32" s="387">
        <f>M32*$C$32</f>
        <v>2760.2020079999998</v>
      </c>
      <c r="P32" s="387"/>
      <c r="Q32" s="387">
        <f>O32*$C$32</f>
        <v>2815.40604816</v>
      </c>
      <c r="R32" s="387"/>
      <c r="S32" s="387">
        <f>Q32*$C$32</f>
        <v>2871.7141691232</v>
      </c>
      <c r="T32" s="387"/>
      <c r="U32" s="387">
        <f>S32*$C$32</f>
        <v>2929.148452505664</v>
      </c>
      <c r="V32" s="387"/>
      <c r="W32" s="387">
        <f>U32*$C$32</f>
        <v>2987.7314215557772</v>
      </c>
      <c r="X32" s="387"/>
      <c r="Y32" s="387">
        <f>W32*$C$32</f>
        <v>3047.4860499868928</v>
      </c>
      <c r="Z32" s="387"/>
      <c r="AA32" s="387">
        <f>Y32*$C$32</f>
        <v>3108.4357709866308</v>
      </c>
      <c r="AB32" s="387"/>
      <c r="AC32" s="387">
        <f>AA32*$C$32</f>
        <v>3170.6044864063633</v>
      </c>
      <c r="AD32" s="387"/>
      <c r="AE32" s="387">
        <f>AC32*$C$32</f>
        <v>3234.0165761344906</v>
      </c>
      <c r="AF32" s="387"/>
      <c r="AG32" s="387">
        <f>AE32*$C$32</f>
        <v>3298.6969076571804</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378200</v>
      </c>
      <c r="F35" s="388"/>
      <c r="G35" s="388">
        <f>SUM(G22:G33)</f>
        <v>390395</v>
      </c>
      <c r="H35" s="388"/>
      <c r="I35" s="388">
        <f>SUM(I22:I33)</f>
        <v>403016.07499999995</v>
      </c>
      <c r="J35" s="388"/>
      <c r="K35" s="388">
        <f>SUM(K22:K33)</f>
        <v>416078.12262499996</v>
      </c>
      <c r="L35" s="388"/>
      <c r="M35" s="388">
        <f>SUM(M22:M33)</f>
        <v>429596.56161687488</v>
      </c>
      <c r="N35" s="388"/>
      <c r="O35" s="388">
        <f>SUM(O22:O33)</f>
        <v>443587.35006746545</v>
      </c>
      <c r="P35" s="388"/>
      <c r="Q35" s="388">
        <f>SUM(Q22:Q33)</f>
        <v>458067.0042897067</v>
      </c>
      <c r="R35" s="388"/>
      <c r="S35" s="388">
        <f>SUM(S22:S33)</f>
        <v>473052.61834912404</v>
      </c>
      <c r="T35" s="388"/>
      <c r="U35" s="388">
        <f>SUM(U22:U33)</f>
        <v>488561.88427880645</v>
      </c>
      <c r="V35" s="388"/>
      <c r="W35" s="388">
        <f>SUM(W22:W33)</f>
        <v>504613.11300177715</v>
      </c>
      <c r="X35" s="388"/>
      <c r="Y35" s="388">
        <f>SUM(Y22:Y33)</f>
        <v>521225.25598551601</v>
      </c>
      <c r="Z35" s="388"/>
      <c r="AA35" s="388">
        <f>SUM(AA22:AA33)</f>
        <v>538417.92765425914</v>
      </c>
      <c r="AB35" s="388"/>
      <c r="AC35" s="388">
        <f>SUM(AC22:AC33)</f>
        <v>556211.42858559336</v>
      </c>
      <c r="AD35" s="388"/>
      <c r="AE35" s="388">
        <f>SUM(AE22:AE33)</f>
        <v>574626.76951879309</v>
      </c>
      <c r="AF35" s="388"/>
      <c r="AG35" s="388">
        <f>SUM(AG22:AG33)</f>
        <v>593685.69620330888</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115800</v>
      </c>
      <c r="F37" s="388"/>
      <c r="G37" s="388">
        <f>G11-G35</f>
        <v>115954.99999999994</v>
      </c>
      <c r="H37" s="388"/>
      <c r="I37" s="388">
        <f>I11-I35</f>
        <v>115992.67499999993</v>
      </c>
      <c r="J37" s="388"/>
      <c r="K37" s="388">
        <f>K11-K35</f>
        <v>115905.84612499981</v>
      </c>
      <c r="L37" s="388"/>
      <c r="M37" s="388">
        <f>M11-M35</f>
        <v>115687.00635187502</v>
      </c>
      <c r="N37" s="388"/>
      <c r="O37" s="388">
        <f>O11-O35</f>
        <v>115328.30710050312</v>
      </c>
      <c r="P37" s="388"/>
      <c r="Q37" s="388">
        <f>Q11-Q35</f>
        <v>114821.54430746101</v>
      </c>
      <c r="R37" s="388"/>
      <c r="S37" s="388">
        <f>S11-S35</f>
        <v>114158.14396297297</v>
      </c>
      <c r="T37" s="388"/>
      <c r="U37" s="388">
        <f>U11-U35</f>
        <v>113329.14709109272</v>
      </c>
      <c r="V37" s="388"/>
      <c r="W37" s="388">
        <f>W11-W35</f>
        <v>112325.19415236945</v>
      </c>
      <c r="X37" s="388"/>
      <c r="Y37" s="388">
        <f>Y11-Y35</f>
        <v>111136.50884748425</v>
      </c>
      <c r="Z37" s="388"/>
      <c r="AA37" s="388">
        <f>AA11-AA35</f>
        <v>109752.88129956601</v>
      </c>
      <c r="AB37" s="388"/>
      <c r="AC37" s="388">
        <f>AC11-AC35</f>
        <v>108163.65059207752</v>
      </c>
      <c r="AD37" s="388"/>
      <c r="AE37" s="388">
        <f>AE11-AE35</f>
        <v>106357.6866383194</v>
      </c>
      <c r="AF37" s="388"/>
      <c r="AG37" s="388">
        <f>AG11-AG35</f>
        <v>104323.37135773129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USDA 515 Loans</v>
      </c>
      <c r="B40" s="391"/>
      <c r="C40" s="385"/>
      <c r="D40" s="376"/>
      <c r="E40" s="384">
        <f>Application!AF621</f>
        <v>75052</v>
      </c>
      <c r="F40" s="384"/>
      <c r="G40" s="384">
        <f>$E$40</f>
        <v>75052</v>
      </c>
      <c r="H40" s="384"/>
      <c r="I40" s="384">
        <f>$E$40</f>
        <v>75052</v>
      </c>
      <c r="J40" s="384"/>
      <c r="K40" s="384">
        <f>$E$40</f>
        <v>75052</v>
      </c>
      <c r="L40" s="384"/>
      <c r="M40" s="384">
        <f>$E$40</f>
        <v>75052</v>
      </c>
      <c r="N40" s="384"/>
      <c r="O40" s="384">
        <f>$E$40</f>
        <v>75052</v>
      </c>
      <c r="P40" s="384"/>
      <c r="Q40" s="384">
        <f>$E$40</f>
        <v>75052</v>
      </c>
      <c r="R40" s="384"/>
      <c r="S40" s="384">
        <f>$E$40</f>
        <v>75052</v>
      </c>
      <c r="T40" s="384"/>
      <c r="U40" s="384">
        <f>$E$40</f>
        <v>75052</v>
      </c>
      <c r="V40" s="384"/>
      <c r="W40" s="384">
        <f>$E$40</f>
        <v>75052</v>
      </c>
      <c r="X40" s="384"/>
      <c r="Y40" s="384">
        <f>$E$40</f>
        <v>75052</v>
      </c>
      <c r="Z40" s="384"/>
      <c r="AA40" s="384">
        <f>$E$40</f>
        <v>75052</v>
      </c>
      <c r="AB40" s="384"/>
      <c r="AC40" s="384">
        <f>$E$40</f>
        <v>75052</v>
      </c>
      <c r="AD40" s="384"/>
      <c r="AE40" s="384">
        <f>$E$40</f>
        <v>75052</v>
      </c>
      <c r="AF40" s="384"/>
      <c r="AG40" s="384">
        <f>$E$40</f>
        <v>75052</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75052</v>
      </c>
      <c r="F43" s="388"/>
      <c r="G43" s="388">
        <f>SUM(G40:G42)</f>
        <v>75052</v>
      </c>
      <c r="H43" s="388"/>
      <c r="I43" s="388">
        <f>SUM(I40:I42)</f>
        <v>75052</v>
      </c>
      <c r="J43" s="388"/>
      <c r="K43" s="388">
        <f>SUM(K40:K42)</f>
        <v>75052</v>
      </c>
      <c r="L43" s="388"/>
      <c r="M43" s="388">
        <f>SUM(M40:M42)</f>
        <v>75052</v>
      </c>
      <c r="N43" s="388"/>
      <c r="O43" s="388">
        <f>SUM(O40:O42)</f>
        <v>75052</v>
      </c>
      <c r="P43" s="388"/>
      <c r="Q43" s="388">
        <f>SUM(Q40:Q42)</f>
        <v>75052</v>
      </c>
      <c r="R43" s="388"/>
      <c r="S43" s="388">
        <f>SUM(S40:S42)</f>
        <v>75052</v>
      </c>
      <c r="T43" s="388"/>
      <c r="U43" s="388">
        <f>SUM(U40:U42)</f>
        <v>75052</v>
      </c>
      <c r="V43" s="388"/>
      <c r="W43" s="388">
        <f>SUM(W40:W42)</f>
        <v>75052</v>
      </c>
      <c r="X43" s="388"/>
      <c r="Y43" s="388">
        <f>SUM(Y40:Y42)</f>
        <v>75052</v>
      </c>
      <c r="Z43" s="388"/>
      <c r="AA43" s="388">
        <f>SUM(AA40:AA42)</f>
        <v>75052</v>
      </c>
      <c r="AB43" s="388"/>
      <c r="AC43" s="388">
        <f>SUM(AC40:AC42)</f>
        <v>75052</v>
      </c>
      <c r="AD43" s="388"/>
      <c r="AE43" s="388">
        <f>SUM(AE40:AE42)</f>
        <v>75052</v>
      </c>
      <c r="AF43" s="388"/>
      <c r="AG43" s="388">
        <f>SUM(AG40:AG42)</f>
        <v>75052</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40748</v>
      </c>
      <c r="F45" s="388"/>
      <c r="G45" s="388">
        <f>G37-G43</f>
        <v>40902.999999999942</v>
      </c>
      <c r="H45" s="388"/>
      <c r="I45" s="388">
        <f>I37-I43</f>
        <v>40940.67499999993</v>
      </c>
      <c r="J45" s="388"/>
      <c r="K45" s="388">
        <f>K37-K43</f>
        <v>40853.846124999807</v>
      </c>
      <c r="L45" s="388"/>
      <c r="M45" s="388">
        <f>M37-M43</f>
        <v>40635.006351875025</v>
      </c>
      <c r="N45" s="388"/>
      <c r="O45" s="388">
        <f>O37-O43</f>
        <v>40276.307100503123</v>
      </c>
      <c r="P45" s="388"/>
      <c r="Q45" s="388">
        <f>Q37-Q43</f>
        <v>39769.544307461008</v>
      </c>
      <c r="R45" s="388"/>
      <c r="S45" s="388">
        <f>S37-S43</f>
        <v>39106.143962972972</v>
      </c>
      <c r="T45" s="388"/>
      <c r="U45" s="388">
        <f>U37-U43</f>
        <v>38277.147091092716</v>
      </c>
      <c r="V45" s="388"/>
      <c r="W45" s="388">
        <f>W37-W43</f>
        <v>37273.194152369455</v>
      </c>
      <c r="X45" s="388"/>
      <c r="Y45" s="388">
        <f>Y37-Y43</f>
        <v>36084.508847484249</v>
      </c>
      <c r="Z45" s="388"/>
      <c r="AA45" s="388">
        <f>AA37-AA43</f>
        <v>34700.881299566012</v>
      </c>
      <c r="AB45" s="388"/>
      <c r="AC45" s="388">
        <f>AC37-AC43</f>
        <v>33111.650592077523</v>
      </c>
      <c r="AD45" s="388"/>
      <c r="AE45" s="388">
        <f>AE37-AE43</f>
        <v>31305.686638319399</v>
      </c>
      <c r="AF45" s="388"/>
      <c r="AG45" s="388">
        <f>AG37-AG43</f>
        <v>29271.371357731288</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7.8361538461538455E-2</v>
      </c>
      <c r="F47" s="392"/>
      <c r="G47" s="392">
        <f>G45/(G4+G6+G8)</f>
        <v>7.6741088180112466E-2</v>
      </c>
      <c r="H47" s="392"/>
      <c r="I47" s="392">
        <f>I45/(I4+I6+I8)</f>
        <v>7.4938315105477382E-2</v>
      </c>
      <c r="J47" s="392"/>
      <c r="K47" s="392">
        <f>K45/(K4+K6+K8)</f>
        <v>7.295549508746324E-2</v>
      </c>
      <c r="L47" s="392"/>
      <c r="M47" s="392">
        <f>M45/(M4+M6+M8)</f>
        <v>7.0794827319083306E-2</v>
      </c>
      <c r="N47" s="392"/>
      <c r="O47" s="392">
        <f>O45/(O4+O6+O8)</f>
        <v>6.8458435999725634E-2</v>
      </c>
      <c r="P47" s="392"/>
      <c r="Q47" s="392">
        <f>Q45/(Q4+Q6+Q8)</f>
        <v>6.5948371955771259E-2</v>
      </c>
      <c r="R47" s="392"/>
      <c r="S47" s="392">
        <f>S45/(S4+S6+S8)</f>
        <v>6.3266614219647105E-2</v>
      </c>
      <c r="T47" s="392"/>
      <c r="U47" s="392">
        <f>U45/(U4+U6+U8)</f>
        <v>6.0415071568312821E-2</v>
      </c>
      <c r="V47" s="392"/>
      <c r="W47" s="392">
        <f>W45/(W4+W6+W8)</f>
        <v>5.7395584022153529E-2</v>
      </c>
      <c r="X47" s="392"/>
      <c r="Y47" s="392">
        <f>Y45/(Y4+Y6+Y8)</f>
        <v>5.420992430521647E-2</v>
      </c>
      <c r="Z47" s="392"/>
      <c r="AA47" s="392">
        <f>AA45/(AA4+AA6+AA8)</f>
        <v>5.0859799267720732E-2</v>
      </c>
      <c r="AB47" s="392"/>
      <c r="AC47" s="392">
        <f>AC45/(AC4+AC6+AC8)</f>
        <v>4.7346851271736962E-2</v>
      </c>
      <c r="AD47" s="392"/>
      <c r="AE47" s="392">
        <f>AE45/(AE4+AE6+AE8)</f>
        <v>4.3672659540913081E-2</v>
      </c>
      <c r="AF47" s="392"/>
      <c r="AG47" s="392">
        <f>AG45/(AG4+AG6+AG8)</f>
        <v>3.9838741475106923E-2</v>
      </c>
      <c r="AH47" s="392"/>
      <c r="AI47" s="392"/>
    </row>
    <row r="48" spans="1:35" ht="14.25">
      <c r="A48" s="392" t="s">
        <v>1090</v>
      </c>
      <c r="B48" s="392"/>
      <c r="C48" s="385"/>
      <c r="D48" s="392"/>
      <c r="E48" s="392">
        <f>E45/E43</f>
        <v>0.54293023503704096</v>
      </c>
      <c r="F48" s="392"/>
      <c r="G48" s="392">
        <f>G45/G43</f>
        <v>0.54499546980759928</v>
      </c>
      <c r="H48" s="392"/>
      <c r="I48" s="392">
        <f>I45/I43</f>
        <v>0.5454974550977979</v>
      </c>
      <c r="J48" s="392"/>
      <c r="K48" s="392">
        <f>K45/K43</f>
        <v>0.54434053889303158</v>
      </c>
      <c r="L48" s="392"/>
      <c r="M48" s="392">
        <f>M45/M43</f>
        <v>0.54142469690181505</v>
      </c>
      <c r="N48" s="392"/>
      <c r="O48" s="392">
        <f>O45/O43</f>
        <v>0.53664535389467471</v>
      </c>
      <c r="P48" s="392"/>
      <c r="Q48" s="392">
        <f>Q45/Q43</f>
        <v>0.52989319814876368</v>
      </c>
      <c r="R48" s="392"/>
      <c r="S48" s="392">
        <f>S45/S43</f>
        <v>0.52105398874077935</v>
      </c>
      <c r="T48" s="392"/>
      <c r="U48" s="392">
        <f>U45/U43</f>
        <v>0.51000835542147738</v>
      </c>
      <c r="V48" s="392"/>
      <c r="W48" s="392">
        <f>W45/W43</f>
        <v>0.496631590795308</v>
      </c>
      <c r="X48" s="392"/>
      <c r="Y48" s="392">
        <f>Y45/Y43</f>
        <v>0.4807934345185238</v>
      </c>
      <c r="Z48" s="392"/>
      <c r="AA48" s="392">
        <f>AA45/AA43</f>
        <v>0.46235784921875517</v>
      </c>
      <c r="AB48" s="392"/>
      <c r="AC48" s="392">
        <f>AC45/AC43</f>
        <v>0.44118278782813947</v>
      </c>
      <c r="AD48" s="392"/>
      <c r="AE48" s="392">
        <f>AE45/AE43</f>
        <v>0.41711995201086444</v>
      </c>
      <c r="AF48" s="392"/>
      <c r="AG48" s="392">
        <f>AG45/AG43</f>
        <v>0.39001454135441144</v>
      </c>
      <c r="AH48" s="392"/>
      <c r="AI48" s="392"/>
    </row>
    <row r="49" spans="1:35" ht="14.25">
      <c r="A49" s="393" t="s">
        <v>1091</v>
      </c>
      <c r="B49" s="393"/>
      <c r="C49" s="394"/>
      <c r="D49" s="393"/>
      <c r="E49" s="393">
        <f>E37/E43</f>
        <v>1.5429302350370411</v>
      </c>
      <c r="F49" s="393"/>
      <c r="G49" s="393">
        <f>G37/G43</f>
        <v>1.5449954698075994</v>
      </c>
      <c r="H49" s="393"/>
      <c r="I49" s="393">
        <f>I37/I43</f>
        <v>1.545497455097798</v>
      </c>
      <c r="J49" s="393"/>
      <c r="K49" s="393">
        <f>K37/K43</f>
        <v>1.5443405388930316</v>
      </c>
      <c r="L49" s="393"/>
      <c r="M49" s="393">
        <f>M37/M43</f>
        <v>1.5414246969018151</v>
      </c>
      <c r="N49" s="393"/>
      <c r="O49" s="393">
        <f>O37/O43</f>
        <v>1.5366453538946747</v>
      </c>
      <c r="P49" s="393"/>
      <c r="Q49" s="393">
        <f>Q37/Q43</f>
        <v>1.5298931981487636</v>
      </c>
      <c r="R49" s="393"/>
      <c r="S49" s="393">
        <f>S37/S43</f>
        <v>1.5210539887407795</v>
      </c>
      <c r="T49" s="393"/>
      <c r="U49" s="393">
        <f>U37/U43</f>
        <v>1.5100083554214774</v>
      </c>
      <c r="V49" s="393"/>
      <c r="W49" s="393">
        <f>W37/W43</f>
        <v>1.4966315907953081</v>
      </c>
      <c r="X49" s="393"/>
      <c r="Y49" s="393">
        <f>Y37/Y43</f>
        <v>1.4807934345185239</v>
      </c>
      <c r="Z49" s="393"/>
      <c r="AA49" s="393">
        <f>AA37/AA43</f>
        <v>1.4623578492187552</v>
      </c>
      <c r="AB49" s="393"/>
      <c r="AC49" s="393">
        <f>AC37/AC43</f>
        <v>1.4411827878281396</v>
      </c>
      <c r="AD49" s="393"/>
      <c r="AE49" s="393">
        <f>AE37/AE43</f>
        <v>1.4171199520108644</v>
      </c>
      <c r="AF49" s="393"/>
      <c r="AG49" s="393">
        <f>AG37/AG43</f>
        <v>1.3900145413544114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40748</v>
      </c>
      <c r="F60" s="374"/>
      <c r="G60" s="374">
        <f>G45-G58</f>
        <v>40902.999999999942</v>
      </c>
      <c r="H60" s="374"/>
      <c r="I60" s="374">
        <f>I45-I58</f>
        <v>40940.67499999993</v>
      </c>
      <c r="J60" s="374"/>
      <c r="K60" s="374">
        <f>K45-K58</f>
        <v>40853.846124999807</v>
      </c>
      <c r="L60" s="374"/>
      <c r="M60" s="374">
        <f>M45-M58</f>
        <v>40635.006351875025</v>
      </c>
      <c r="N60" s="374"/>
      <c r="O60" s="374">
        <f>O45-O58</f>
        <v>40276.307100503123</v>
      </c>
      <c r="P60" s="374"/>
      <c r="Q60" s="374">
        <f>Q45-Q58</f>
        <v>39769.544307461008</v>
      </c>
      <c r="R60" s="374"/>
      <c r="S60" s="374">
        <f>S45-S58</f>
        <v>39106.143962972972</v>
      </c>
      <c r="T60" s="374"/>
      <c r="U60" s="374">
        <f>U45-U58</f>
        <v>38277.147091092716</v>
      </c>
      <c r="V60" s="374"/>
      <c r="W60" s="374">
        <f>W45-W58</f>
        <v>37273.194152369455</v>
      </c>
      <c r="X60" s="374"/>
      <c r="Y60" s="374">
        <f>Y45-Y58</f>
        <v>36084.508847484249</v>
      </c>
      <c r="Z60" s="374"/>
      <c r="AA60" s="374">
        <f>AA45-AA58</f>
        <v>34700.881299566012</v>
      </c>
      <c r="AB60" s="374"/>
      <c r="AC60" s="374">
        <f>AC45-AC58</f>
        <v>33111.650592077523</v>
      </c>
      <c r="AD60" s="374"/>
      <c r="AE60" s="374">
        <f>AE45-AE58</f>
        <v>31305.686638319399</v>
      </c>
      <c r="AF60" s="374"/>
      <c r="AG60" s="374">
        <f>AG45-AG58</f>
        <v>29271.371357731288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40748</v>
      </c>
      <c r="F72" s="380"/>
      <c r="G72" s="374">
        <f>G60-G62-G70</f>
        <v>40902.999999999942</v>
      </c>
      <c r="H72" s="380"/>
      <c r="I72" s="374">
        <f>I60-I62-I70</f>
        <v>40940.67499999993</v>
      </c>
      <c r="J72" s="380"/>
      <c r="K72" s="374">
        <f>K60-K62-K70</f>
        <v>40853.846124999807</v>
      </c>
      <c r="L72" s="380"/>
      <c r="M72" s="374">
        <f>M60-M62-M70</f>
        <v>40635.006351875025</v>
      </c>
      <c r="N72" s="380"/>
      <c r="O72" s="374">
        <f>O60-O62-O70</f>
        <v>40276.307100503123</v>
      </c>
      <c r="P72" s="380"/>
      <c r="Q72" s="374">
        <f>Q60-Q62-Q70</f>
        <v>39769.544307461008</v>
      </c>
      <c r="R72" s="380"/>
      <c r="S72" s="374">
        <f>S60-S62-S70</f>
        <v>39106.143962972972</v>
      </c>
      <c r="T72" s="380"/>
      <c r="U72" s="374">
        <f>U60-U62-U70</f>
        <v>38277.147091092716</v>
      </c>
      <c r="V72" s="380"/>
      <c r="W72" s="374">
        <f>W60-W62-W70</f>
        <v>37273.194152369455</v>
      </c>
      <c r="X72" s="380"/>
      <c r="Y72" s="374">
        <f>Y60-Y62-Y70</f>
        <v>36084.508847484249</v>
      </c>
      <c r="Z72" s="380"/>
      <c r="AA72" s="374">
        <f>AA60-AA62-AA70</f>
        <v>34700.881299566012</v>
      </c>
      <c r="AB72" s="380"/>
      <c r="AC72" s="374">
        <f>AC60-AC62-AC70</f>
        <v>33111.650592077523</v>
      </c>
      <c r="AD72" s="380"/>
      <c r="AE72" s="374">
        <f>AE60-AE62-AE70</f>
        <v>31305.686638319399</v>
      </c>
      <c r="AF72" s="380"/>
      <c r="AG72" s="374">
        <f>AG60-AG62-AG70</f>
        <v>29271.371357731288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1100</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E9" sqref="E9"/>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0" t="s">
        <v>1171</v>
      </c>
      <c r="B1" s="1960"/>
      <c r="C1" s="1960"/>
      <c r="D1" s="1960"/>
      <c r="E1" s="1960"/>
      <c r="F1" s="1960"/>
      <c r="G1" s="1960"/>
      <c r="H1" s="1960"/>
      <c r="I1" s="1960"/>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5</v>
      </c>
      <c r="C4" s="602">
        <f>Application!$O695</f>
        <v>355</v>
      </c>
      <c r="D4" s="603"/>
      <c r="E4" s="942">
        <v>1000</v>
      </c>
      <c r="F4" s="602">
        <f>$E4*$B4</f>
        <v>5000</v>
      </c>
      <c r="G4" s="603"/>
      <c r="H4" s="602">
        <f>IF($E4=0,0,MAX($E4-$C4,0))</f>
        <v>645</v>
      </c>
      <c r="I4" s="602">
        <f>IF($H4=0,0,($H4*$B4))</f>
        <v>3225</v>
      </c>
    </row>
    <row r="5" spans="1:9">
      <c r="A5" s="602" t="str">
        <f>Application!$B696</f>
        <v>1 Bedroom</v>
      </c>
      <c r="B5" s="943">
        <f>Application!$G696</f>
        <v>5</v>
      </c>
      <c r="C5" s="602">
        <f>Application!$O696</f>
        <v>587</v>
      </c>
      <c r="D5" s="603"/>
      <c r="E5" s="942">
        <v>1000</v>
      </c>
      <c r="F5" s="602">
        <f t="shared" ref="F5:F38" si="0">$E5*$B5</f>
        <v>5000</v>
      </c>
      <c r="G5" s="603"/>
      <c r="H5" s="602">
        <f t="shared" ref="H5:H38" si="1">IF($E5=0,0,MAX($E5-$C5,0))</f>
        <v>413</v>
      </c>
      <c r="I5" s="602">
        <f t="shared" ref="I5:I38" si="2">IF($H5=0,0,($H5*$B5))</f>
        <v>2065</v>
      </c>
    </row>
    <row r="6" spans="1:9">
      <c r="A6" s="602" t="str">
        <f>Application!$B697</f>
        <v>1 Bedroom</v>
      </c>
      <c r="B6" s="943">
        <f>Application!$G697</f>
        <v>22</v>
      </c>
      <c r="C6" s="602">
        <f>Application!$O697</f>
        <v>664</v>
      </c>
      <c r="D6" s="603"/>
      <c r="E6" s="942">
        <v>1000</v>
      </c>
      <c r="F6" s="602">
        <f t="shared" si="0"/>
        <v>22000</v>
      </c>
      <c r="G6" s="603"/>
      <c r="H6" s="602">
        <f t="shared" si="1"/>
        <v>336</v>
      </c>
      <c r="I6" s="602">
        <f t="shared" si="2"/>
        <v>7392</v>
      </c>
    </row>
    <row r="7" spans="1:9">
      <c r="A7" s="602" t="str">
        <f>Application!$B698</f>
        <v>1 Bedroom</v>
      </c>
      <c r="B7" s="943">
        <f>Application!$G698</f>
        <v>5</v>
      </c>
      <c r="C7" s="602">
        <f>Application!$O698</f>
        <v>742</v>
      </c>
      <c r="D7" s="603"/>
      <c r="E7" s="942">
        <v>1000</v>
      </c>
      <c r="F7" s="602">
        <f t="shared" si="0"/>
        <v>5000</v>
      </c>
      <c r="G7" s="603"/>
      <c r="H7" s="602">
        <f t="shared" si="1"/>
        <v>258</v>
      </c>
      <c r="I7" s="602">
        <f t="shared" si="2"/>
        <v>1290</v>
      </c>
    </row>
    <row r="8" spans="1:9">
      <c r="A8" s="602" t="str">
        <f>Application!$B699</f>
        <v>1 Bedroom</v>
      </c>
      <c r="B8" s="943">
        <f>Application!$G699</f>
        <v>6</v>
      </c>
      <c r="C8" s="602">
        <f>Application!$O699</f>
        <v>819</v>
      </c>
      <c r="D8" s="603"/>
      <c r="E8" s="942">
        <v>1000</v>
      </c>
      <c r="F8" s="602">
        <f t="shared" si="0"/>
        <v>6000</v>
      </c>
      <c r="G8" s="603"/>
      <c r="H8" s="602">
        <f t="shared" si="1"/>
        <v>181</v>
      </c>
      <c r="I8" s="602">
        <f t="shared" si="2"/>
        <v>1086</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335304</v>
      </c>
      <c r="D40" s="603"/>
      <c r="E40" s="603"/>
      <c r="F40" s="606">
        <f>SUM(F4:F38)*12</f>
        <v>516000</v>
      </c>
      <c r="G40" s="607"/>
      <c r="H40" s="605"/>
      <c r="I40" s="606">
        <f>SUM(I4:I38)*12</f>
        <v>180696</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A3" sqref="A3"/>
    </sheetView>
  </sheetViews>
  <sheetFormatPr defaultColWidth="9.140625" defaultRowHeight="12.75"/>
  <cols>
    <col min="1" max="1" width="61.140625" style="339" customWidth="1"/>
    <col min="2" max="16384" width="9.140625" style="339"/>
  </cols>
  <sheetData>
    <row r="1" spans="1:1" ht="68.25" customHeight="1">
      <c r="A1" s="968" t="s">
        <v>2435</v>
      </c>
    </row>
    <row r="2" spans="1:1" ht="68.25" customHeight="1">
      <c r="A2" s="968" t="s">
        <v>2454</v>
      </c>
    </row>
    <row r="3" spans="1:1" ht="78.75" customHeight="1">
      <c r="A3" s="968" t="s">
        <v>2460</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1101</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1607</v>
      </c>
      <c r="U7" s="1599"/>
      <c r="V7" s="1599"/>
      <c r="W7" s="1599"/>
      <c r="X7" s="1599"/>
      <c r="Y7" s="1599" t="s">
        <v>1750</v>
      </c>
      <c r="Z7" s="1599"/>
      <c r="AA7" s="1599"/>
      <c r="AB7" s="1599"/>
      <c r="AC7" s="1599"/>
      <c r="AD7" s="1599" t="s">
        <v>1361</v>
      </c>
      <c r="AE7" s="1599"/>
      <c r="AF7" s="1599"/>
      <c r="AG7" s="1599"/>
      <c r="AH7" s="1599"/>
      <c r="AI7" s="1599" t="s">
        <v>1751</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7243942</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2125200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448</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1714</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769</v>
      </c>
      <c r="D14" s="1626"/>
      <c r="E14" s="1626"/>
      <c r="F14" s="1626"/>
      <c r="G14" s="1626"/>
      <c r="H14" s="1626"/>
      <c r="I14" s="1626"/>
      <c r="J14" s="1626"/>
      <c r="K14" s="1626"/>
      <c r="L14" s="1626"/>
      <c r="M14" s="1626"/>
      <c r="N14" s="1626"/>
      <c r="O14" s="1626"/>
      <c r="P14" s="1626"/>
      <c r="Q14" s="1626"/>
      <c r="R14" s="1626"/>
      <c r="S14" s="1627"/>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6" t="s">
        <v>770</v>
      </c>
      <c r="D15" s="1626"/>
      <c r="E15" s="1626"/>
      <c r="F15" s="1626"/>
      <c r="G15" s="1626"/>
      <c r="H15" s="1626"/>
      <c r="I15" s="1626"/>
      <c r="J15" s="1626"/>
      <c r="K15" s="1626"/>
      <c r="L15" s="1626"/>
      <c r="M15" s="1626"/>
      <c r="N15" s="1626"/>
      <c r="O15" s="1626"/>
      <c r="P15" s="1626"/>
      <c r="Q15" s="1626"/>
      <c r="R15" s="1626"/>
      <c r="S15" s="1627"/>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5" t="s">
        <v>1013</v>
      </c>
      <c r="D16" s="1625"/>
      <c r="E16" s="1625"/>
      <c r="F16" s="1625"/>
      <c r="G16" s="1625"/>
      <c r="H16" s="1625"/>
      <c r="I16" s="1625"/>
      <c r="J16" s="1625"/>
      <c r="K16" s="1625"/>
      <c r="L16" s="1625"/>
      <c r="M16" s="1625"/>
      <c r="N16" s="1625"/>
      <c r="O16" s="1625"/>
      <c r="P16" s="1625"/>
      <c r="Q16" s="1625"/>
      <c r="R16" s="1625"/>
      <c r="S16" s="1628"/>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6" t="s">
        <v>771</v>
      </c>
      <c r="D17" s="1626"/>
      <c r="E17" s="1626"/>
      <c r="F17" s="1626"/>
      <c r="G17" s="1626"/>
      <c r="H17" s="1626"/>
      <c r="I17" s="1626"/>
      <c r="J17" s="1626"/>
      <c r="K17" s="1626"/>
      <c r="L17" s="1626"/>
      <c r="M17" s="1626"/>
      <c r="N17" s="1626"/>
      <c r="O17" s="1626"/>
      <c r="P17" s="1626"/>
      <c r="Q17" s="1626"/>
      <c r="R17" s="1626"/>
      <c r="S17" s="1627"/>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5" t="s">
        <v>1365</v>
      </c>
      <c r="D18" s="1626"/>
      <c r="E18" s="1626"/>
      <c r="F18" s="1626"/>
      <c r="G18" s="1626"/>
      <c r="H18" s="1626"/>
      <c r="I18" s="1626"/>
      <c r="J18" s="1626"/>
      <c r="K18" s="1626"/>
      <c r="L18" s="1626"/>
      <c r="M18" s="1626"/>
      <c r="N18" s="1626"/>
      <c r="O18" s="1626"/>
      <c r="P18" s="1626"/>
      <c r="Q18" s="1626"/>
      <c r="R18" s="1626"/>
      <c r="S18" s="1627"/>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1713</v>
      </c>
      <c r="C21" s="1105"/>
      <c r="D21" s="1105"/>
      <c r="E21" s="1105"/>
      <c r="F21" s="1105"/>
      <c r="G21" s="1105"/>
      <c r="H21" s="1105"/>
      <c r="I21" s="1105"/>
      <c r="J21" s="1105"/>
      <c r="K21" s="1105"/>
      <c r="L21" s="1105"/>
      <c r="M21" s="1105"/>
      <c r="N21" s="1105"/>
      <c r="O21" s="1105"/>
      <c r="P21" s="1105"/>
      <c r="Q21" s="1105"/>
      <c r="R21" s="1105"/>
      <c r="S21" s="1107"/>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0</v>
      </c>
      <c r="AJ21" s="1183"/>
      <c r="AK21" s="1183"/>
      <c r="AL21" s="1183"/>
      <c r="AM21" s="1183"/>
    </row>
    <row r="22" spans="1:39" ht="12.95" customHeight="1">
      <c r="B22" s="1104" t="s">
        <v>773</v>
      </c>
      <c r="C22" s="1105"/>
      <c r="D22" s="1105"/>
      <c r="E22" s="1105"/>
      <c r="F22" s="1105"/>
      <c r="G22" s="1105"/>
      <c r="H22" s="1105"/>
      <c r="I22" s="1105"/>
      <c r="J22" s="1105"/>
      <c r="K22" s="1105"/>
      <c r="L22" s="1105"/>
      <c r="M22" s="1105"/>
      <c r="N22" s="1105"/>
      <c r="O22" s="1105"/>
      <c r="P22" s="1105"/>
      <c r="Q22" s="1105"/>
      <c r="R22" s="1105"/>
      <c r="S22" s="1107"/>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104" t="s">
        <v>774</v>
      </c>
      <c r="C23" s="1105"/>
      <c r="D23" s="1105"/>
      <c r="E23" s="1105"/>
      <c r="F23" s="1105"/>
      <c r="G23" s="1105"/>
      <c r="H23" s="1105"/>
      <c r="I23" s="1105"/>
      <c r="J23" s="1105"/>
      <c r="K23" s="1105"/>
      <c r="L23" s="1105"/>
      <c r="M23" s="1105"/>
      <c r="N23" s="1105"/>
      <c r="O23" s="1105"/>
      <c r="P23" s="1105"/>
      <c r="Q23" s="1105"/>
      <c r="R23" s="1105"/>
      <c r="S23" s="1107"/>
      <c r="T23" s="1596">
        <f>T11+T22</f>
        <v>7243942</v>
      </c>
      <c r="U23" s="1297"/>
      <c r="V23" s="1297"/>
      <c r="W23" s="1297"/>
      <c r="X23" s="1297"/>
      <c r="Y23" s="1596">
        <f>Y11+Y22</f>
        <v>0</v>
      </c>
      <c r="Z23" s="1297"/>
      <c r="AA23" s="1297"/>
      <c r="AB23" s="1297"/>
      <c r="AC23" s="1297"/>
      <c r="AD23" s="1596">
        <f>AD11+AD22</f>
        <v>2125200</v>
      </c>
      <c r="AE23" s="1297"/>
      <c r="AF23" s="1297"/>
      <c r="AG23" s="1297"/>
      <c r="AH23" s="1297"/>
      <c r="AI23" s="1596">
        <f>AI11+AI22</f>
        <v>0</v>
      </c>
      <c r="AJ23" s="1297"/>
      <c r="AK23" s="1297"/>
      <c r="AL23" s="1297"/>
      <c r="AM23" s="1297"/>
    </row>
    <row r="24" spans="1:39" ht="12.95" customHeight="1">
      <c r="B24" s="1104" t="s">
        <v>1219</v>
      </c>
      <c r="C24" s="1105"/>
      <c r="D24" s="1105"/>
      <c r="E24" s="1105"/>
      <c r="F24" s="1105"/>
      <c r="G24" s="1105"/>
      <c r="H24" s="1105"/>
      <c r="I24" s="1105"/>
      <c r="J24" s="1105"/>
      <c r="K24" s="1105"/>
      <c r="L24" s="1105"/>
      <c r="M24" s="1105"/>
      <c r="N24" s="1105"/>
      <c r="O24" s="1105"/>
      <c r="P24" s="1105"/>
      <c r="Q24" s="1105"/>
      <c r="R24" s="1105"/>
      <c r="S24" s="1107"/>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1749</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4" t="s">
        <v>775</v>
      </c>
      <c r="C26" s="1105"/>
      <c r="D26" s="1105"/>
      <c r="E26" s="1105"/>
      <c r="F26" s="1105"/>
      <c r="G26" s="1105"/>
      <c r="H26" s="1105"/>
      <c r="I26" s="1105"/>
      <c r="J26" s="1105"/>
      <c r="K26" s="1105"/>
      <c r="L26" s="1105"/>
      <c r="M26" s="1105"/>
      <c r="N26" s="1105"/>
      <c r="O26" s="1105"/>
      <c r="P26" s="1105"/>
      <c r="Q26" s="1105"/>
      <c r="R26" s="1105"/>
      <c r="S26" s="1107"/>
      <c r="T26" s="1095">
        <f>T23*T25</f>
        <v>7243942</v>
      </c>
      <c r="U26" s="1608"/>
      <c r="V26" s="1608"/>
      <c r="W26" s="1608"/>
      <c r="X26" s="1608"/>
      <c r="Y26" s="1095">
        <f>Y23*Y25</f>
        <v>0</v>
      </c>
      <c r="Z26" s="1608"/>
      <c r="AA26" s="1608"/>
      <c r="AB26" s="1608"/>
      <c r="AC26" s="1608"/>
      <c r="AD26" s="1095">
        <f>AD23*AD25</f>
        <v>2125200</v>
      </c>
      <c r="AE26" s="1608"/>
      <c r="AF26" s="1608"/>
      <c r="AG26" s="1608"/>
      <c r="AH26" s="1608"/>
      <c r="AI26" s="1095">
        <f>AI23*AI25</f>
        <v>0</v>
      </c>
      <c r="AJ26" s="1608"/>
      <c r="AK26" s="1608"/>
      <c r="AL26" s="1608"/>
      <c r="AM26" s="1608"/>
    </row>
    <row r="27" spans="1:39" ht="12.9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5">
        <f>IF(ISERROR((T26*T27)),0,(T26*T27))</f>
        <v>7243942</v>
      </c>
      <c r="U28" s="1608"/>
      <c r="V28" s="1608"/>
      <c r="W28" s="1608"/>
      <c r="X28" s="1608"/>
      <c r="Y28" s="1095">
        <f>IF(ISERROR((Y26*Y27)),0,(Y26*Y27))</f>
        <v>0</v>
      </c>
      <c r="Z28" s="1608"/>
      <c r="AA28" s="1608"/>
      <c r="AB28" s="1608"/>
      <c r="AC28" s="1608"/>
      <c r="AD28" s="1095">
        <f>IF(ISERROR((AD26*AD27)),0,(AD26*AD27))</f>
        <v>2125200</v>
      </c>
      <c r="AE28" s="1608"/>
      <c r="AF28" s="1608"/>
      <c r="AG28" s="1608"/>
      <c r="AH28" s="1608"/>
      <c r="AI28" s="1095">
        <f>IF(ISERROR((AI26*AI27)),0,(AI26*AI27))</f>
        <v>0</v>
      </c>
      <c r="AJ28" s="1608"/>
      <c r="AK28" s="1608"/>
      <c r="AL28" s="1608"/>
      <c r="AM28" s="1608"/>
    </row>
    <row r="29" spans="1:39" ht="12.9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9369142</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1606</v>
      </c>
      <c r="Z35" s="1599"/>
      <c r="AA35" s="1599"/>
      <c r="AB35" s="1599"/>
      <c r="AC35" s="1599"/>
      <c r="AD35" s="1228" t="s">
        <v>41</v>
      </c>
      <c r="AE35" s="1228"/>
      <c r="AF35" s="1228"/>
      <c r="AG35" s="1228"/>
      <c r="AH35" s="1228"/>
    </row>
    <row r="36" spans="1:40" ht="12.95" customHeight="1">
      <c r="B36" s="204"/>
      <c r="X36" s="71"/>
      <c r="Y36" s="1599"/>
      <c r="Z36" s="1599"/>
      <c r="AA36" s="1599"/>
      <c r="AB36" s="1599"/>
      <c r="AC36" s="1599"/>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0" ht="12.9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0</v>
      </c>
      <c r="Z38" s="1297"/>
      <c r="AA38" s="1297"/>
      <c r="AB38" s="1297"/>
      <c r="AC38" s="1297"/>
      <c r="AD38" s="1297">
        <f>IF(T24&gt;=(T23+Y23+AD23+AI23),AD28+AI28,0)</f>
        <v>0</v>
      </c>
      <c r="AE38" s="1297"/>
      <c r="AF38" s="1297"/>
      <c r="AG38" s="1297"/>
      <c r="AH38" s="1297"/>
    </row>
    <row r="39" spans="1:40" ht="12.95" customHeight="1">
      <c r="B39" s="1104" t="s">
        <v>766</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2">
        <v>0.09</v>
      </c>
      <c r="Z39" s="1962"/>
      <c r="AA39" s="1962"/>
      <c r="AB39" s="1962"/>
      <c r="AC39" s="1962"/>
      <c r="AD39" s="1595">
        <v>0.04</v>
      </c>
      <c r="AE39" s="1595"/>
      <c r="AF39" s="1595"/>
      <c r="AG39" s="1595"/>
      <c r="AH39" s="1595"/>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0</v>
      </c>
      <c r="Z40" s="1297"/>
      <c r="AA40" s="1297"/>
      <c r="AB40" s="1297"/>
      <c r="AC40" s="1297"/>
      <c r="AD40" s="1596">
        <f>ROUND(AD38*AD39,0)</f>
        <v>0</v>
      </c>
      <c r="AE40" s="1297"/>
      <c r="AF40" s="1297"/>
      <c r="AG40" s="1297"/>
      <c r="AH40" s="1297"/>
    </row>
    <row r="41" spans="1:40" ht="12.9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IF((Y40+AD40)&gt;2500000,2500000,Y40+AD40)</f>
        <v>0</v>
      </c>
      <c r="Z41" s="1598"/>
      <c r="AA41" s="1598"/>
      <c r="AB41" s="1598"/>
      <c r="AC41" s="1598"/>
      <c r="AD41" s="1598"/>
      <c r="AE41" s="1598"/>
      <c r="AF41" s="1598"/>
      <c r="AG41" s="1598"/>
      <c r="AH41" s="1596"/>
    </row>
    <row r="42" spans="1:40" ht="12.95" customHeight="1">
      <c r="A42" s="3"/>
      <c r="B42" s="1607" t="s">
        <v>1163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10897567</v>
      </c>
      <c r="AC46" s="1230"/>
      <c r="AD46" s="1230"/>
      <c r="AE46" s="1230"/>
      <c r="AF46" s="1231"/>
    </row>
    <row r="47" spans="1:40" ht="12.95" customHeight="1">
      <c r="D47" s="3" t="s">
        <v>838</v>
      </c>
      <c r="AB47" s="1229">
        <f>Application!AG633-MIN('Sources and Uses Budget'!B15,Application!AG385)</f>
        <v>0</v>
      </c>
      <c r="AC47" s="1230"/>
      <c r="AD47" s="1230"/>
      <c r="AE47" s="1230"/>
      <c r="AF47" s="1231"/>
    </row>
    <row r="48" spans="1:40" ht="12.95" customHeight="1">
      <c r="D48" s="3" t="s">
        <v>379</v>
      </c>
      <c r="AB48" s="1229">
        <f>AB46-AB47</f>
        <v>10897567</v>
      </c>
      <c r="AC48" s="1230"/>
      <c r="AD48" s="1230"/>
      <c r="AE48" s="1230"/>
      <c r="AF48" s="1231"/>
    </row>
    <row r="49" spans="1:40" ht="12.95" customHeight="1">
      <c r="D49" s="3" t="s">
        <v>873</v>
      </c>
      <c r="AA49" s="34"/>
      <c r="AB49" s="1602"/>
      <c r="AC49" s="1603"/>
      <c r="AD49" s="1603"/>
      <c r="AE49" s="1603"/>
      <c r="AF49" s="1604"/>
    </row>
    <row r="50" spans="1:40" s="323" customFormat="1" ht="12.95" customHeight="1">
      <c r="A50"/>
      <c r="B50"/>
      <c r="C50"/>
      <c r="D50"/>
      <c r="E50" s="1609" t="s">
        <v>1354</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562</v>
      </c>
      <c r="AB54" s="1229">
        <f>(AB53/10)</f>
        <v>0</v>
      </c>
      <c r="AC54" s="1230"/>
      <c r="AD54" s="1230"/>
      <c r="AE54" s="1230"/>
      <c r="AF54" s="1231"/>
    </row>
    <row r="55" spans="1:40" ht="12.95" customHeight="1">
      <c r="D55" s="3" t="s">
        <v>342</v>
      </c>
      <c r="AB55" s="1229">
        <f>(IF((Y41&lt;AB54),Y41,AB54))</f>
        <v>0</v>
      </c>
      <c r="AC55" s="1230"/>
      <c r="AD55" s="1230"/>
      <c r="AE55" s="1230"/>
      <c r="AF55" s="1231"/>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10897567</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1752</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6" t="s">
        <v>298</v>
      </c>
      <c r="Z62" s="1546"/>
      <c r="AA62" s="1546"/>
      <c r="AB62" s="1546"/>
      <c r="AC62" s="1546"/>
      <c r="AD62" s="1546" t="s">
        <v>41</v>
      </c>
      <c r="AE62" s="1546"/>
      <c r="AF62" s="1546"/>
      <c r="AG62" s="1546"/>
      <c r="AH62" s="1546"/>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7">
        <f>Y28</f>
        <v>0</v>
      </c>
      <c r="Z63" s="1605"/>
      <c r="AA63" s="1605"/>
      <c r="AB63" s="1605"/>
      <c r="AC63" s="1605"/>
      <c r="AD63" s="1297">
        <f>AI28</f>
        <v>0</v>
      </c>
      <c r="AE63" s="1605"/>
      <c r="AF63" s="1605"/>
      <c r="AG63" s="1605"/>
      <c r="AH63" s="1605"/>
    </row>
    <row r="64" spans="1:40" ht="12.95" customHeight="1">
      <c r="C64" s="3"/>
      <c r="E64" s="1594" t="s">
        <v>1290</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942</v>
      </c>
      <c r="Y67" s="1297">
        <f>ROUND(Y63*Y66,0)</f>
        <v>0</v>
      </c>
      <c r="Z67" s="1605"/>
      <c r="AA67" s="1605"/>
      <c r="AB67" s="1605"/>
      <c r="AC67" s="1605"/>
      <c r="AD67" s="1297">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2"/>
      <c r="AC70" s="1603"/>
      <c r="AD70" s="1603"/>
      <c r="AE70" s="1603"/>
      <c r="AF70" s="1604"/>
    </row>
    <row r="71" spans="1:34" ht="12.95" customHeight="1">
      <c r="A71" s="3"/>
      <c r="C71" s="3"/>
      <c r="D71" s="3"/>
      <c r="E71" s="1606" t="s">
        <v>1747</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943</v>
      </c>
      <c r="AB77" s="1600">
        <f>AB76*AB70</f>
        <v>0</v>
      </c>
      <c r="AC77" s="1600"/>
      <c r="AD77" s="1600"/>
      <c r="AE77" s="1600"/>
      <c r="AF77" s="1600"/>
    </row>
    <row r="78" spans="1:34" ht="12.95" customHeight="1">
      <c r="C78" s="3"/>
      <c r="D78" s="3"/>
      <c r="AB78" s="598"/>
      <c r="AC78" s="598"/>
      <c r="AD78" s="598"/>
      <c r="AE78" s="598"/>
      <c r="AF78" s="598"/>
    </row>
    <row r="79" spans="1:34" ht="12.95" customHeight="1">
      <c r="D79" s="3" t="s">
        <v>106</v>
      </c>
      <c r="AB79" s="1301">
        <f>AB48-(AB56+AB77)</f>
        <v>10897567</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1355</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1607</v>
      </c>
      <c r="U7" s="1599"/>
      <c r="V7" s="1599"/>
      <c r="W7" s="1599"/>
      <c r="X7" s="1599"/>
      <c r="Y7" s="1599" t="s">
        <v>1750</v>
      </c>
      <c r="Z7" s="1599"/>
      <c r="AA7" s="1599"/>
      <c r="AB7" s="1599"/>
      <c r="AC7" s="1599"/>
      <c r="AD7" s="1599" t="s">
        <v>1361</v>
      </c>
      <c r="AE7" s="1599"/>
      <c r="AF7" s="1599"/>
      <c r="AG7" s="1599"/>
      <c r="AH7" s="1599"/>
      <c r="AI7" s="1599" t="s">
        <v>1751</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7243942</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2125200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448</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1714</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769</v>
      </c>
      <c r="D14" s="1626"/>
      <c r="E14" s="1626"/>
      <c r="F14" s="1626"/>
      <c r="G14" s="1626"/>
      <c r="H14" s="1626"/>
      <c r="I14" s="1626"/>
      <c r="J14" s="1626"/>
      <c r="K14" s="1626"/>
      <c r="L14" s="1626"/>
      <c r="M14" s="1626"/>
      <c r="N14" s="1626"/>
      <c r="O14" s="1626"/>
      <c r="P14" s="1626"/>
      <c r="Q14" s="1626"/>
      <c r="R14" s="1626"/>
      <c r="S14" s="1627"/>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6" t="s">
        <v>770</v>
      </c>
      <c r="D15" s="1626"/>
      <c r="E15" s="1626"/>
      <c r="F15" s="1626"/>
      <c r="G15" s="1626"/>
      <c r="H15" s="1626"/>
      <c r="I15" s="1626"/>
      <c r="J15" s="1626"/>
      <c r="K15" s="1626"/>
      <c r="L15" s="1626"/>
      <c r="M15" s="1626"/>
      <c r="N15" s="1626"/>
      <c r="O15" s="1626"/>
      <c r="P15" s="1626"/>
      <c r="Q15" s="1626"/>
      <c r="R15" s="1626"/>
      <c r="S15" s="1627"/>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5" t="s">
        <v>1013</v>
      </c>
      <c r="D16" s="1625"/>
      <c r="E16" s="1625"/>
      <c r="F16" s="1625"/>
      <c r="G16" s="1625"/>
      <c r="H16" s="1625"/>
      <c r="I16" s="1625"/>
      <c r="J16" s="1625"/>
      <c r="K16" s="1625"/>
      <c r="L16" s="1625"/>
      <c r="M16" s="1625"/>
      <c r="N16" s="1625"/>
      <c r="O16" s="1625"/>
      <c r="P16" s="1625"/>
      <c r="Q16" s="1625"/>
      <c r="R16" s="1625"/>
      <c r="S16" s="1628"/>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6" t="s">
        <v>771</v>
      </c>
      <c r="D17" s="1626"/>
      <c r="E17" s="1626"/>
      <c r="F17" s="1626"/>
      <c r="G17" s="1626"/>
      <c r="H17" s="1626"/>
      <c r="I17" s="1626"/>
      <c r="J17" s="1626"/>
      <c r="K17" s="1626"/>
      <c r="L17" s="1626"/>
      <c r="M17" s="1626"/>
      <c r="N17" s="1626"/>
      <c r="O17" s="1626"/>
      <c r="P17" s="1626"/>
      <c r="Q17" s="1626"/>
      <c r="R17" s="1626"/>
      <c r="S17" s="1627"/>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5" t="s">
        <v>1365</v>
      </c>
      <c r="D18" s="1626"/>
      <c r="E18" s="1626"/>
      <c r="F18" s="1626"/>
      <c r="G18" s="1626"/>
      <c r="H18" s="1626"/>
      <c r="I18" s="1626"/>
      <c r="J18" s="1626"/>
      <c r="K18" s="1626"/>
      <c r="L18" s="1626"/>
      <c r="M18" s="1626"/>
      <c r="N18" s="1626"/>
      <c r="O18" s="1626"/>
      <c r="P18" s="1626"/>
      <c r="Q18" s="1626"/>
      <c r="R18" s="1626"/>
      <c r="S18" s="1627"/>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1713</v>
      </c>
      <c r="C21" s="1105"/>
      <c r="D21" s="1105"/>
      <c r="E21" s="1105"/>
      <c r="F21" s="1105"/>
      <c r="G21" s="1105"/>
      <c r="H21" s="1105"/>
      <c r="I21" s="1105"/>
      <c r="J21" s="1105"/>
      <c r="K21" s="1105"/>
      <c r="L21" s="1105"/>
      <c r="M21" s="1105"/>
      <c r="N21" s="1105"/>
      <c r="O21" s="1105"/>
      <c r="P21" s="1105"/>
      <c r="Q21" s="1105"/>
      <c r="R21" s="1105"/>
      <c r="S21" s="1107"/>
      <c r="T21" s="1168">
        <f>'Basis &amp; Credits'!T21</f>
        <v>0</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5" customHeight="1">
      <c r="B22" s="1104" t="s">
        <v>773</v>
      </c>
      <c r="C22" s="1105"/>
      <c r="D22" s="1105"/>
      <c r="E22" s="1105"/>
      <c r="F22" s="1105"/>
      <c r="G22" s="1105"/>
      <c r="H22" s="1105"/>
      <c r="I22" s="1105"/>
      <c r="J22" s="1105"/>
      <c r="K22" s="1105"/>
      <c r="L22" s="1105"/>
      <c r="M22" s="1105"/>
      <c r="N22" s="1105"/>
      <c r="O22" s="1105"/>
      <c r="P22" s="1105"/>
      <c r="Q22" s="1105"/>
      <c r="R22" s="1105"/>
      <c r="S22" s="1107"/>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104" t="s">
        <v>774</v>
      </c>
      <c r="C23" s="1105"/>
      <c r="D23" s="1105"/>
      <c r="E23" s="1105"/>
      <c r="F23" s="1105"/>
      <c r="G23" s="1105"/>
      <c r="H23" s="1105"/>
      <c r="I23" s="1105"/>
      <c r="J23" s="1105"/>
      <c r="K23" s="1105"/>
      <c r="L23" s="1105"/>
      <c r="M23" s="1105"/>
      <c r="N23" s="1105"/>
      <c r="O23" s="1105"/>
      <c r="P23" s="1105"/>
      <c r="Q23" s="1105"/>
      <c r="R23" s="1105"/>
      <c r="S23" s="1107"/>
      <c r="T23" s="1596">
        <f>T11+T22</f>
        <v>7243942</v>
      </c>
      <c r="U23" s="1297"/>
      <c r="V23" s="1297"/>
      <c r="W23" s="1297"/>
      <c r="X23" s="1297"/>
      <c r="Y23" s="1596">
        <f>Y11+Y22</f>
        <v>0</v>
      </c>
      <c r="Z23" s="1297"/>
      <c r="AA23" s="1297"/>
      <c r="AB23" s="1297"/>
      <c r="AC23" s="1297"/>
      <c r="AD23" s="1596">
        <f>AD11+AD22</f>
        <v>2125200</v>
      </c>
      <c r="AE23" s="1297"/>
      <c r="AF23" s="1297"/>
      <c r="AG23" s="1297"/>
      <c r="AH23" s="1297"/>
      <c r="AI23" s="1596">
        <f>AI11+AI22</f>
        <v>0</v>
      </c>
      <c r="AJ23" s="1297"/>
      <c r="AK23" s="1297"/>
      <c r="AL23" s="1297"/>
      <c r="AM23" s="1297"/>
    </row>
    <row r="24" spans="1:39" ht="12.95" customHeight="1">
      <c r="B24" s="1104" t="s">
        <v>1219</v>
      </c>
      <c r="C24" s="1105"/>
      <c r="D24" s="1105"/>
      <c r="E24" s="1105"/>
      <c r="F24" s="1105"/>
      <c r="G24" s="1105"/>
      <c r="H24" s="1105"/>
      <c r="I24" s="1105"/>
      <c r="J24" s="1105"/>
      <c r="K24" s="1105"/>
      <c r="L24" s="1105"/>
      <c r="M24" s="1105"/>
      <c r="N24" s="1105"/>
      <c r="O24" s="1105"/>
      <c r="P24" s="1105"/>
      <c r="Q24" s="1105"/>
      <c r="R24" s="1105"/>
      <c r="S24" s="1107"/>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1749</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4" t="s">
        <v>775</v>
      </c>
      <c r="C26" s="1105"/>
      <c r="D26" s="1105"/>
      <c r="E26" s="1105"/>
      <c r="F26" s="1105"/>
      <c r="G26" s="1105"/>
      <c r="H26" s="1105"/>
      <c r="I26" s="1105"/>
      <c r="J26" s="1105"/>
      <c r="K26" s="1105"/>
      <c r="L26" s="1105"/>
      <c r="M26" s="1105"/>
      <c r="N26" s="1105"/>
      <c r="O26" s="1105"/>
      <c r="P26" s="1105"/>
      <c r="Q26" s="1105"/>
      <c r="R26" s="1105"/>
      <c r="S26" s="1107"/>
      <c r="T26" s="1095">
        <f>T23*T25</f>
        <v>7243942</v>
      </c>
      <c r="U26" s="1608"/>
      <c r="V26" s="1608"/>
      <c r="W26" s="1608"/>
      <c r="X26" s="1608"/>
      <c r="Y26" s="1095">
        <f>Y23*Y25</f>
        <v>0</v>
      </c>
      <c r="Z26" s="1608"/>
      <c r="AA26" s="1608"/>
      <c r="AB26" s="1608"/>
      <c r="AC26" s="1608"/>
      <c r="AD26" s="1095">
        <f>AD23*AD25</f>
        <v>2125200</v>
      </c>
      <c r="AE26" s="1608"/>
      <c r="AF26" s="1608"/>
      <c r="AG26" s="1608"/>
      <c r="AH26" s="1608"/>
      <c r="AI26" s="1095">
        <f>AI23*AI25</f>
        <v>0</v>
      </c>
      <c r="AJ26" s="1608"/>
      <c r="AK26" s="1608"/>
      <c r="AL26" s="1608"/>
      <c r="AM26" s="1608"/>
    </row>
    <row r="27" spans="1:39" ht="12.9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5">
        <f>IF(ISERROR((T26*T27)),0,(T26*T27))</f>
        <v>7243942</v>
      </c>
      <c r="U28" s="1608"/>
      <c r="V28" s="1608"/>
      <c r="W28" s="1608"/>
      <c r="X28" s="1608"/>
      <c r="Y28" s="1095">
        <f>IF(ISERROR((Y26*Y27)),0,(Y26*Y27))</f>
        <v>0</v>
      </c>
      <c r="Z28" s="1608"/>
      <c r="AA28" s="1608"/>
      <c r="AB28" s="1608"/>
      <c r="AC28" s="1608"/>
      <c r="AD28" s="1095">
        <f>IF(ISERROR((AD26*AD27)),0,(AD26*AD27))</f>
        <v>2125200</v>
      </c>
      <c r="AE28" s="1608"/>
      <c r="AF28" s="1608"/>
      <c r="AG28" s="1608"/>
      <c r="AH28" s="1608"/>
      <c r="AI28" s="1095">
        <f>IF(ISERROR((AI26*AI27)),0,(AI26*AI27))</f>
        <v>0</v>
      </c>
      <c r="AJ28" s="1608"/>
      <c r="AK28" s="1608"/>
      <c r="AL28" s="1608"/>
      <c r="AM28" s="1608"/>
    </row>
    <row r="29" spans="1:39" ht="12.9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9369142</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1606</v>
      </c>
      <c r="Z35" s="1599"/>
      <c r="AA35" s="1599"/>
      <c r="AB35" s="1599"/>
      <c r="AC35" s="1599"/>
      <c r="AD35" s="1228" t="s">
        <v>41</v>
      </c>
      <c r="AE35" s="1228"/>
      <c r="AF35" s="1228"/>
      <c r="AG35" s="1228"/>
      <c r="AH35" s="1228"/>
    </row>
    <row r="36" spans="1:40" ht="12.95" customHeight="1">
      <c r="B36" s="204"/>
      <c r="X36" s="71"/>
      <c r="Y36" s="1599"/>
      <c r="Z36" s="1599"/>
      <c r="AA36" s="1599"/>
      <c r="AB36" s="1599"/>
      <c r="AC36" s="1599"/>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0" ht="12.9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0</v>
      </c>
      <c r="Z38" s="1297"/>
      <c r="AA38" s="1297"/>
      <c r="AB38" s="1297"/>
      <c r="AC38" s="1297"/>
      <c r="AD38" s="1297">
        <f>IF(T24&gt;=(T23+Y23+AD23+AI23),AD28+AI28,0)</f>
        <v>0</v>
      </c>
      <c r="AE38" s="1297"/>
      <c r="AF38" s="1297"/>
      <c r="AG38" s="1297"/>
      <c r="AH38" s="1297"/>
    </row>
    <row r="39" spans="1:40" ht="12.95" customHeight="1">
      <c r="B39" s="1104" t="s">
        <v>766</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2">
        <v>0.09</v>
      </c>
      <c r="Z39" s="1962"/>
      <c r="AA39" s="1962"/>
      <c r="AB39" s="1962"/>
      <c r="AC39" s="1962"/>
      <c r="AD39" s="1962">
        <f>'Basis &amp; Credits'!AD39:AH39</f>
        <v>0.04</v>
      </c>
      <c r="AE39" s="1962"/>
      <c r="AF39" s="1962"/>
      <c r="AG39" s="1962"/>
      <c r="AH39" s="1962"/>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0</v>
      </c>
      <c r="Z40" s="1297"/>
      <c r="AA40" s="1297"/>
      <c r="AB40" s="1297"/>
      <c r="AC40" s="1297"/>
      <c r="AD40" s="1596">
        <f>ROUND(AD38*AD39,0)</f>
        <v>0</v>
      </c>
      <c r="AE40" s="1297"/>
      <c r="AF40" s="1297"/>
      <c r="AG40" s="1297"/>
      <c r="AH40" s="1297"/>
    </row>
    <row r="41" spans="1:40" ht="12.9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IF((Y40+AD40)&gt;2500000,2500000,Y40+AD40)</f>
        <v>0</v>
      </c>
      <c r="Z41" s="1598"/>
      <c r="AA41" s="1598"/>
      <c r="AB41" s="1598"/>
      <c r="AC41" s="1598"/>
      <c r="AD41" s="1598"/>
      <c r="AE41" s="1598"/>
      <c r="AF41" s="1598"/>
      <c r="AG41" s="1598"/>
      <c r="AH41" s="1596"/>
    </row>
    <row r="42" spans="1:40" ht="12.95" customHeight="1">
      <c r="A42" s="3"/>
      <c r="B42" s="1607" t="s">
        <v>1163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10897567</v>
      </c>
      <c r="AC46" s="1230"/>
      <c r="AD46" s="1230"/>
      <c r="AE46" s="1230"/>
      <c r="AF46" s="1231"/>
    </row>
    <row r="47" spans="1:40" ht="12.95" customHeight="1">
      <c r="D47" s="3" t="s">
        <v>838</v>
      </c>
      <c r="AB47" s="1229">
        <f>Application!AG633-MIN('Sources and Uses Budget'!B15,Application!AG385)</f>
        <v>0</v>
      </c>
      <c r="AC47" s="1230"/>
      <c r="AD47" s="1230"/>
      <c r="AE47" s="1230"/>
      <c r="AF47" s="1231"/>
    </row>
    <row r="48" spans="1:40" ht="12.95" customHeight="1">
      <c r="D48" s="3" t="s">
        <v>379</v>
      </c>
      <c r="AB48" s="1229">
        <f>AB46-AB47</f>
        <v>10897567</v>
      </c>
      <c r="AC48" s="1230"/>
      <c r="AD48" s="1230"/>
      <c r="AE48" s="1230"/>
      <c r="AF48" s="1231"/>
    </row>
    <row r="49" spans="1:40" ht="12.95" customHeight="1">
      <c r="D49" s="3" t="s">
        <v>873</v>
      </c>
      <c r="AA49" s="34"/>
      <c r="AB49" s="1602"/>
      <c r="AC49" s="1603"/>
      <c r="AD49" s="1603"/>
      <c r="AE49" s="1603"/>
      <c r="AF49" s="1604"/>
    </row>
    <row r="50" spans="1:40" s="323" customFormat="1" ht="12.95" customHeight="1">
      <c r="A50"/>
      <c r="B50"/>
      <c r="C50"/>
      <c r="D50"/>
      <c r="E50" s="1609" t="s">
        <v>1354</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562</v>
      </c>
      <c r="AB54" s="1229">
        <f>(AB53/10)</f>
        <v>0</v>
      </c>
      <c r="AC54" s="1230"/>
      <c r="AD54" s="1230"/>
      <c r="AE54" s="1230"/>
      <c r="AF54" s="1231"/>
    </row>
    <row r="55" spans="1:40" ht="12.95" customHeight="1">
      <c r="D55" s="3" t="s">
        <v>342</v>
      </c>
      <c r="AB55" s="1963">
        <f>(IF((Y41&lt;AB54),Y41,AB54))</f>
        <v>0</v>
      </c>
      <c r="AC55" s="1964"/>
      <c r="AD55" s="1964"/>
      <c r="AE55" s="1964"/>
      <c r="AF55" s="1965"/>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10897567</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1752</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6" t="s">
        <v>298</v>
      </c>
      <c r="Z62" s="1546"/>
      <c r="AA62" s="1546"/>
      <c r="AB62" s="1546"/>
      <c r="AC62" s="1546"/>
      <c r="AD62" s="1546" t="s">
        <v>41</v>
      </c>
      <c r="AE62" s="1546"/>
      <c r="AF62" s="1546"/>
      <c r="AG62" s="1546"/>
      <c r="AH62" s="1546"/>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7">
        <f>Y28</f>
        <v>0</v>
      </c>
      <c r="Z63" s="1605"/>
      <c r="AA63" s="1605"/>
      <c r="AB63" s="1605"/>
      <c r="AC63" s="1605"/>
      <c r="AD63" s="1297">
        <f>AI28</f>
        <v>0</v>
      </c>
      <c r="AE63" s="1605"/>
      <c r="AF63" s="1605"/>
      <c r="AG63" s="1605"/>
      <c r="AH63" s="1605"/>
    </row>
    <row r="64" spans="1:40" ht="12.95" customHeight="1">
      <c r="C64" s="3"/>
      <c r="E64" s="1594" t="s">
        <v>1290</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942</v>
      </c>
      <c r="Y67" s="1297">
        <f>ROUND(Y63*Y66,0)</f>
        <v>0</v>
      </c>
      <c r="Z67" s="1605"/>
      <c r="AA67" s="1605"/>
      <c r="AB67" s="1605"/>
      <c r="AC67" s="1605"/>
      <c r="AD67" s="1297">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2"/>
      <c r="AC70" s="1603"/>
      <c r="AD70" s="1603"/>
      <c r="AE70" s="1603"/>
      <c r="AF70" s="1604"/>
    </row>
    <row r="71" spans="1:34" ht="12.95" customHeight="1">
      <c r="A71" s="3"/>
      <c r="C71" s="3"/>
      <c r="D71" s="3"/>
      <c r="E71" s="1606" t="s">
        <v>1747</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943</v>
      </c>
      <c r="AB77" s="1600">
        <f>AB76*AB70</f>
        <v>0</v>
      </c>
      <c r="AC77" s="1600"/>
      <c r="AD77" s="1600"/>
      <c r="AE77" s="1600"/>
      <c r="AF77" s="1600"/>
    </row>
    <row r="78" spans="1:34" ht="12.95" customHeight="1">
      <c r="C78" s="3"/>
      <c r="D78" s="3"/>
      <c r="AB78" s="598"/>
      <c r="AC78" s="598"/>
      <c r="AD78" s="598"/>
      <c r="AE78" s="598"/>
      <c r="AF78" s="598"/>
    </row>
    <row r="79" spans="1:34" ht="12.95" customHeight="1">
      <c r="D79" s="3" t="s">
        <v>106</v>
      </c>
      <c r="AB79" s="1301">
        <f>AB48-(AB56+AB77)</f>
        <v>10897567</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176000</v>
      </c>
      <c r="C5" s="329">
        <f>'Sources and Uses Budget'!C4</f>
        <v>176000</v>
      </c>
      <c r="D5" s="329">
        <f>'Sources and Uses Budget'!C4</f>
        <v>176000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176000</v>
      </c>
      <c r="C9" s="331">
        <f>SUM(C5:C8)</f>
        <v>176000</v>
      </c>
      <c r="D9" s="331">
        <f>SUM(D5:D8)</f>
        <v>176000</v>
      </c>
      <c r="E9" s="331">
        <f t="shared" si="0"/>
        <v>0</v>
      </c>
      <c r="F9" s="330"/>
      <c r="G9" s="330"/>
    </row>
    <row r="10" spans="1:7" s="568" customFormat="1" ht="12.75">
      <c r="A10" s="884" t="s">
        <v>586</v>
      </c>
      <c r="B10" s="329">
        <f>'Sources and Uses Budget'!C9</f>
        <v>2024000</v>
      </c>
      <c r="C10" s="329">
        <f>'Sources and Uses Budget'!C9</f>
        <v>2024000</v>
      </c>
      <c r="D10" s="329">
        <f>'Sources and Uses Budget'!C9</f>
        <v>2024000</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2024000</v>
      </c>
      <c r="C12" s="331">
        <f>SUM(C10:C11)</f>
        <v>2024000</v>
      </c>
      <c r="D12" s="331">
        <f>SUM(D10:D11)</f>
        <v>2024000</v>
      </c>
      <c r="E12" s="331">
        <f t="shared" si="0"/>
        <v>0</v>
      </c>
      <c r="F12" s="330"/>
      <c r="G12" s="330"/>
    </row>
    <row r="13" spans="1:7" s="568" customFormat="1" ht="12.75">
      <c r="A13" s="885" t="s">
        <v>712</v>
      </c>
      <c r="B13" s="331">
        <f>SUM(B9+B12)</f>
        <v>2200000</v>
      </c>
      <c r="C13" s="331">
        <f>SUM(C9+C12)</f>
        <v>2200000</v>
      </c>
      <c r="D13" s="331">
        <f>SUM(D9+D12)</f>
        <v>2200000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3520000</v>
      </c>
      <c r="C19" s="329">
        <f>'Sources and Uses Budget'!C18</f>
        <v>3520000</v>
      </c>
      <c r="D19" s="329">
        <f>'Sources and Uses Budget'!C18</f>
        <v>3520000</v>
      </c>
      <c r="E19" s="331">
        <f t="shared" ref="E19:E26" si="1">C19-B19</f>
        <v>0</v>
      </c>
      <c r="F19" s="330"/>
      <c r="G19" s="330"/>
    </row>
    <row r="20" spans="1:7" s="568" customFormat="1" ht="12.75">
      <c r="A20" s="239" t="s">
        <v>913</v>
      </c>
      <c r="B20" s="329">
        <f>'Sources and Uses Budget'!C19</f>
        <v>70400</v>
      </c>
      <c r="C20" s="329">
        <f>'Sources and Uses Budget'!C19</f>
        <v>70400</v>
      </c>
      <c r="D20" s="329">
        <f>'Sources and Uses Budget'!C19</f>
        <v>70400</v>
      </c>
      <c r="E20" s="331">
        <f t="shared" si="1"/>
        <v>0</v>
      </c>
      <c r="F20" s="330"/>
      <c r="G20" s="330"/>
    </row>
    <row r="21" spans="1:7" s="568" customFormat="1" ht="12.75">
      <c r="A21" s="239" t="s">
        <v>914</v>
      </c>
      <c r="B21" s="329">
        <f>'Sources and Uses Budget'!C20</f>
        <v>70400</v>
      </c>
      <c r="C21" s="329">
        <f>'Sources and Uses Budget'!C20</f>
        <v>70400</v>
      </c>
      <c r="D21" s="329">
        <f>'Sources and Uses Budget'!C20</f>
        <v>70400</v>
      </c>
      <c r="E21" s="331">
        <f t="shared" si="1"/>
        <v>0</v>
      </c>
      <c r="F21" s="330"/>
      <c r="G21" s="330"/>
    </row>
    <row r="22" spans="1:7" s="568" customFormat="1" ht="12.75">
      <c r="A22" s="239" t="s">
        <v>915</v>
      </c>
      <c r="B22" s="329">
        <f>'Sources and Uses Budget'!C21</f>
        <v>352000</v>
      </c>
      <c r="C22" s="329">
        <f>'Sources and Uses Budget'!C21</f>
        <v>352000</v>
      </c>
      <c r="D22" s="329">
        <f>'Sources and Uses Budget'!C21</f>
        <v>352000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250000</v>
      </c>
      <c r="C24" s="329">
        <f>'Sources and Uses Budget'!C23</f>
        <v>250000</v>
      </c>
      <c r="D24" s="329">
        <f>'Sources and Uses Budget'!C23</f>
        <v>250000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4262800</v>
      </c>
      <c r="C27" s="894">
        <f>'Sources and Uses Budget'!C26</f>
        <v>4262800</v>
      </c>
      <c r="D27" s="894">
        <f>'Sources and Uses Budget'!C26</f>
        <v>4262800</v>
      </c>
      <c r="E27" s="331">
        <f>C27-B27</f>
        <v>0</v>
      </c>
      <c r="F27" s="330"/>
      <c r="G27" s="330"/>
    </row>
    <row r="28" spans="1:7" s="568" customFormat="1" ht="12.75">
      <c r="A28" s="887" t="s">
        <v>918</v>
      </c>
      <c r="B28" s="329">
        <f>'Sources and Uses Budget'!C27</f>
        <v>600000</v>
      </c>
      <c r="C28" s="329">
        <f>'Sources and Uses Budget'!C27</f>
        <v>600000</v>
      </c>
      <c r="D28" s="329">
        <f>'Sources and Uses Budget'!C27</f>
        <v>600000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0</v>
      </c>
      <c r="C30" s="329">
        <f>'Sources and Uses Budget'!C29</f>
        <v>0</v>
      </c>
      <c r="D30" s="329">
        <f>'Sources and Uses Budget'!C29</f>
        <v>0</v>
      </c>
      <c r="E30" s="331">
        <f t="shared" si="0"/>
        <v>0</v>
      </c>
      <c r="F30" s="330"/>
      <c r="G30" s="330"/>
    </row>
    <row r="31" spans="1:7" s="568" customFormat="1" ht="12.75">
      <c r="A31" s="239" t="s">
        <v>912</v>
      </c>
      <c r="B31" s="329">
        <f>'Sources and Uses Budget'!C30</f>
        <v>0</v>
      </c>
      <c r="C31" s="329">
        <f>'Sources and Uses Budget'!C30</f>
        <v>0</v>
      </c>
      <c r="D31" s="329">
        <f>'Sources and Uses Budget'!C30</f>
        <v>0</v>
      </c>
      <c r="E31" s="331">
        <f t="shared" si="0"/>
        <v>0</v>
      </c>
      <c r="F31" s="330"/>
      <c r="G31" s="330"/>
    </row>
    <row r="32" spans="1:7" s="568" customFormat="1" ht="12.75">
      <c r="A32" s="239" t="s">
        <v>913</v>
      </c>
      <c r="B32" s="329">
        <f>'Sources and Uses Budget'!C31</f>
        <v>0</v>
      </c>
      <c r="C32" s="329">
        <f>'Sources and Uses Budget'!C31</f>
        <v>0</v>
      </c>
      <c r="D32" s="329">
        <f>'Sources and Uses Budget'!C31</f>
        <v>0</v>
      </c>
      <c r="E32" s="331">
        <f t="shared" si="0"/>
        <v>0</v>
      </c>
      <c r="F32" s="330"/>
      <c r="G32" s="330"/>
    </row>
    <row r="33" spans="1:7" s="568" customFormat="1" ht="12.75">
      <c r="A33" s="239" t="s">
        <v>914</v>
      </c>
      <c r="B33" s="329">
        <f>'Sources and Uses Budget'!C32</f>
        <v>0</v>
      </c>
      <c r="C33" s="329">
        <f>'Sources and Uses Budget'!C32</f>
        <v>0</v>
      </c>
      <c r="D33" s="329">
        <f>'Sources and Uses Budget'!C32</f>
        <v>0</v>
      </c>
      <c r="E33" s="331">
        <f t="shared" si="0"/>
        <v>0</v>
      </c>
      <c r="F33" s="330"/>
      <c r="G33" s="330"/>
    </row>
    <row r="34" spans="1:7" s="568" customFormat="1" ht="12.75">
      <c r="A34" s="239" t="s">
        <v>915</v>
      </c>
      <c r="B34" s="329">
        <f>'Sources and Uses Budget'!C33</f>
        <v>0</v>
      </c>
      <c r="C34" s="329">
        <f>'Sources and Uses Budget'!C33</f>
        <v>0</v>
      </c>
      <c r="D34" s="329">
        <f>'Sources and Uses Budget'!C33</f>
        <v>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0</v>
      </c>
      <c r="C36" s="329">
        <f>'Sources and Uses Budget'!C35</f>
        <v>0</v>
      </c>
      <c r="D36" s="329">
        <f>'Sources and Uses Budget'!C35</f>
        <v>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0</v>
      </c>
      <c r="C39" s="894">
        <f>'Sources and Uses Budget'!C38</f>
        <v>0</v>
      </c>
      <c r="D39" s="894">
        <f>'Sources and Uses Budget'!C38</f>
        <v>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90000</v>
      </c>
      <c r="C41" s="329">
        <f>'Sources and Uses Budget'!C40</f>
        <v>90000</v>
      </c>
      <c r="D41" s="329">
        <f>'Sources and Uses Budget'!C40</f>
        <v>90000</v>
      </c>
      <c r="E41" s="331">
        <f>C41-B41</f>
        <v>0</v>
      </c>
      <c r="F41" s="330"/>
      <c r="G41" s="330"/>
    </row>
    <row r="42" spans="1:7" s="568" customFormat="1" ht="12.75">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90000</v>
      </c>
      <c r="C43" s="894">
        <f>'Sources and Uses Budget'!C42</f>
        <v>90000</v>
      </c>
      <c r="D43" s="894">
        <f>'Sources and Uses Budget'!C42</f>
        <v>90000</v>
      </c>
      <c r="E43" s="331">
        <f>C43-B43</f>
        <v>0</v>
      </c>
      <c r="F43" s="330"/>
      <c r="G43" s="330"/>
    </row>
    <row r="44" spans="1:7" s="568" customFormat="1" ht="12.75">
      <c r="A44" s="887" t="s">
        <v>925</v>
      </c>
      <c r="B44" s="329">
        <f>'Sources and Uses Budget'!C43</f>
        <v>70000</v>
      </c>
      <c r="C44" s="329">
        <f>'Sources and Uses Budget'!C43</f>
        <v>70000</v>
      </c>
      <c r="D44" s="329">
        <f>'Sources and Uses Budget'!C43</f>
        <v>70000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450000</v>
      </c>
      <c r="C46" s="329">
        <f>'Sources and Uses Budget'!C45</f>
        <v>450000</v>
      </c>
      <c r="D46" s="329">
        <f>'Sources and Uses Budget'!C45</f>
        <v>450000</v>
      </c>
      <c r="E46" s="331">
        <f t="shared" si="0"/>
        <v>0</v>
      </c>
      <c r="F46" s="330"/>
      <c r="G46" s="330"/>
    </row>
    <row r="47" spans="1:7" s="568" customFormat="1" ht="12.75">
      <c r="A47" s="239" t="s">
        <v>928</v>
      </c>
      <c r="B47" s="329">
        <f>'Sources and Uses Budget'!C46</f>
        <v>55000</v>
      </c>
      <c r="C47" s="329">
        <f>'Sources and Uses Budget'!C46</f>
        <v>55000</v>
      </c>
      <c r="D47" s="329">
        <f>'Sources and Uses Budget'!C46</f>
        <v>55000</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75000</v>
      </c>
      <c r="C49" s="329">
        <f>'Sources and Uses Budget'!C48</f>
        <v>75000</v>
      </c>
      <c r="D49" s="329">
        <f>'Sources and Uses Budget'!C48</f>
        <v>75000</v>
      </c>
      <c r="E49" s="331">
        <f t="shared" si="0"/>
        <v>0</v>
      </c>
      <c r="F49" s="330"/>
      <c r="G49" s="330"/>
    </row>
    <row r="50" spans="1:7" s="568" customFormat="1" ht="12.75">
      <c r="A50" s="239" t="s">
        <v>933</v>
      </c>
      <c r="B50" s="329">
        <f>'Sources and Uses Budget'!C49</f>
        <v>40000</v>
      </c>
      <c r="C50" s="329">
        <f>'Sources and Uses Budget'!C49</f>
        <v>40000</v>
      </c>
      <c r="D50" s="329">
        <f>'Sources and Uses Budget'!C49</f>
        <v>40000</v>
      </c>
      <c r="E50" s="331">
        <f t="shared" si="0"/>
        <v>0</v>
      </c>
      <c r="F50" s="330"/>
      <c r="G50" s="330"/>
    </row>
    <row r="51" spans="1:7" s="568" customFormat="1" ht="12.75">
      <c r="A51" s="239" t="s">
        <v>931</v>
      </c>
      <c r="B51" s="329">
        <f>'Sources and Uses Budget'!C50</f>
        <v>5000</v>
      </c>
      <c r="C51" s="329">
        <f>'Sources and Uses Budget'!C50</f>
        <v>5000</v>
      </c>
      <c r="D51" s="329">
        <f>'Sources and Uses Budget'!C50</f>
        <v>5000</v>
      </c>
      <c r="E51" s="331">
        <f t="shared" si="0"/>
        <v>0</v>
      </c>
      <c r="F51" s="330"/>
      <c r="G51" s="330"/>
    </row>
    <row r="52" spans="1:7" s="569" customFormat="1" ht="12.75">
      <c r="A52" s="239" t="s">
        <v>932</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35000</v>
      </c>
      <c r="C53" s="329">
        <f>'Sources and Uses Budget'!C52</f>
        <v>35000</v>
      </c>
      <c r="D53" s="329">
        <f>'Sources and Uses Budget'!C52</f>
        <v>35000</v>
      </c>
      <c r="E53" s="331">
        <f t="shared" si="0"/>
        <v>0</v>
      </c>
      <c r="F53" s="330"/>
      <c r="G53" s="330"/>
    </row>
    <row r="54" spans="1:7" s="568" customFormat="1" ht="12.75">
      <c r="A54" s="243" t="s">
        <v>934</v>
      </c>
      <c r="B54" s="894">
        <f>'Sources and Uses Budget'!C53</f>
        <v>660000</v>
      </c>
      <c r="C54" s="894">
        <f>'Sources and Uses Budget'!C53</f>
        <v>660000</v>
      </c>
      <c r="D54" s="894">
        <f>'Sources and Uses Budget'!C53</f>
        <v>660000</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0</v>
      </c>
      <c r="C56" s="329">
        <f>'Sources and Uses Budget'!C55</f>
        <v>0</v>
      </c>
      <c r="D56" s="329">
        <f>'Sources and Uses Budget'!C55</f>
        <v>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0</v>
      </c>
      <c r="C58" s="329">
        <f>'Sources and Uses Budget'!C57</f>
        <v>0</v>
      </c>
      <c r="D58" s="329">
        <f>'Sources and Uses Budget'!C57</f>
        <v>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45000</v>
      </c>
      <c r="C61" s="329">
        <f>'Sources and Uses Budget'!C60</f>
        <v>45000</v>
      </c>
      <c r="D61" s="329">
        <f>'Sources and Uses Budget'!C60</f>
        <v>45000</v>
      </c>
      <c r="E61" s="331">
        <f t="shared" si="0"/>
        <v>0</v>
      </c>
      <c r="F61" s="330"/>
      <c r="G61" s="330"/>
    </row>
    <row r="62" spans="1:7" s="568" customFormat="1" ht="12.75">
      <c r="A62" s="887" t="s">
        <v>501</v>
      </c>
      <c r="B62" s="894">
        <f>'Sources and Uses Budget'!C61</f>
        <v>45000</v>
      </c>
      <c r="C62" s="894">
        <f>'Sources and Uses Budget'!C61</f>
        <v>45000</v>
      </c>
      <c r="D62" s="894">
        <f>'Sources and Uses Budget'!C61</f>
        <v>45000</v>
      </c>
      <c r="E62" s="331">
        <f t="shared" si="0"/>
        <v>0</v>
      </c>
      <c r="F62" s="330"/>
      <c r="G62" s="330"/>
    </row>
    <row r="63" spans="1:7" s="568" customFormat="1" ht="12.75">
      <c r="A63" s="890" t="s">
        <v>502</v>
      </c>
      <c r="B63" s="894">
        <f>'Sources and Uses Budget'!C62</f>
        <v>7927800</v>
      </c>
      <c r="C63" s="894">
        <f>'Sources and Uses Budget'!C62</f>
        <v>7927800</v>
      </c>
      <c r="D63" s="894">
        <f>'Sources and Uses Budget'!C62</f>
        <v>7927800</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1958</v>
      </c>
      <c r="B66" s="329">
        <f>'Sources and Uses Budget'!C65</f>
        <v>60000</v>
      </c>
      <c r="C66" s="329">
        <f>'Sources and Uses Budget'!C65</f>
        <v>60000</v>
      </c>
      <c r="D66" s="329">
        <f>'Sources and Uses Budget'!C65</f>
        <v>60000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300000</v>
      </c>
      <c r="C69" s="329">
        <f>'Sources and Uses Budget'!C68</f>
        <v>300000</v>
      </c>
      <c r="D69" s="329">
        <f>'Sources and Uses Budget'!C68</f>
        <v>300000</v>
      </c>
      <c r="E69" s="331">
        <f t="shared" si="0"/>
        <v>0</v>
      </c>
      <c r="F69" s="330"/>
      <c r="G69" s="330"/>
    </row>
    <row r="70" spans="1:7" s="568" customFormat="1" ht="12.75">
      <c r="A70" s="243" t="s">
        <v>1961</v>
      </c>
      <c r="B70" s="894">
        <f>'Sources and Uses Budget'!C69</f>
        <v>420000</v>
      </c>
      <c r="C70" s="894">
        <f>'Sources and Uses Budget'!C69</f>
        <v>420000</v>
      </c>
      <c r="D70" s="894">
        <f>'Sources and Uses Budget'!C69</f>
        <v>420000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200000</v>
      </c>
      <c r="C72" s="329">
        <f>'Sources and Uses Budget'!C71</f>
        <v>200000</v>
      </c>
      <c r="D72" s="329">
        <f>'Sources and Uses Budget'!C71</f>
        <v>200000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113314</v>
      </c>
      <c r="C75" s="329">
        <f>'Sources and Uses Budget'!C74</f>
        <v>113314</v>
      </c>
      <c r="D75" s="329">
        <f>'Sources and Uses Budget'!C74</f>
        <v>113314</v>
      </c>
      <c r="E75" s="331">
        <f>C75-B75</f>
        <v>0</v>
      </c>
      <c r="F75" s="330"/>
      <c r="G75" s="330"/>
    </row>
    <row r="76" spans="1:7" s="568" customFormat="1" ht="12.75">
      <c r="A76" s="892" t="s">
        <v>534</v>
      </c>
      <c r="B76" s="329">
        <f>'Sources and Uses Budget'!C75</f>
        <v>400000</v>
      </c>
      <c r="C76" s="329">
        <f>'Sources and Uses Budget'!C75</f>
        <v>400000</v>
      </c>
      <c r="D76" s="329">
        <f>'Sources and Uses Budget'!C75</f>
        <v>400000</v>
      </c>
      <c r="E76" s="331">
        <f>C76-B76</f>
        <v>0</v>
      </c>
      <c r="F76" s="330"/>
      <c r="G76" s="330"/>
    </row>
    <row r="77" spans="1:7" s="568" customFormat="1" ht="12.75">
      <c r="A77" s="887" t="s">
        <v>289</v>
      </c>
      <c r="B77" s="894">
        <f>'Sources and Uses Budget'!C76</f>
        <v>713314</v>
      </c>
      <c r="C77" s="894">
        <f>'Sources and Uses Budget'!C76</f>
        <v>713314</v>
      </c>
      <c r="D77" s="894">
        <f>'Sources and Uses Budget'!C76</f>
        <v>713314</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401280</v>
      </c>
      <c r="C79" s="329">
        <f>'Sources and Uses Budget'!C78</f>
        <v>401280</v>
      </c>
      <c r="D79" s="329">
        <f>'Sources and Uses Budget'!C78</f>
        <v>401280</v>
      </c>
      <c r="E79" s="331">
        <f t="shared" ref="E79:E105" si="2">C79-B79</f>
        <v>0</v>
      </c>
      <c r="F79" s="330"/>
      <c r="G79" s="330"/>
    </row>
    <row r="80" spans="1:7" s="568" customFormat="1" ht="12.75">
      <c r="A80" s="888" t="s">
        <v>539</v>
      </c>
      <c r="B80" s="329">
        <f>'Sources and Uses Budget'!C79</f>
        <v>100000</v>
      </c>
      <c r="C80" s="329">
        <f>'Sources and Uses Budget'!C79</f>
        <v>100000</v>
      </c>
      <c r="D80" s="329">
        <f>'Sources and Uses Budget'!C79</f>
        <v>100000</v>
      </c>
      <c r="E80" s="331">
        <f t="shared" si="2"/>
        <v>0</v>
      </c>
      <c r="F80" s="330"/>
      <c r="G80" s="330"/>
    </row>
    <row r="81" spans="1:7" s="568" customFormat="1" ht="12.75">
      <c r="A81" s="887" t="s">
        <v>1744</v>
      </c>
      <c r="B81" s="894">
        <f>'Sources and Uses Budget'!C80</f>
        <v>501280</v>
      </c>
      <c r="C81" s="894">
        <f>'Sources and Uses Budget'!C80</f>
        <v>501280</v>
      </c>
      <c r="D81" s="894">
        <f>'Sources and Uses Budget'!C80</f>
        <v>501280</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49609</v>
      </c>
      <c r="C83" s="329">
        <f>'Sources and Uses Budget'!C82</f>
        <v>49609</v>
      </c>
      <c r="D83" s="329">
        <f>'Sources and Uses Budget'!C82</f>
        <v>49609</v>
      </c>
      <c r="E83" s="331">
        <f t="shared" si="2"/>
        <v>0</v>
      </c>
      <c r="F83" s="330"/>
      <c r="G83" s="330"/>
    </row>
    <row r="84" spans="1:7" s="568" customFormat="1" ht="12.75">
      <c r="A84" s="239" t="s">
        <v>517</v>
      </c>
      <c r="B84" s="329">
        <f>'Sources and Uses Budget'!C83</f>
        <v>20000</v>
      </c>
      <c r="C84" s="329">
        <f>'Sources and Uses Budget'!C83</f>
        <v>20000</v>
      </c>
      <c r="D84" s="329">
        <f>'Sources and Uses Budget'!C83</f>
        <v>20000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25000</v>
      </c>
      <c r="C86" s="329">
        <f>'Sources and Uses Budget'!C85</f>
        <v>25000</v>
      </c>
      <c r="D86" s="329">
        <f>'Sources and Uses Budget'!C85</f>
        <v>25000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4502</v>
      </c>
      <c r="C88" s="329">
        <f>'Sources and Uses Budget'!C87</f>
        <v>4502</v>
      </c>
      <c r="D88" s="329">
        <f>'Sources and Uses Budget'!C87</f>
        <v>4502</v>
      </c>
      <c r="E88" s="331">
        <f t="shared" si="2"/>
        <v>0</v>
      </c>
      <c r="F88" s="330"/>
      <c r="G88" s="330"/>
    </row>
    <row r="89" spans="1:7" s="568" customFormat="1" ht="12.75">
      <c r="A89" s="239" t="s">
        <v>522</v>
      </c>
      <c r="B89" s="329">
        <f>'Sources and Uses Budget'!C88</f>
        <v>50000</v>
      </c>
      <c r="C89" s="329">
        <f>'Sources and Uses Budget'!C88</f>
        <v>50000</v>
      </c>
      <c r="D89" s="329">
        <f>'Sources and Uses Budget'!C88</f>
        <v>50000</v>
      </c>
      <c r="E89" s="331">
        <f t="shared" si="2"/>
        <v>0</v>
      </c>
      <c r="F89" s="330"/>
      <c r="G89" s="330"/>
    </row>
    <row r="90" spans="1:7" s="568" customFormat="1" ht="12.75">
      <c r="A90" s="239" t="s">
        <v>523</v>
      </c>
      <c r="B90" s="329">
        <f>'Sources and Uses Budget'!C89</f>
        <v>40000</v>
      </c>
      <c r="C90" s="329">
        <f>'Sources and Uses Budget'!C89</f>
        <v>40000</v>
      </c>
      <c r="D90" s="329">
        <f>'Sources and Uses Budget'!C89</f>
        <v>40000</v>
      </c>
      <c r="E90" s="331">
        <f t="shared" si="2"/>
        <v>0</v>
      </c>
      <c r="F90" s="330"/>
      <c r="G90" s="330"/>
    </row>
    <row r="91" spans="1:7" s="568" customFormat="1" ht="12.75">
      <c r="A91" s="250" t="s">
        <v>1316</v>
      </c>
      <c r="B91" s="329">
        <f>'Sources and Uses Budget'!C90</f>
        <v>60000</v>
      </c>
      <c r="C91" s="329">
        <f>'Sources and Uses Budget'!C90</f>
        <v>60000</v>
      </c>
      <c r="D91" s="329">
        <f>'Sources and Uses Budget'!C90</f>
        <v>60000</v>
      </c>
      <c r="E91" s="331">
        <f t="shared" si="2"/>
        <v>0</v>
      </c>
      <c r="F91" s="330"/>
      <c r="G91" s="330"/>
    </row>
    <row r="92" spans="1:7" s="568" customFormat="1" ht="12.75">
      <c r="A92" s="250" t="s">
        <v>1742</v>
      </c>
      <c r="B92" s="329">
        <f>'Sources and Uses Budget'!C91</f>
        <v>40000</v>
      </c>
      <c r="C92" s="329">
        <f>'Sources and Uses Budget'!C91</f>
        <v>40000</v>
      </c>
      <c r="D92" s="329">
        <f>'Sources and Uses Budget'!C91</f>
        <v>40000</v>
      </c>
      <c r="E92" s="331">
        <f t="shared" si="2"/>
        <v>0</v>
      </c>
      <c r="F92" s="330"/>
      <c r="G92" s="330"/>
    </row>
    <row r="93" spans="1:7" s="568" customFormat="1" ht="12.75">
      <c r="A93" s="246" t="s">
        <v>534</v>
      </c>
      <c r="B93" s="329">
        <f>'Sources and Uses Budget'!C92</f>
        <v>0</v>
      </c>
      <c r="C93" s="329">
        <f>'Sources and Uses Budget'!C92</f>
        <v>0</v>
      </c>
      <c r="D93" s="329">
        <f>'Sources and Uses Budget'!C92</f>
        <v>0</v>
      </c>
      <c r="E93" s="331">
        <f t="shared" si="2"/>
        <v>0</v>
      </c>
      <c r="F93" s="330"/>
      <c r="G93" s="330"/>
    </row>
    <row r="94" spans="1:7" s="568" customFormat="1" ht="12.75">
      <c r="A94" s="246" t="s">
        <v>534</v>
      </c>
      <c r="B94" s="329">
        <f>'Sources and Uses Budget'!C93</f>
        <v>0</v>
      </c>
      <c r="C94" s="329">
        <f>'Sources and Uses Budget'!C93</f>
        <v>0</v>
      </c>
      <c r="D94" s="329">
        <f>'Sources and Uses Budget'!C93</f>
        <v>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289111</v>
      </c>
      <c r="C96" s="894">
        <f>'Sources and Uses Budget'!C95</f>
        <v>289111</v>
      </c>
      <c r="D96" s="894">
        <f>'Sources and Uses Budget'!C95</f>
        <v>289111</v>
      </c>
      <c r="E96" s="331">
        <f t="shared" si="2"/>
        <v>0</v>
      </c>
      <c r="F96" s="330"/>
      <c r="G96" s="330"/>
    </row>
    <row r="97" spans="1:7" s="568" customFormat="1" ht="12.75">
      <c r="A97" s="243" t="s">
        <v>525</v>
      </c>
      <c r="B97" s="894">
        <f>'Sources and Uses Budget'!C96</f>
        <v>9851505</v>
      </c>
      <c r="C97" s="894">
        <f>'Sources and Uses Budget'!C96</f>
        <v>9851505</v>
      </c>
      <c r="D97" s="894">
        <f>'Sources and Uses Budget'!C96</f>
        <v>9851505</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1046062</v>
      </c>
      <c r="C99" s="329">
        <f>'Sources and Uses Budget'!C98</f>
        <v>1046062</v>
      </c>
      <c r="D99" s="329">
        <f>'Sources and Uses Budget'!C98</f>
        <v>1046062</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1046062</v>
      </c>
      <c r="C104" s="894">
        <f>'Sources and Uses Budget'!C103</f>
        <v>1046062</v>
      </c>
      <c r="D104" s="894">
        <f>'Sources and Uses Budget'!C103</f>
        <v>1046062</v>
      </c>
      <c r="E104" s="331">
        <f t="shared" si="2"/>
        <v>0</v>
      </c>
      <c r="F104" s="330"/>
      <c r="G104" s="330"/>
    </row>
    <row r="105" spans="1:7" s="568" customFormat="1" ht="12.75">
      <c r="A105" s="887" t="s">
        <v>530</v>
      </c>
      <c r="B105" s="894">
        <f>'Sources and Uses Budget'!C104</f>
        <v>10897567</v>
      </c>
      <c r="C105" s="894">
        <f>'Sources and Uses Budget'!C104</f>
        <v>10897567</v>
      </c>
      <c r="D105" s="894">
        <f>'Sources and Uses Budget'!C104</f>
        <v>10897567</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8" sqref="A8"/>
    </sheetView>
  </sheetViews>
  <sheetFormatPr defaultColWidth="0" defaultRowHeight="12.75" zeroHeight="1"/>
  <cols>
    <col min="1" max="10" width="9.140625" customWidth="1"/>
    <col min="11" max="16384" width="8.85546875" hidden="1"/>
  </cols>
  <sheetData>
    <row r="1" spans="1:10" ht="14.25" customHeight="1"/>
    <row r="2" spans="1:10" ht="15.75">
      <c r="A2" s="986" t="s">
        <v>300</v>
      </c>
      <c r="B2" s="987"/>
      <c r="C2" s="987"/>
      <c r="D2" s="987"/>
      <c r="E2" s="987"/>
      <c r="F2" s="987"/>
      <c r="G2" s="987"/>
      <c r="H2" s="987"/>
      <c r="I2" s="987"/>
      <c r="J2" s="987"/>
    </row>
    <row r="3" spans="1:10" ht="15">
      <c r="A3" s="988" t="s">
        <v>2303</v>
      </c>
      <c r="B3" s="987"/>
      <c r="C3" s="987"/>
      <c r="D3" s="987"/>
      <c r="E3" s="987"/>
      <c r="F3" s="987"/>
      <c r="G3" s="987"/>
      <c r="H3" s="987"/>
      <c r="I3" s="987"/>
      <c r="J3" s="987"/>
    </row>
    <row r="4" spans="1:10"/>
    <row r="5" spans="1:10" ht="12.75" customHeight="1">
      <c r="A5" s="993" t="s">
        <v>2171</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2101</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1871</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2" t="s">
        <v>1019</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1036</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1019</v>
      </c>
    </row>
    <row r="66" spans="1:9"/>
    <row r="67" spans="1:9"/>
    <row r="68" spans="1:9"/>
    <row r="69" spans="1:9"/>
    <row r="70" spans="1:9"/>
    <row r="71" spans="1:9"/>
    <row r="72" spans="1:9"/>
    <row r="73" spans="1:9"/>
    <row r="74" spans="1:9"/>
    <row r="75" spans="1:9"/>
    <row r="76" spans="1:9">
      <c r="A76" s="985" t="s">
        <v>1143</v>
      </c>
      <c r="B76" s="985"/>
      <c r="C76" s="985"/>
      <c r="D76" s="985"/>
      <c r="E76" s="985"/>
      <c r="F76" s="985"/>
      <c r="G76" s="985"/>
      <c r="H76" s="985"/>
      <c r="I76" s="985"/>
    </row>
    <row r="77" spans="1:9">
      <c r="A77" s="984" t="s">
        <v>1289</v>
      </c>
      <c r="B77" s="984"/>
      <c r="C77" s="984"/>
      <c r="D77" s="984"/>
      <c r="E77" s="984"/>
      <c r="F77" s="668"/>
    </row>
    <row r="78" spans="1:9">
      <c r="A78" s="984" t="s">
        <v>1288</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337" sqref="D337:F35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8" t="s">
        <v>2304</v>
      </c>
      <c r="B2" s="1018"/>
      <c r="C2" s="987"/>
      <c r="D2" s="987"/>
      <c r="E2" s="987"/>
      <c r="F2" s="987"/>
      <c r="G2" s="987"/>
      <c r="I2" t="s">
        <v>79</v>
      </c>
    </row>
    <row r="3" spans="1:9" ht="12.75">
      <c r="A3" s="190"/>
      <c r="B3" s="190"/>
      <c r="C3"/>
      <c r="D3"/>
      <c r="E3"/>
      <c r="F3"/>
      <c r="G3"/>
      <c r="I3" s="5" t="s">
        <v>1393</v>
      </c>
    </row>
    <row r="4" spans="1:9" ht="12.75">
      <c r="A4" s="1019" t="s">
        <v>2137</v>
      </c>
      <c r="B4" s="1019"/>
      <c r="C4" s="1020"/>
      <c r="D4" s="1020"/>
      <c r="E4" s="1020"/>
      <c r="F4" s="1020"/>
      <c r="G4" s="1020"/>
      <c r="I4" s="5" t="s">
        <v>1377</v>
      </c>
    </row>
    <row r="5" spans="1:9" ht="12.75">
      <c r="A5" s="1019" t="s">
        <v>1042</v>
      </c>
      <c r="B5" s="1019"/>
      <c r="C5" s="1020"/>
      <c r="D5" s="1020"/>
      <c r="E5" s="1020"/>
      <c r="F5" s="1020"/>
      <c r="G5" s="1020"/>
      <c r="I5" t="s">
        <v>124</v>
      </c>
    </row>
    <row r="6" spans="1:9" ht="13.7" customHeight="1"/>
    <row r="7" spans="1:9" ht="12.75">
      <c r="A7" s="1022" t="s">
        <v>2316</v>
      </c>
      <c r="B7" s="1022"/>
      <c r="C7" s="1022"/>
      <c r="D7" s="1022"/>
      <c r="E7" s="1022"/>
      <c r="F7" s="1022"/>
      <c r="G7" s="1022"/>
    </row>
    <row r="8" spans="1:9" ht="12.75">
      <c r="A8" s="1022"/>
      <c r="B8" s="1022"/>
      <c r="C8" s="1022"/>
      <c r="D8" s="1022"/>
      <c r="E8" s="1022"/>
      <c r="F8" s="1022"/>
      <c r="G8" s="1022"/>
    </row>
    <row r="9" spans="1:9" ht="12.75">
      <c r="A9" s="192"/>
      <c r="B9" s="192"/>
      <c r="C9" s="190"/>
      <c r="D9" s="190"/>
      <c r="E9" s="190"/>
      <c r="F9" s="190"/>
      <c r="G9" s="190"/>
    </row>
    <row r="10" spans="1:9" ht="12.75">
      <c r="A10" s="1004" t="s">
        <v>1545</v>
      </c>
      <c r="B10" s="1004"/>
      <c r="C10" s="1004"/>
      <c r="D10" s="1004"/>
      <c r="E10" s="1004"/>
      <c r="F10" s="1004"/>
      <c r="G10" s="1004"/>
    </row>
    <row r="11" spans="1:9" ht="12.75">
      <c r="A11" s="190"/>
      <c r="B11" s="190"/>
    </row>
    <row r="12" spans="1:9" ht="13.7" customHeight="1">
      <c r="C12" s="190"/>
      <c r="D12" s="1021" t="s">
        <v>1544</v>
      </c>
      <c r="E12" s="1021"/>
      <c r="F12" s="1021"/>
      <c r="G12" s="610"/>
    </row>
    <row r="13" spans="1:9" ht="12.75">
      <c r="C13" s="190"/>
      <c r="D13" s="1021"/>
      <c r="E13" s="1021"/>
      <c r="F13" s="1021"/>
      <c r="G13" s="610"/>
    </row>
    <row r="14" spans="1:9" ht="12.75">
      <c r="A14" s="191"/>
      <c r="B14" s="191"/>
      <c r="C14" s="191"/>
      <c r="D14" s="999" t="s">
        <v>1415</v>
      </c>
      <c r="E14" s="999"/>
      <c r="F14" s="999"/>
    </row>
    <row r="15" spans="1:9" ht="12.75">
      <c r="A15" s="191"/>
      <c r="B15" s="191"/>
      <c r="C15" s="191"/>
    </row>
    <row r="16" spans="1:9" ht="14.45" customHeight="1">
      <c r="A16" s="271"/>
      <c r="B16" s="609" t="s">
        <v>124</v>
      </c>
      <c r="C16" s="191"/>
      <c r="D16" s="973" t="s">
        <v>2066</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2067</v>
      </c>
      <c r="F19" s="24"/>
      <c r="G19" s="354"/>
    </row>
    <row r="20" spans="1:7" ht="12.75">
      <c r="A20" s="191"/>
      <c r="B20" s="191"/>
      <c r="C20" s="191"/>
    </row>
    <row r="21" spans="1:7" ht="14.25">
      <c r="A21" s="271"/>
      <c r="B21" s="609" t="s">
        <v>1377</v>
      </c>
      <c r="D21" s="973" t="s">
        <v>2068</v>
      </c>
      <c r="E21" s="979"/>
      <c r="F21" s="979"/>
    </row>
    <row r="22" spans="1:7" ht="12.75">
      <c r="D22" s="979"/>
      <c r="E22" s="979"/>
      <c r="F22" s="979"/>
    </row>
    <row r="23" spans="1:7" ht="12.75">
      <c r="D23" s="102"/>
      <c r="E23" s="104" t="s">
        <v>2069</v>
      </c>
      <c r="F23" s="102"/>
    </row>
    <row r="24" spans="1:7" ht="14.25">
      <c r="A24" s="271"/>
      <c r="B24" s="271"/>
      <c r="D24" s="44"/>
    </row>
    <row r="25" spans="1:7" ht="14.25">
      <c r="A25" s="271"/>
      <c r="B25" s="609" t="s">
        <v>124</v>
      </c>
      <c r="D25" s="979" t="s">
        <v>1409</v>
      </c>
      <c r="E25" s="979"/>
      <c r="F25" s="979"/>
    </row>
    <row r="26" spans="1:7" ht="14.25">
      <c r="A26" s="271"/>
      <c r="B26" s="271"/>
      <c r="D26" s="979"/>
      <c r="E26" s="979"/>
      <c r="F26" s="979"/>
    </row>
    <row r="27" spans="1:7" ht="14.25">
      <c r="A27" s="271"/>
      <c r="B27" s="271"/>
      <c r="D27" s="44"/>
    </row>
    <row r="28" spans="1:7" ht="14.25" customHeight="1">
      <c r="A28" s="271"/>
      <c r="B28" s="609" t="s">
        <v>1377</v>
      </c>
      <c r="D28" s="973" t="s">
        <v>2138</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76"/>
      <c r="F33" s="612"/>
    </row>
    <row r="34" spans="1:6" ht="14.45" customHeight="1">
      <c r="A34" s="271"/>
      <c r="B34" s="609" t="s">
        <v>1377</v>
      </c>
      <c r="D34" s="979" t="s">
        <v>2139</v>
      </c>
      <c r="E34" s="979"/>
      <c r="F34" s="979"/>
    </row>
    <row r="35" spans="1:6" ht="14.25">
      <c r="A35" s="271"/>
      <c r="B35" s="271"/>
      <c r="D35" s="979"/>
      <c r="E35" s="979"/>
      <c r="F35" s="979"/>
    </row>
    <row r="36" spans="1:6" ht="14.25">
      <c r="A36" s="271"/>
      <c r="B36" s="271"/>
      <c r="D36" s="209"/>
      <c r="E36" s="209"/>
      <c r="F36" s="209"/>
    </row>
    <row r="37" spans="1:6" ht="14.25">
      <c r="A37" s="271"/>
      <c r="B37" s="609" t="s">
        <v>1377</v>
      </c>
      <c r="D37" s="973" t="s">
        <v>1755</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124</v>
      </c>
      <c r="D46" s="979" t="s">
        <v>1442</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124</v>
      </c>
      <c r="D52" s="973" t="s">
        <v>1887</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1377</v>
      </c>
      <c r="D59" s="973" t="s">
        <v>1929</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124</v>
      </c>
      <c r="D64" s="979" t="s">
        <v>2140</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1377</v>
      </c>
      <c r="D68" s="973" t="s">
        <v>2070</v>
      </c>
      <c r="E68" s="979"/>
      <c r="F68" s="979"/>
    </row>
    <row r="69" spans="1:6" ht="12.75">
      <c r="D69" s="979"/>
      <c r="E69" s="979"/>
      <c r="F69" s="979"/>
    </row>
    <row r="70" spans="1:6" ht="12.75">
      <c r="D70" s="979"/>
      <c r="E70" s="979"/>
      <c r="F70" s="979"/>
    </row>
    <row r="71" spans="1:6" ht="14.25">
      <c r="A71" s="271"/>
      <c r="B71" s="271"/>
      <c r="D71" s="209"/>
      <c r="E71" s="128" t="s">
        <v>2067</v>
      </c>
      <c r="F71" s="209"/>
    </row>
    <row r="72" spans="1:6" ht="14.25">
      <c r="A72" s="271"/>
      <c r="B72" s="271"/>
    </row>
    <row r="73" spans="1:6" ht="14.25">
      <c r="A73" s="271"/>
      <c r="B73" s="609" t="s">
        <v>124</v>
      </c>
      <c r="D73" s="979" t="s">
        <v>1543</v>
      </c>
      <c r="E73" s="979"/>
      <c r="F73" s="979"/>
    </row>
    <row r="74" spans="1:6" ht="12.75">
      <c r="D74" s="979"/>
      <c r="E74" s="979"/>
      <c r="F74" s="979"/>
    </row>
    <row r="75" spans="1:6" ht="12.75">
      <c r="D75" s="979"/>
      <c r="E75" s="979"/>
      <c r="F75" s="979"/>
    </row>
    <row r="76" spans="1:6" ht="12.75"/>
    <row r="77" spans="1:6" ht="14.25">
      <c r="A77" s="271" t="s">
        <v>229</v>
      </c>
      <c r="B77" s="609" t="s">
        <v>124</v>
      </c>
      <c r="D77" s="979" t="s">
        <v>1445</v>
      </c>
      <c r="E77" s="979"/>
      <c r="F77" s="979"/>
    </row>
    <row r="78" spans="1:6" ht="12.75">
      <c r="D78" s="979"/>
      <c r="E78" s="979"/>
      <c r="F78" s="979"/>
    </row>
    <row r="79" spans="1:6" ht="12.75"/>
    <row r="80" spans="1:6" ht="14.25">
      <c r="A80" s="271" t="s">
        <v>229</v>
      </c>
      <c r="B80" s="609" t="s">
        <v>1377</v>
      </c>
      <c r="D80" s="979" t="s">
        <v>1446</v>
      </c>
      <c r="E80" s="979"/>
      <c r="F80" s="979"/>
    </row>
    <row r="81" spans="1:7" ht="12.75">
      <c r="D81" s="979"/>
      <c r="E81" s="979"/>
      <c r="F81" s="979"/>
    </row>
    <row r="82" spans="1:7" ht="12.75">
      <c r="D82" s="979"/>
      <c r="E82" s="979"/>
      <c r="F82" s="979"/>
    </row>
    <row r="83" spans="1:7" ht="12.75">
      <c r="D83" s="44"/>
    </row>
    <row r="84" spans="1:7" ht="14.25">
      <c r="A84" s="271" t="s">
        <v>229</v>
      </c>
      <c r="B84" s="609" t="s">
        <v>124</v>
      </c>
      <c r="D84" s="979" t="s">
        <v>1447</v>
      </c>
      <c r="E84" s="979"/>
      <c r="F84" s="979"/>
    </row>
    <row r="85" spans="1:7" ht="12.75">
      <c r="D85" s="979"/>
      <c r="E85" s="979"/>
      <c r="F85" s="979"/>
    </row>
    <row r="86" spans="1:7" ht="12.75"/>
    <row r="87" spans="1:7" ht="12.75">
      <c r="A87" s="1004" t="s">
        <v>1381</v>
      </c>
      <c r="B87" s="1004"/>
      <c r="C87" s="1004"/>
      <c r="D87" s="1004"/>
      <c r="E87" s="1004"/>
      <c r="F87" s="1004"/>
      <c r="G87" s="1004"/>
    </row>
    <row r="88" spans="1:7" ht="12.75">
      <c r="E88"/>
      <c r="F88"/>
      <c r="G88"/>
    </row>
    <row r="89" spans="1:7" ht="13.7" customHeight="1">
      <c r="C89" s="590"/>
      <c r="D89" s="1006" t="s">
        <v>1382</v>
      </c>
      <c r="E89" s="1006"/>
      <c r="F89" s="1006"/>
      <c r="G89"/>
    </row>
    <row r="90" spans="1:7" ht="13.7" customHeight="1">
      <c r="A90" s="44"/>
      <c r="B90" s="44"/>
      <c r="D90" s="979" t="s">
        <v>1546</v>
      </c>
      <c r="E90" s="979"/>
      <c r="F90" s="979"/>
      <c r="G90"/>
    </row>
    <row r="91" spans="1:7" ht="12.75">
      <c r="A91" s="44"/>
      <c r="B91" s="44"/>
      <c r="E91"/>
      <c r="F91"/>
      <c r="G91"/>
    </row>
    <row r="92" spans="1:7" ht="14.25" customHeight="1">
      <c r="A92" s="271"/>
      <c r="B92" s="609" t="s">
        <v>1377</v>
      </c>
      <c r="D92" s="973" t="s">
        <v>1860</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09" t="s">
        <v>79</v>
      </c>
      <c r="D101" s="1000" t="s">
        <v>1861</v>
      </c>
      <c r="E101" s="1000"/>
      <c r="F101" s="1000"/>
      <c r="G101"/>
    </row>
    <row r="102" spans="1:7" ht="14.25">
      <c r="A102" s="271"/>
      <c r="B102" s="271"/>
      <c r="D102" s="1000"/>
      <c r="E102" s="1000"/>
      <c r="F102" s="1000"/>
      <c r="G102"/>
    </row>
    <row r="103" spans="1:7" ht="14.25">
      <c r="A103" s="271"/>
      <c r="B103" s="271"/>
      <c r="D103" s="1000"/>
      <c r="E103" s="1000"/>
      <c r="F103" s="1000"/>
      <c r="G103"/>
    </row>
    <row r="104" spans="1:7" ht="14.25">
      <c r="A104" s="271"/>
      <c r="B104" s="271"/>
      <c r="D104" s="1000"/>
      <c r="E104" s="1000"/>
      <c r="F104" s="1000"/>
      <c r="G104"/>
    </row>
    <row r="105" spans="1:7" ht="14.25">
      <c r="A105" s="271"/>
      <c r="B105" s="271"/>
      <c r="D105" s="1000"/>
      <c r="E105" s="1000"/>
      <c r="F105" s="1000"/>
      <c r="G105"/>
    </row>
    <row r="106" spans="1:7" ht="14.25">
      <c r="A106" s="271"/>
      <c r="B106" s="271"/>
      <c r="D106" s="1000"/>
      <c r="E106" s="1000"/>
      <c r="F106" s="1000"/>
      <c r="G106"/>
    </row>
    <row r="107" spans="1:7" ht="14.25">
      <c r="A107" s="271"/>
      <c r="B107" s="271"/>
      <c r="D107" s="1000"/>
      <c r="E107" s="1000"/>
      <c r="F107" s="1000"/>
      <c r="G107"/>
    </row>
    <row r="108" spans="1:7" ht="14.25">
      <c r="A108" s="271"/>
      <c r="B108" s="271"/>
      <c r="D108" s="1000"/>
      <c r="E108" s="1000"/>
      <c r="F108" s="1000"/>
      <c r="G108"/>
    </row>
    <row r="109" spans="1:7" ht="14.25">
      <c r="A109" s="271"/>
      <c r="B109" s="271"/>
      <c r="D109" s="1000"/>
      <c r="E109" s="1000"/>
      <c r="F109" s="1000"/>
      <c r="G109"/>
    </row>
    <row r="110" spans="1:7" ht="14.25">
      <c r="A110" s="271"/>
      <c r="B110" s="271"/>
      <c r="D110" s="1000"/>
      <c r="E110" s="1000"/>
      <c r="F110" s="1000"/>
      <c r="G110"/>
    </row>
    <row r="111" spans="1:7" ht="14.25">
      <c r="A111" s="271"/>
      <c r="B111" s="271"/>
      <c r="D111" s="1000"/>
      <c r="E111" s="1000"/>
      <c r="F111" s="1000"/>
      <c r="G111"/>
    </row>
    <row r="112" spans="1:7" ht="14.25">
      <c r="A112" s="271"/>
      <c r="B112" s="271"/>
      <c r="D112" s="1000"/>
      <c r="E112" s="1000"/>
      <c r="F112" s="1000"/>
      <c r="G112"/>
    </row>
    <row r="113" spans="1:7" ht="14.25">
      <c r="A113" s="271"/>
      <c r="B113" s="271"/>
      <c r="D113" s="1000"/>
      <c r="E113" s="1000"/>
      <c r="F113" s="1000"/>
      <c r="G113"/>
    </row>
    <row r="114" spans="1:7" ht="14.25">
      <c r="A114" s="271"/>
      <c r="B114" s="609" t="s">
        <v>124</v>
      </c>
      <c r="D114" s="979" t="s">
        <v>1547</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124</v>
      </c>
      <c r="D122" s="979" t="s">
        <v>1548</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1377</v>
      </c>
      <c r="D128" s="979" t="s">
        <v>1549</v>
      </c>
      <c r="E128" s="979"/>
      <c r="F128" s="979"/>
    </row>
    <row r="129" spans="1:7" s="323" customFormat="1" ht="13.9" customHeight="1">
      <c r="A129" s="316"/>
      <c r="B129" s="316"/>
      <c r="C129" s="316"/>
      <c r="D129" s="979"/>
      <c r="E129" s="979"/>
      <c r="F129" s="979"/>
      <c r="G129" s="357"/>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09" t="s">
        <v>124</v>
      </c>
      <c r="D141" s="973" t="s">
        <v>1732</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38" t="s">
        <v>1733</v>
      </c>
      <c r="E159" s="1038"/>
      <c r="F159" s="1038"/>
      <c r="G159"/>
    </row>
    <row r="160" spans="1:7" ht="13.9" customHeight="1">
      <c r="A160" s="18"/>
      <c r="B160" s="18"/>
      <c r="D160" s="44"/>
      <c r="G160"/>
    </row>
    <row r="161" spans="1:7" ht="13.9" customHeight="1">
      <c r="A161" s="271"/>
      <c r="B161" s="609" t="s">
        <v>124</v>
      </c>
      <c r="D161" s="1000" t="s">
        <v>2301</v>
      </c>
      <c r="E161" s="1040"/>
      <c r="F161" s="1040"/>
      <c r="G161"/>
    </row>
    <row r="162" spans="1:7" ht="13.9" customHeight="1">
      <c r="A162" s="271"/>
      <c r="B162" s="18"/>
      <c r="D162" s="1000"/>
      <c r="E162" s="1040"/>
      <c r="F162" s="1040"/>
      <c r="G162"/>
    </row>
    <row r="163" spans="1:7" ht="13.9" customHeight="1">
      <c r="A163" s="271"/>
      <c r="B163" s="18"/>
      <c r="D163" s="1040"/>
      <c r="E163" s="1040"/>
      <c r="F163" s="1040"/>
      <c r="G163"/>
    </row>
    <row r="164" spans="1:7" ht="13.9" customHeight="1">
      <c r="A164" s="271"/>
      <c r="B164" s="18"/>
      <c r="D164" s="1040"/>
      <c r="E164" s="1040"/>
      <c r="F164" s="1040"/>
      <c r="G164"/>
    </row>
    <row r="165" spans="1:7" ht="13.9" customHeight="1">
      <c r="A165" s="18"/>
      <c r="B165" s="18"/>
      <c r="D165" s="1040"/>
      <c r="E165" s="1040"/>
      <c r="F165" s="1040"/>
      <c r="G165"/>
    </row>
    <row r="166" spans="1:7" ht="13.9" customHeight="1">
      <c r="A166" s="18"/>
      <c r="B166" s="18"/>
      <c r="D166" s="44"/>
      <c r="G166"/>
    </row>
    <row r="167" spans="1:7" ht="13.9" customHeight="1">
      <c r="A167" s="271"/>
      <c r="B167" s="609" t="s">
        <v>124</v>
      </c>
      <c r="D167" s="1040" t="s">
        <v>1550</v>
      </c>
      <c r="E167" s="1040"/>
      <c r="F167" s="1040"/>
      <c r="G167"/>
    </row>
    <row r="168" spans="1:7" ht="13.9" customHeight="1">
      <c r="A168" s="18"/>
      <c r="B168" s="18"/>
      <c r="D168" s="1040"/>
      <c r="E168" s="1040"/>
      <c r="F168" s="1040"/>
    </row>
    <row r="169" spans="1:7" ht="13.9" customHeight="1">
      <c r="A169" s="18"/>
      <c r="B169" s="18"/>
      <c r="D169" s="1040"/>
      <c r="E169" s="1040"/>
      <c r="F169" s="1040"/>
    </row>
    <row r="170" spans="1:7" ht="13.9" customHeight="1">
      <c r="A170" s="18"/>
      <c r="B170" s="18"/>
      <c r="D170" s="1040"/>
      <c r="E170" s="1040"/>
      <c r="F170" s="1040"/>
    </row>
    <row r="171" spans="1:7" ht="13.9" customHeight="1">
      <c r="A171" s="18"/>
      <c r="B171" s="18"/>
      <c r="D171" s="44"/>
    </row>
    <row r="172" spans="1:7" ht="13.9" customHeight="1">
      <c r="A172" s="370"/>
      <c r="B172" s="609" t="s">
        <v>124</v>
      </c>
      <c r="C172" s="370"/>
      <c r="D172" s="1036" t="s">
        <v>2141</v>
      </c>
      <c r="E172" s="1036"/>
      <c r="F172" s="1036"/>
      <c r="G172" s="361"/>
    </row>
    <row r="173" spans="1:7" ht="13.9" customHeight="1">
      <c r="A173" s="370"/>
      <c r="B173" s="370"/>
      <c r="C173" s="370"/>
      <c r="D173" s="1036"/>
      <c r="E173" s="1036"/>
      <c r="F173" s="1036"/>
      <c r="G173" s="361"/>
    </row>
    <row r="174" spans="1:7" ht="13.9" customHeight="1">
      <c r="A174" s="370"/>
      <c r="B174" s="370"/>
      <c r="C174" s="370"/>
      <c r="D174" s="1036"/>
      <c r="E174" s="1036"/>
      <c r="F174" s="1036"/>
      <c r="G174" s="361"/>
    </row>
    <row r="175" spans="1:7" ht="12.75">
      <c r="A175" s="370"/>
      <c r="B175" s="370"/>
      <c r="C175" s="370"/>
      <c r="D175" s="372"/>
      <c r="E175" s="361"/>
      <c r="F175" s="361"/>
      <c r="G175" s="361"/>
    </row>
    <row r="176" spans="1:7" ht="12.75">
      <c r="A176" s="1004" t="s">
        <v>1384</v>
      </c>
      <c r="B176" s="1004"/>
      <c r="C176" s="1004"/>
      <c r="D176" s="1004"/>
      <c r="E176" s="1004"/>
      <c r="F176" s="1004"/>
      <c r="G176" s="1004"/>
    </row>
    <row r="177" spans="1:6" ht="12.75">
      <c r="D177" s="44"/>
    </row>
    <row r="178" spans="1:6" ht="12.75">
      <c r="C178" s="590"/>
      <c r="D178" s="1013" t="s">
        <v>1383</v>
      </c>
      <c r="E178" s="1013"/>
      <c r="F178" s="1013"/>
    </row>
    <row r="179" spans="1:6" ht="12.75">
      <c r="A179" s="190"/>
      <c r="B179" s="190"/>
      <c r="C179" s="190"/>
      <c r="D179" s="1037" t="s">
        <v>1416</v>
      </c>
      <c r="E179" s="1037"/>
      <c r="F179" s="1037"/>
    </row>
    <row r="180" spans="1:6" ht="12.75">
      <c r="A180" s="191"/>
      <c r="B180" s="191"/>
      <c r="C180" s="191"/>
    </row>
    <row r="181" spans="1:6" ht="14.25">
      <c r="A181" s="271"/>
      <c r="B181" s="609" t="s">
        <v>124</v>
      </c>
      <c r="D181" s="1002" t="s">
        <v>1735</v>
      </c>
      <c r="E181" s="1003"/>
      <c r="F181" s="1003"/>
    </row>
    <row r="182" spans="1:6" ht="14.25">
      <c r="A182" s="271"/>
      <c r="D182" s="312"/>
      <c r="E182" s="102"/>
      <c r="F182" s="102"/>
    </row>
    <row r="183" spans="1:6" ht="14.25">
      <c r="A183" s="271"/>
      <c r="B183" s="609" t="s">
        <v>124</v>
      </c>
      <c r="D183" s="1003" t="s">
        <v>1551</v>
      </c>
      <c r="E183" s="1003"/>
      <c r="F183" s="1003"/>
    </row>
    <row r="184" spans="1:6" ht="14.25">
      <c r="A184" s="271"/>
      <c r="D184" s="102"/>
      <c r="E184" s="102"/>
      <c r="F184" s="102"/>
    </row>
    <row r="185" spans="1:6" ht="14.25">
      <c r="A185" s="271"/>
      <c r="B185" s="609" t="s">
        <v>124</v>
      </c>
      <c r="D185" s="1039" t="s">
        <v>1813</v>
      </c>
      <c r="E185" s="1039"/>
      <c r="F185" s="1039"/>
    </row>
    <row r="186" spans="1:6" ht="13.7" customHeight="1">
      <c r="A186" s="271"/>
      <c r="D186" s="41" t="s">
        <v>901</v>
      </c>
      <c r="E186" s="973" t="s">
        <v>2136</v>
      </c>
      <c r="F186" s="973"/>
    </row>
    <row r="187" spans="1:6" ht="14.25">
      <c r="A187" s="271"/>
      <c r="D187" s="776"/>
      <c r="E187" s="973"/>
      <c r="F187" s="973"/>
    </row>
    <row r="188" spans="1:6" ht="14.25">
      <c r="A188" s="271"/>
      <c r="D188" s="776"/>
      <c r="E188" s="973"/>
      <c r="F188" s="973"/>
    </row>
    <row r="189" spans="1:6" ht="14.25">
      <c r="A189" s="271"/>
      <c r="D189"/>
      <c r="E189" s="973"/>
      <c r="F189" s="973"/>
    </row>
    <row r="190" spans="1:6" ht="13.7" customHeight="1">
      <c r="A190" s="271"/>
      <c r="D190" s="776" t="s">
        <v>902</v>
      </c>
      <c r="E190" s="973" t="s">
        <v>1814</v>
      </c>
      <c r="F190" s="973"/>
    </row>
    <row r="191" spans="1:6" ht="13.7" customHeight="1">
      <c r="A191" s="271"/>
      <c r="D191" s="776"/>
      <c r="E191" s="973"/>
      <c r="F191" s="973"/>
    </row>
    <row r="192" spans="1:6" ht="13.7" customHeight="1">
      <c r="A192" s="271"/>
      <c r="D192" s="776"/>
      <c r="E192" s="973"/>
      <c r="F192" s="973"/>
    </row>
    <row r="193" spans="1:7" ht="13.7" customHeight="1">
      <c r="A193" s="271"/>
      <c r="D193" s="776"/>
      <c r="E193" s="973"/>
      <c r="F193" s="973"/>
    </row>
    <row r="194" spans="1:7" ht="13.7" customHeight="1">
      <c r="A194" s="271"/>
      <c r="D194" s="776"/>
      <c r="E194" s="973"/>
      <c r="F194" s="973"/>
    </row>
    <row r="195" spans="1:7" ht="14.25">
      <c r="A195" s="271"/>
      <c r="D195"/>
      <c r="E195" s="973"/>
      <c r="F195" s="973"/>
    </row>
    <row r="196" spans="1:7" ht="14.25">
      <c r="A196" s="271"/>
      <c r="D196"/>
      <c r="E196" s="973"/>
      <c r="F196" s="973"/>
    </row>
    <row r="197" spans="1:7" ht="12.75"/>
    <row r="198" spans="1:7" ht="14.25">
      <c r="A198" s="271"/>
      <c r="B198" s="609" t="s">
        <v>1377</v>
      </c>
      <c r="D198" s="973" t="s">
        <v>2305</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38" t="s">
        <v>2307</v>
      </c>
      <c r="E202" s="1038"/>
      <c r="F202" s="1038"/>
    </row>
    <row r="203" spans="1:7" ht="12.75">
      <c r="D203" s="625"/>
      <c r="E203" s="625"/>
      <c r="F203" s="625"/>
    </row>
    <row r="204" spans="1:7" ht="14.25">
      <c r="A204" s="271"/>
      <c r="B204" s="609" t="s">
        <v>124</v>
      </c>
      <c r="D204" s="998" t="s">
        <v>2308</v>
      </c>
      <c r="E204" s="999"/>
      <c r="F204" s="999"/>
    </row>
    <row r="205" spans="1:7" ht="12.75"/>
    <row r="206" spans="1:7" ht="12.75">
      <c r="A206" s="1004" t="s">
        <v>1386</v>
      </c>
      <c r="B206" s="1004"/>
      <c r="C206" s="1004"/>
      <c r="D206" s="1004"/>
      <c r="E206" s="1004"/>
      <c r="F206" s="1004"/>
      <c r="G206" s="1004"/>
    </row>
    <row r="207" spans="1:7" ht="12.75"/>
    <row r="208" spans="1:7" ht="12.75">
      <c r="C208" s="591"/>
      <c r="D208" s="1013" t="s">
        <v>1385</v>
      </c>
      <c r="E208" s="1013"/>
      <c r="F208" s="1013"/>
    </row>
    <row r="209" spans="1:6" ht="12.75">
      <c r="A209" s="592"/>
      <c r="B209" s="592"/>
      <c r="C209" s="591"/>
      <c r="D209" s="1013" t="s">
        <v>698</v>
      </c>
      <c r="E209" s="1013"/>
      <c r="F209" s="1013"/>
    </row>
    <row r="210" spans="1:6" ht="12.75">
      <c r="A210" s="190"/>
      <c r="B210" s="190"/>
      <c r="C210" s="190"/>
      <c r="D210" s="1003" t="s">
        <v>1417</v>
      </c>
      <c r="E210" s="1003"/>
      <c r="F210" s="1003"/>
    </row>
    <row r="211" spans="1:6" ht="12.75">
      <c r="A211" s="190"/>
      <c r="B211" s="190"/>
      <c r="C211" s="190"/>
    </row>
    <row r="212" spans="1:6" ht="12.75">
      <c r="A212" s="190"/>
      <c r="B212" s="190"/>
      <c r="C212" s="190"/>
      <c r="D212" s="979" t="s">
        <v>1427</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3" t="s">
        <v>2142</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124</v>
      </c>
      <c r="C224" s="191"/>
      <c r="D224" s="999" t="s">
        <v>292</v>
      </c>
      <c r="E224" s="999"/>
      <c r="F224" s="999"/>
    </row>
    <row r="225" spans="1:6" ht="14.25">
      <c r="A225" s="271"/>
      <c r="C225" s="191"/>
      <c r="D225" s="1003" t="s">
        <v>1112</v>
      </c>
      <c r="E225" s="1003"/>
      <c r="F225" s="1003"/>
    </row>
    <row r="226" spans="1:6" ht="14.25">
      <c r="A226" s="271"/>
      <c r="B226" s="271"/>
      <c r="C226" s="191"/>
      <c r="D226" s="104" t="s">
        <v>1431</v>
      </c>
      <c r="E226" s="1011" t="s">
        <v>2071</v>
      </c>
      <c r="F226" s="1011"/>
    </row>
    <row r="227" spans="1:6" ht="12.75">
      <c r="D227" s="1002" t="s">
        <v>1410</v>
      </c>
      <c r="E227" s="1003"/>
      <c r="F227" s="1003"/>
    </row>
    <row r="228" spans="1:6" ht="12.75"/>
    <row r="229" spans="1:6" ht="14.25">
      <c r="A229" s="271"/>
      <c r="B229" s="609" t="s">
        <v>124</v>
      </c>
      <c r="D229" s="1003" t="s">
        <v>293</v>
      </c>
      <c r="E229" s="1003"/>
      <c r="F229" s="1003"/>
    </row>
    <row r="230" spans="1:6" ht="14.25">
      <c r="A230" s="271"/>
      <c r="D230" s="999" t="s">
        <v>1112</v>
      </c>
      <c r="E230" s="999"/>
      <c r="F230" s="999"/>
    </row>
    <row r="231" spans="1:6" ht="14.25">
      <c r="A231" s="271"/>
      <c r="B231" s="271"/>
      <c r="D231" s="63" t="s">
        <v>1432</v>
      </c>
      <c r="E231" s="1011" t="s">
        <v>2072</v>
      </c>
      <c r="F231" s="1011"/>
    </row>
    <row r="232" spans="1:6" ht="12.75">
      <c r="D232" s="1003" t="s">
        <v>1411</v>
      </c>
      <c r="E232" s="1003"/>
      <c r="F232" s="1003"/>
    </row>
    <row r="233" spans="1:6" ht="12.75"/>
    <row r="234" spans="1:6" ht="14.25">
      <c r="A234" s="271"/>
      <c r="B234" s="609" t="s">
        <v>124</v>
      </c>
      <c r="D234" s="1003" t="s">
        <v>642</v>
      </c>
      <c r="E234" s="1003"/>
      <c r="F234" s="1003"/>
    </row>
    <row r="235" spans="1:6" ht="14.25">
      <c r="A235" s="271"/>
      <c r="D235" s="44" t="s">
        <v>1112</v>
      </c>
    </row>
    <row r="236" spans="1:6" ht="14.25">
      <c r="A236" s="271"/>
      <c r="B236" s="271"/>
      <c r="D236" s="63" t="s">
        <v>1431</v>
      </c>
      <c r="E236" s="1011" t="s">
        <v>2073</v>
      </c>
      <c r="F236" s="1011"/>
    </row>
    <row r="237" spans="1:6" ht="14.25">
      <c r="A237" s="271"/>
      <c r="B237" s="271"/>
      <c r="D237" s="979" t="s">
        <v>1434</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1412</v>
      </c>
      <c r="E242" s="979"/>
      <c r="F242" s="979"/>
    </row>
    <row r="243" spans="1:6" ht="12.75">
      <c r="D243" s="44"/>
    </row>
    <row r="244" spans="1:6" ht="14.25">
      <c r="A244" s="271"/>
      <c r="B244" s="609" t="s">
        <v>1377</v>
      </c>
      <c r="D244" s="1003" t="s">
        <v>643</v>
      </c>
      <c r="E244" s="1003"/>
      <c r="F244" s="1003"/>
    </row>
    <row r="245" spans="1:6" ht="14.25">
      <c r="A245" s="271"/>
      <c r="D245" s="1003" t="s">
        <v>1112</v>
      </c>
      <c r="E245" s="1003"/>
      <c r="F245" s="1003"/>
    </row>
    <row r="246" spans="1:6" ht="14.25">
      <c r="A246" s="271"/>
      <c r="B246" s="271"/>
      <c r="D246" s="63" t="s">
        <v>1431</v>
      </c>
      <c r="E246" s="1011" t="s">
        <v>2074</v>
      </c>
      <c r="F246" s="1011"/>
    </row>
    <row r="247" spans="1:6" ht="12.75">
      <c r="D247" s="1002" t="s">
        <v>1933</v>
      </c>
      <c r="E247" s="1003"/>
      <c r="F247" s="1003"/>
    </row>
    <row r="248" spans="1:6" ht="12.75">
      <c r="D248" s="102"/>
      <c r="E248" s="102"/>
      <c r="F248" s="102"/>
    </row>
    <row r="249" spans="1:6" ht="14.25">
      <c r="A249" s="271"/>
      <c r="B249" s="609" t="s">
        <v>124</v>
      </c>
      <c r="D249" s="1002" t="s">
        <v>1932</v>
      </c>
      <c r="E249" s="1003"/>
      <c r="F249" s="1003"/>
    </row>
    <row r="250" spans="1:6" ht="14.25">
      <c r="A250" s="271"/>
      <c r="D250" s="1003" t="s">
        <v>1112</v>
      </c>
      <c r="E250" s="1003"/>
      <c r="F250" s="1003"/>
    </row>
    <row r="251" spans="1:6" ht="14.25">
      <c r="A251" s="271"/>
      <c r="B251" s="271"/>
      <c r="D251" s="63" t="s">
        <v>1431</v>
      </c>
      <c r="E251" s="1011" t="s">
        <v>2075</v>
      </c>
      <c r="F251" s="1011"/>
    </row>
    <row r="252" spans="1:6" ht="12.75">
      <c r="D252" s="1002" t="s">
        <v>1934</v>
      </c>
      <c r="E252" s="1003"/>
      <c r="F252" s="1003"/>
    </row>
    <row r="253" spans="1:6" ht="12.75">
      <c r="D253" s="44"/>
    </row>
    <row r="254" spans="1:6" ht="14.25">
      <c r="A254" s="271"/>
      <c r="B254" s="609" t="s">
        <v>124</v>
      </c>
      <c r="D254" s="102" t="s">
        <v>1454</v>
      </c>
      <c r="E254" s="102"/>
      <c r="F254" s="102"/>
    </row>
    <row r="255" spans="1:6" ht="14.25">
      <c r="A255" s="271"/>
      <c r="B255"/>
      <c r="D255" s="973" t="s">
        <v>1756</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124</v>
      </c>
      <c r="D259" s="1003" t="s">
        <v>1023</v>
      </c>
      <c r="E259" s="1003"/>
      <c r="F259" s="1003"/>
    </row>
    <row r="260" spans="1:7" ht="14.25">
      <c r="A260" s="271"/>
      <c r="D260" s="102"/>
      <c r="E260" s="102"/>
      <c r="F260" s="102"/>
    </row>
    <row r="261" spans="1:7" ht="12.75">
      <c r="A261" s="1004" t="s">
        <v>1388</v>
      </c>
      <c r="B261" s="1004"/>
      <c r="C261" s="1004"/>
      <c r="D261" s="1004"/>
      <c r="E261" s="1004"/>
      <c r="F261" s="1004"/>
      <c r="G261" s="1004"/>
    </row>
    <row r="262" spans="1:7" ht="12.75">
      <c r="D262" s="44"/>
    </row>
    <row r="263" spans="1:7" ht="12.75">
      <c r="C263" s="590"/>
      <c r="D263" s="1005" t="s">
        <v>1387</v>
      </c>
      <c r="E263" s="1005"/>
      <c r="F263" s="1005"/>
    </row>
    <row r="264" spans="1:7" ht="12.75">
      <c r="A264" s="190"/>
      <c r="B264" s="190"/>
      <c r="C264" s="190"/>
      <c r="D264" s="999" t="s">
        <v>1418</v>
      </c>
      <c r="E264" s="999"/>
      <c r="F264" s="999"/>
    </row>
    <row r="265" spans="1:7" ht="12.75">
      <c r="A265" s="18"/>
      <c r="B265" s="18"/>
      <c r="C265" s="18"/>
      <c r="D265" s="3"/>
    </row>
    <row r="266" spans="1:7" ht="12.75">
      <c r="A266" s="18"/>
      <c r="C266" s="18"/>
      <c r="D266" s="1005" t="s">
        <v>209</v>
      </c>
      <c r="E266" s="1005"/>
      <c r="F266" s="1005"/>
      <c r="G266"/>
    </row>
    <row r="267" spans="1:7" ht="14.45" customHeight="1">
      <c r="A267" s="271"/>
      <c r="B267" s="609" t="s">
        <v>1377</v>
      </c>
      <c r="C267" s="880"/>
      <c r="D267" s="1014" t="s">
        <v>2011</v>
      </c>
      <c r="E267" s="1014"/>
      <c r="F267" s="1014"/>
      <c r="G267"/>
    </row>
    <row r="268" spans="1:7" ht="14.25">
      <c r="A268" s="271"/>
      <c r="B268" s="881"/>
      <c r="C268" s="880"/>
      <c r="D268" s="1014"/>
      <c r="E268" s="1014"/>
      <c r="F268" s="1014"/>
      <c r="G268"/>
    </row>
    <row r="269" spans="1:7" ht="14.25">
      <c r="A269" s="271"/>
      <c r="B269" s="881"/>
      <c r="C269" s="880"/>
      <c r="D269" s="1014"/>
      <c r="E269" s="1014"/>
      <c r="F269" s="1014"/>
      <c r="G269"/>
    </row>
    <row r="270" spans="1:7" ht="14.45" customHeight="1">
      <c r="A270" s="271"/>
      <c r="B270" s="881"/>
      <c r="C270" s="880"/>
      <c r="D270" s="1014"/>
      <c r="E270" s="1014"/>
      <c r="F270" s="1014"/>
      <c r="G270"/>
    </row>
    <row r="271" spans="1:7" ht="14.25">
      <c r="A271" s="271"/>
      <c r="B271" s="881"/>
      <c r="C271" s="880"/>
      <c r="D271" s="882"/>
      <c r="E271" s="882"/>
      <c r="F271" s="882"/>
      <c r="G271"/>
    </row>
    <row r="272" spans="1:7" ht="14.25">
      <c r="A272" s="271"/>
      <c r="B272" s="609" t="s">
        <v>1377</v>
      </c>
      <c r="C272" s="880"/>
      <c r="D272" s="1014" t="s">
        <v>2012</v>
      </c>
      <c r="E272" s="1014"/>
      <c r="F272" s="1014"/>
      <c r="G272"/>
    </row>
    <row r="273" spans="1:7" ht="14.25">
      <c r="A273" s="271"/>
      <c r="B273" s="881"/>
      <c r="C273" s="880"/>
      <c r="D273" s="1014"/>
      <c r="E273" s="1014"/>
      <c r="F273" s="1014"/>
      <c r="G273"/>
    </row>
    <row r="274" spans="1:7" ht="14.25">
      <c r="A274" s="271"/>
      <c r="B274" s="881"/>
      <c r="C274" s="880"/>
      <c r="D274" s="1014"/>
      <c r="E274" s="1014"/>
      <c r="F274" s="1014"/>
      <c r="G274"/>
    </row>
    <row r="275" spans="1:7" ht="14.25">
      <c r="A275" s="271"/>
      <c r="B275" s="881"/>
      <c r="C275" s="880"/>
      <c r="D275" s="1014"/>
      <c r="E275" s="1014"/>
      <c r="F275" s="1014"/>
      <c r="G275"/>
    </row>
    <row r="276" spans="1:7" ht="14.25">
      <c r="A276" s="271"/>
      <c r="B276" s="881"/>
      <c r="C276" s="880"/>
      <c r="D276" s="1014"/>
      <c r="E276" s="1014"/>
      <c r="F276" s="1014"/>
      <c r="G276"/>
    </row>
    <row r="277" spans="1:7" ht="14.25">
      <c r="A277" s="271"/>
      <c r="B277" s="881"/>
      <c r="C277" s="880"/>
      <c r="D277" s="882"/>
      <c r="E277" s="882"/>
      <c r="F277" s="882"/>
      <c r="G277"/>
    </row>
    <row r="278" spans="1:7" ht="14.25">
      <c r="A278" s="271"/>
      <c r="B278" s="881"/>
      <c r="C278" s="880"/>
      <c r="D278" s="1014" t="s">
        <v>1560</v>
      </c>
      <c r="E278" s="1014"/>
      <c r="F278" s="1014"/>
      <c r="G278"/>
    </row>
    <row r="279" spans="1:7" ht="14.25">
      <c r="A279" s="271"/>
      <c r="B279" s="881"/>
      <c r="C279" s="880"/>
      <c r="D279" s="1014"/>
      <c r="E279" s="1014"/>
      <c r="F279" s="1014"/>
      <c r="G279"/>
    </row>
    <row r="280" spans="1:7" ht="14.25">
      <c r="A280" s="271"/>
      <c r="B280" s="881"/>
      <c r="C280" s="880"/>
      <c r="D280" s="1014"/>
      <c r="E280" s="1014"/>
      <c r="F280" s="1014"/>
      <c r="G280"/>
    </row>
    <row r="281" spans="1:7" ht="14.25">
      <c r="A281" s="271"/>
      <c r="B281" s="881"/>
      <c r="C281" s="880"/>
      <c r="D281" s="1014"/>
      <c r="E281" s="1014"/>
      <c r="F281" s="1014"/>
      <c r="G281"/>
    </row>
    <row r="282" spans="1:7" ht="14.25">
      <c r="A282" s="271"/>
      <c r="B282" s="881"/>
      <c r="C282" s="880"/>
      <c r="D282" s="1014"/>
      <c r="E282" s="1014"/>
      <c r="F282" s="1014"/>
      <c r="G282"/>
    </row>
    <row r="283" spans="1:7" ht="14.25">
      <c r="A283" s="271"/>
      <c r="B283" s="271"/>
      <c r="D283" s="209"/>
      <c r="E283" s="209"/>
      <c r="F283" s="209"/>
      <c r="G283"/>
    </row>
    <row r="284" spans="1:7" s="448" customFormat="1" ht="14.45" customHeight="1">
      <c r="A284" s="289"/>
      <c r="B284" s="609" t="s">
        <v>124</v>
      </c>
      <c r="C284" s="798"/>
      <c r="D284" s="1012" t="s">
        <v>1927</v>
      </c>
      <c r="E284" s="1012"/>
      <c r="F284" s="1012"/>
      <c r="G284" s="799"/>
    </row>
    <row r="285" spans="1:7" s="448" customFormat="1" ht="14.25">
      <c r="A285" s="289"/>
      <c r="B285" s="798"/>
      <c r="C285" s="798"/>
      <c r="D285" s="1012"/>
      <c r="E285" s="1012"/>
      <c r="F285" s="1012"/>
      <c r="G285" s="799"/>
    </row>
    <row r="286" spans="1:7" s="448" customFormat="1" ht="14.25">
      <c r="A286" s="289"/>
      <c r="B286" s="798"/>
      <c r="C286" s="798"/>
      <c r="D286" s="1012"/>
      <c r="E286" s="1012"/>
      <c r="F286" s="1012"/>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9" t="s">
        <v>1113</v>
      </c>
      <c r="E289" s="999"/>
      <c r="F289" s="999"/>
      <c r="G289"/>
    </row>
    <row r="290" spans="1:7" ht="14.25">
      <c r="A290" s="271"/>
      <c r="B290" s="271"/>
      <c r="D290" s="999" t="s">
        <v>1561</v>
      </c>
      <c r="E290" s="999"/>
      <c r="F290" s="999"/>
      <c r="G290"/>
    </row>
    <row r="291" spans="1:7" ht="14.25">
      <c r="A291" s="271"/>
      <c r="B291" s="271"/>
      <c r="D291" s="3" t="s">
        <v>1043</v>
      </c>
      <c r="E291" s="927" t="s">
        <v>2077</v>
      </c>
      <c r="F291" s="3"/>
    </row>
    <row r="292" spans="1:7" ht="12.75">
      <c r="D292" s="28"/>
    </row>
    <row r="293" spans="1:7" ht="14.25">
      <c r="A293" s="271"/>
      <c r="B293" s="609" t="s">
        <v>1377</v>
      </c>
      <c r="D293" s="979" t="s">
        <v>1562</v>
      </c>
      <c r="E293" s="979"/>
      <c r="F293" s="979"/>
    </row>
    <row r="294" spans="1:7" ht="14.25">
      <c r="A294" s="271"/>
      <c r="B294" s="271"/>
      <c r="D294" s="979"/>
      <c r="E294" s="979"/>
      <c r="F294" s="979"/>
    </row>
    <row r="295" spans="1:7" ht="12.75">
      <c r="D295" s="28"/>
    </row>
    <row r="296" spans="1:7" ht="12.75">
      <c r="A296" s="1004" t="s">
        <v>1390</v>
      </c>
      <c r="B296" s="1004"/>
      <c r="C296" s="1004"/>
      <c r="D296" s="1004"/>
      <c r="E296" s="1004"/>
      <c r="F296" s="1004"/>
      <c r="G296" s="1004"/>
    </row>
    <row r="297" spans="1:7" ht="12.75">
      <c r="D297" s="28"/>
    </row>
    <row r="298" spans="1:7" ht="12.75">
      <c r="C298" s="590"/>
      <c r="D298" s="1005" t="s">
        <v>1389</v>
      </c>
      <c r="E298" s="1005"/>
      <c r="F298" s="1005"/>
    </row>
    <row r="299" spans="1:7" ht="12.75">
      <c r="A299" s="190"/>
      <c r="B299" s="190"/>
      <c r="C299" s="190"/>
      <c r="D299" s="44"/>
    </row>
    <row r="300" spans="1:7" ht="12.75">
      <c r="A300" s="191"/>
      <c r="B300" s="191"/>
      <c r="C300" s="191"/>
      <c r="D300" s="1005" t="s">
        <v>211</v>
      </c>
      <c r="E300" s="1005"/>
      <c r="F300" s="1005"/>
    </row>
    <row r="301" spans="1:7" ht="14.45" customHeight="1">
      <c r="A301" s="271"/>
      <c r="B301" s="609" t="s">
        <v>124</v>
      </c>
      <c r="D301" s="973" t="s">
        <v>1884</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124</v>
      </c>
      <c r="C305" s="798"/>
      <c r="D305" s="1012" t="s">
        <v>1928</v>
      </c>
      <c r="E305" s="1012"/>
      <c r="F305" s="1012"/>
      <c r="G305" s="799"/>
    </row>
    <row r="306" spans="1:7" s="448" customFormat="1" ht="12.75">
      <c r="A306" s="798"/>
      <c r="B306" s="798"/>
      <c r="C306" s="798"/>
      <c r="D306" s="1012"/>
      <c r="E306" s="1012"/>
      <c r="F306" s="1012"/>
      <c r="G306" s="799"/>
    </row>
    <row r="307" spans="1:7" s="448" customFormat="1" ht="12.75">
      <c r="A307" s="798"/>
      <c r="B307" s="798"/>
      <c r="C307" s="798"/>
      <c r="D307" s="1012"/>
      <c r="E307" s="1012"/>
      <c r="F307" s="1012"/>
      <c r="G307" s="799"/>
    </row>
    <row r="308" spans="1:7" s="448" customFormat="1" ht="12.75">
      <c r="A308" s="798"/>
      <c r="B308" s="798"/>
      <c r="C308" s="798"/>
      <c r="E308" s="373" t="s">
        <v>2078</v>
      </c>
      <c r="F308" s="373"/>
      <c r="G308" s="799"/>
    </row>
    <row r="309" spans="1:7" ht="12.75">
      <c r="D309" s="212"/>
    </row>
    <row r="310" spans="1:7" ht="12.75">
      <c r="A310" s="1004" t="s">
        <v>1391</v>
      </c>
      <c r="B310" s="1004"/>
      <c r="C310" s="1004"/>
      <c r="D310" s="1004"/>
      <c r="E310" s="1004"/>
      <c r="F310" s="1004"/>
      <c r="G310" s="1004"/>
    </row>
    <row r="311" spans="1:7" ht="12.75">
      <c r="D311" s="212"/>
    </row>
    <row r="312" spans="1:7" ht="12.75">
      <c r="C312" s="190"/>
      <c r="D312" s="1006" t="s">
        <v>1563</v>
      </c>
      <c r="E312" s="1006"/>
      <c r="F312" s="1006"/>
    </row>
    <row r="313" spans="1:7" ht="12.75">
      <c r="C313" s="190"/>
      <c r="D313" s="1006"/>
      <c r="E313" s="1006"/>
      <c r="F313" s="1006"/>
    </row>
    <row r="314" spans="1:7" ht="12.75">
      <c r="A314" s="191"/>
      <c r="B314" s="191"/>
      <c r="C314" s="191"/>
      <c r="D314" s="3"/>
    </row>
    <row r="315" spans="1:7" ht="12.75">
      <c r="C315" s="191"/>
      <c r="D315" s="1005" t="s">
        <v>162</v>
      </c>
      <c r="E315" s="1005"/>
      <c r="F315" s="1005"/>
    </row>
    <row r="316" spans="1:7" ht="14.25">
      <c r="A316" s="271"/>
      <c r="B316" s="271"/>
      <c r="D316" s="1016" t="s">
        <v>1564</v>
      </c>
      <c r="E316" s="1016"/>
      <c r="F316" s="1016"/>
    </row>
    <row r="317" spans="1:7" ht="12" customHeight="1"/>
    <row r="318" spans="1:7" ht="14.45" customHeight="1">
      <c r="A318" s="271"/>
      <c r="B318" s="609" t="s">
        <v>1377</v>
      </c>
      <c r="D318" s="979" t="s">
        <v>1565</v>
      </c>
      <c r="E318" s="979"/>
      <c r="F318" s="979"/>
    </row>
    <row r="319" spans="1:7" ht="14.25">
      <c r="A319" s="271"/>
      <c r="B319" s="271"/>
      <c r="D319" s="979"/>
      <c r="E319" s="979"/>
      <c r="F319" s="979"/>
    </row>
    <row r="320" spans="1:7" ht="12.75"/>
    <row r="321" spans="1:7" ht="14.45" customHeight="1">
      <c r="A321" s="271"/>
      <c r="B321" s="609" t="s">
        <v>1377</v>
      </c>
      <c r="D321" s="979" t="s">
        <v>1566</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124</v>
      </c>
      <c r="D325" s="979" t="s">
        <v>1567</v>
      </c>
      <c r="E325" s="979"/>
      <c r="F325" s="979"/>
    </row>
    <row r="326" spans="1:7" ht="14.25">
      <c r="A326" s="271"/>
      <c r="B326" s="271"/>
      <c r="D326" s="979"/>
      <c r="E326" s="979"/>
      <c r="F326" s="979"/>
    </row>
    <row r="327" spans="1:7" ht="12.75">
      <c r="A327" s="18"/>
      <c r="B327" s="18"/>
      <c r="D327" s="44"/>
    </row>
    <row r="328" spans="1:7" ht="12.75">
      <c r="A328" s="1004" t="s">
        <v>1378</v>
      </c>
      <c r="B328" s="1004"/>
      <c r="C328" s="1004"/>
      <c r="D328" s="1004"/>
      <c r="E328" s="1004"/>
      <c r="F328" s="1004"/>
      <c r="G328" s="1004"/>
    </row>
    <row r="329" spans="1:7" ht="12.75">
      <c r="A329" s="18"/>
      <c r="B329" s="18"/>
      <c r="D329" s="44"/>
      <c r="G329"/>
    </row>
    <row r="330" spans="1:7" ht="12.75">
      <c r="C330" s="18"/>
      <c r="D330" s="1005" t="s">
        <v>163</v>
      </c>
      <c r="E330" s="1005"/>
      <c r="F330" s="1005"/>
      <c r="G330"/>
    </row>
    <row r="331" spans="1:7" ht="12.75">
      <c r="C331" s="18"/>
      <c r="D331" s="999" t="s">
        <v>1419</v>
      </c>
      <c r="E331" s="999"/>
      <c r="F331" s="999"/>
      <c r="G331"/>
    </row>
    <row r="332" spans="1:7" ht="12.75">
      <c r="C332" s="18"/>
      <c r="D332" s="182"/>
      <c r="G332"/>
    </row>
    <row r="333" spans="1:7" ht="12.75">
      <c r="B333" s="609" t="s">
        <v>1377</v>
      </c>
      <c r="D333" s="999" t="s">
        <v>1568</v>
      </c>
      <c r="E333" s="999"/>
      <c r="F333" s="999"/>
      <c r="G333"/>
    </row>
    <row r="334" spans="1:7" ht="14.25">
      <c r="A334" s="271"/>
      <c r="B334" s="271"/>
      <c r="D334" s="420"/>
      <c r="G334"/>
    </row>
    <row r="335" spans="1:7" ht="14.25">
      <c r="A335" s="271"/>
      <c r="B335" s="609" t="s">
        <v>1377</v>
      </c>
      <c r="D335" s="999" t="s">
        <v>1569</v>
      </c>
      <c r="E335" s="999"/>
      <c r="F335" s="999"/>
      <c r="G335"/>
    </row>
    <row r="336" spans="1:7" ht="12.75">
      <c r="G336"/>
    </row>
    <row r="337" spans="1:7" ht="14.45" customHeight="1">
      <c r="A337" s="271"/>
      <c r="B337" s="609" t="s">
        <v>1377</v>
      </c>
      <c r="D337" s="979" t="s">
        <v>1575</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124</v>
      </c>
      <c r="D353" s="979" t="s">
        <v>1570</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1377</v>
      </c>
      <c r="D363" s="993" t="s">
        <v>2079</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2.75">
      <c r="D368" s="209"/>
      <c r="E368" s="104" t="s">
        <v>2080</v>
      </c>
      <c r="F368" s="209"/>
    </row>
    <row r="369" spans="1:6" ht="13.5" thickBot="1">
      <c r="D369" s="777"/>
      <c r="E369" s="98"/>
      <c r="F369" s="98"/>
    </row>
    <row r="370" spans="1:6" ht="14.25" thickTop="1" thickBot="1">
      <c r="D370" s="1015" t="s">
        <v>1267</v>
      </c>
      <c r="E370" s="1015"/>
      <c r="F370" s="1015"/>
    </row>
    <row r="371" spans="1:6" ht="13.5" thickTop="1">
      <c r="D371" s="1017" t="s">
        <v>1571</v>
      </c>
      <c r="E371" s="1017"/>
      <c r="F371" s="1017"/>
    </row>
    <row r="372" spans="1:6" ht="12.75">
      <c r="D372" s="44"/>
    </row>
    <row r="373" spans="1:6" ht="14.25">
      <c r="A373" s="271"/>
      <c r="B373" s="609" t="s">
        <v>124</v>
      </c>
      <c r="C373" s="361"/>
      <c r="D373" s="1009" t="s">
        <v>2143</v>
      </c>
      <c r="E373" s="1009"/>
      <c r="F373" s="1009"/>
    </row>
    <row r="374" spans="1:6" ht="14.25">
      <c r="A374" s="271"/>
      <c r="B374" s="271"/>
      <c r="C374" s="361"/>
      <c r="D374" s="420"/>
    </row>
    <row r="375" spans="1:6" ht="14.25">
      <c r="A375" s="271"/>
      <c r="B375" s="609" t="s">
        <v>124</v>
      </c>
      <c r="C375" s="361"/>
      <c r="D375" s="974" t="s">
        <v>2144</v>
      </c>
      <c r="E375" s="997"/>
      <c r="F375" s="997"/>
    </row>
    <row r="376" spans="1:6" ht="14.25">
      <c r="A376" s="271"/>
      <c r="B376" s="271"/>
      <c r="C376" s="361"/>
      <c r="D376" s="997"/>
      <c r="E376" s="997"/>
      <c r="F376" s="997"/>
    </row>
    <row r="377" spans="1:6" ht="14.25">
      <c r="A377" s="271"/>
      <c r="B377" s="271"/>
      <c r="C377" s="361"/>
      <c r="D377" s="997"/>
      <c r="E377" s="997"/>
      <c r="F377" s="997"/>
    </row>
    <row r="378" spans="1:6" ht="14.25">
      <c r="A378" s="271"/>
      <c r="B378" s="271"/>
      <c r="C378" s="361"/>
      <c r="D378" s="997"/>
      <c r="E378" s="997"/>
      <c r="F378" s="997"/>
    </row>
    <row r="379" spans="1:6" ht="14.25">
      <c r="A379" s="271"/>
      <c r="B379" s="271"/>
      <c r="C379" s="361"/>
      <c r="D379" s="997"/>
      <c r="E379" s="997"/>
      <c r="F379" s="997"/>
    </row>
    <row r="380" spans="1:6" ht="14.25">
      <c r="A380" s="271"/>
      <c r="B380" s="271"/>
      <c r="C380" s="361"/>
      <c r="D380" s="997"/>
      <c r="E380" s="997"/>
      <c r="F380" s="997"/>
    </row>
    <row r="381" spans="1:6" ht="14.25">
      <c r="A381" s="271"/>
      <c r="B381" s="271"/>
      <c r="C381" s="361"/>
      <c r="D381" s="997"/>
      <c r="E381" s="997"/>
      <c r="F381" s="997"/>
    </row>
    <row r="382" spans="1:6" ht="14.25">
      <c r="A382" s="271"/>
      <c r="B382" s="271"/>
      <c r="C382" s="361"/>
      <c r="D382" s="997"/>
      <c r="E382" s="997"/>
      <c r="F382" s="997"/>
    </row>
    <row r="383" spans="1:6" ht="14.25">
      <c r="A383" s="271"/>
      <c r="B383" s="271"/>
      <c r="C383" s="361"/>
      <c r="D383" s="997"/>
      <c r="E383" s="997"/>
      <c r="F383" s="997"/>
    </row>
    <row r="384" spans="1:6" ht="14.25">
      <c r="A384" s="271"/>
      <c r="B384" s="271"/>
      <c r="C384" s="361"/>
      <c r="D384" s="997"/>
      <c r="E384" s="997"/>
      <c r="F384" s="997"/>
    </row>
    <row r="385" spans="1:6" ht="14.25">
      <c r="A385" s="271"/>
      <c r="B385" s="271"/>
      <c r="C385" s="361"/>
      <c r="D385" s="627"/>
      <c r="E385" s="627"/>
      <c r="F385" s="627"/>
    </row>
    <row r="386" spans="1:6" ht="14.25">
      <c r="A386" s="271"/>
      <c r="B386" s="609" t="s">
        <v>124</v>
      </c>
      <c r="C386" s="361"/>
      <c r="D386" s="997" t="s">
        <v>1572</v>
      </c>
      <c r="E386" s="997"/>
      <c r="F386" s="997"/>
    </row>
    <row r="387" spans="1:6" ht="12.75">
      <c r="A387" s="361"/>
      <c r="B387" s="361"/>
      <c r="C387" s="361"/>
      <c r="D387" s="997"/>
      <c r="E387" s="997"/>
      <c r="F387" s="997"/>
    </row>
    <row r="388" spans="1:6" ht="12.75">
      <c r="A388" s="361"/>
      <c r="B388" s="361"/>
      <c r="C388" s="361"/>
      <c r="D388" s="997"/>
      <c r="E388" s="997"/>
      <c r="F388" s="997"/>
    </row>
    <row r="389" spans="1:6" ht="12.75">
      <c r="A389" s="361"/>
      <c r="B389" s="361"/>
      <c r="C389" s="361"/>
      <c r="D389" s="997"/>
      <c r="E389" s="997"/>
      <c r="F389" s="997"/>
    </row>
    <row r="390" spans="1:6" ht="12.75">
      <c r="A390" s="361"/>
      <c r="B390" s="361"/>
      <c r="C390" s="361"/>
      <c r="D390" s="627"/>
      <c r="E390" s="627"/>
      <c r="F390" s="627"/>
    </row>
    <row r="391" spans="1:6" ht="12.75">
      <c r="A391" s="361"/>
      <c r="B391" s="361"/>
      <c r="C391" s="361"/>
      <c r="D391" s="997" t="s">
        <v>1573</v>
      </c>
      <c r="E391" s="997"/>
      <c r="F391" s="997"/>
    </row>
    <row r="392" spans="1:6" ht="12.75">
      <c r="A392" s="361"/>
      <c r="B392" s="361"/>
      <c r="C392" s="361"/>
      <c r="D392" s="997"/>
      <c r="E392" s="997"/>
      <c r="F392" s="997"/>
    </row>
    <row r="393" spans="1:6" ht="12.75">
      <c r="A393" s="361"/>
      <c r="B393" s="361"/>
      <c r="C393" s="361"/>
      <c r="D393" s="997"/>
      <c r="E393" s="997"/>
      <c r="F393" s="997"/>
    </row>
    <row r="394" spans="1:6" ht="12.75">
      <c r="A394" s="361"/>
      <c r="B394" s="361"/>
      <c r="C394" s="361"/>
      <c r="D394" s="997"/>
      <c r="E394" s="997"/>
      <c r="F394" s="997"/>
    </row>
    <row r="395" spans="1:6" ht="12.75">
      <c r="A395" s="361"/>
      <c r="B395" s="361"/>
      <c r="C395" s="361"/>
      <c r="D395" s="997"/>
      <c r="E395" s="997"/>
      <c r="F395" s="997"/>
    </row>
    <row r="396" spans="1:6" ht="12.75">
      <c r="A396" s="361"/>
      <c r="B396" s="361"/>
      <c r="C396" s="361"/>
      <c r="D396" s="997"/>
      <c r="E396" s="997"/>
      <c r="F396" s="997"/>
    </row>
    <row r="397" spans="1:6" ht="12.75">
      <c r="A397" s="361"/>
      <c r="B397" s="361"/>
      <c r="C397" s="361"/>
      <c r="D397" s="997"/>
      <c r="E397" s="997"/>
      <c r="F397" s="997"/>
    </row>
    <row r="398" spans="1:6" ht="12.75">
      <c r="A398" s="361"/>
      <c r="B398" s="361"/>
      <c r="C398" s="361"/>
      <c r="D398" s="997"/>
      <c r="E398" s="997"/>
      <c r="F398" s="997"/>
    </row>
    <row r="399" spans="1:6" ht="12.75">
      <c r="A399" s="361"/>
      <c r="B399" s="361"/>
      <c r="C399" s="361"/>
      <c r="D399" s="997"/>
      <c r="E399" s="997"/>
      <c r="F399" s="997"/>
    </row>
    <row r="400" spans="1:6" ht="13.7" customHeight="1">
      <c r="A400" s="361"/>
      <c r="B400" s="361"/>
      <c r="C400" s="361"/>
      <c r="D400" s="997" t="s">
        <v>1576</v>
      </c>
      <c r="E400" s="997"/>
      <c r="F400" s="997"/>
    </row>
    <row r="401" spans="1:6" ht="13.7" customHeight="1">
      <c r="A401" s="361"/>
      <c r="B401" s="361"/>
      <c r="C401" s="361"/>
      <c r="D401" s="997"/>
      <c r="E401" s="997"/>
      <c r="F401" s="997"/>
    </row>
    <row r="402" spans="1:6" ht="13.7" customHeight="1">
      <c r="A402" s="361"/>
      <c r="B402" s="361"/>
      <c r="C402" s="361"/>
      <c r="D402" s="997"/>
      <c r="E402" s="997"/>
      <c r="F402" s="997"/>
    </row>
    <row r="403" spans="1:6" ht="13.7" customHeight="1">
      <c r="A403" s="361"/>
      <c r="B403" s="361"/>
      <c r="C403" s="361"/>
      <c r="D403" s="997"/>
      <c r="E403" s="997"/>
      <c r="F403" s="997"/>
    </row>
    <row r="404" spans="1:6" ht="13.7" customHeight="1">
      <c r="A404" s="361"/>
      <c r="B404" s="361"/>
      <c r="C404" s="361"/>
      <c r="D404" s="997"/>
      <c r="E404" s="997"/>
      <c r="F404" s="997"/>
    </row>
    <row r="405" spans="1:6" ht="13.7" customHeight="1">
      <c r="A405" s="361"/>
      <c r="B405" s="361"/>
      <c r="C405" s="361"/>
      <c r="D405" s="997"/>
      <c r="E405" s="997"/>
      <c r="F405" s="997"/>
    </row>
    <row r="406" spans="1:6" ht="13.7" customHeight="1">
      <c r="A406" s="361"/>
      <c r="B406" s="361"/>
      <c r="C406" s="361"/>
      <c r="D406" s="997"/>
      <c r="E406" s="997"/>
      <c r="F406" s="997"/>
    </row>
    <row r="407" spans="1:6" ht="13.7" customHeight="1">
      <c r="A407" s="361"/>
      <c r="B407" s="361"/>
      <c r="C407" s="361"/>
      <c r="D407" s="997"/>
      <c r="E407" s="997"/>
      <c r="F407" s="997"/>
    </row>
    <row r="408" spans="1:6" ht="13.7" customHeight="1">
      <c r="A408" s="361"/>
      <c r="B408" s="361"/>
      <c r="C408" s="361"/>
      <c r="D408" s="997"/>
      <c r="E408" s="997"/>
      <c r="F408" s="997"/>
    </row>
    <row r="409" spans="1:6" ht="13.7" customHeight="1">
      <c r="A409" s="361"/>
      <c r="B409" s="361"/>
      <c r="C409" s="361"/>
      <c r="D409" s="997"/>
      <c r="E409" s="997"/>
      <c r="F409" s="997"/>
    </row>
    <row r="410" spans="1:6" ht="13.7" customHeight="1">
      <c r="A410" s="361"/>
      <c r="B410" s="361"/>
      <c r="C410" s="361"/>
      <c r="D410" s="997"/>
      <c r="E410" s="997"/>
      <c r="F410" s="997"/>
    </row>
    <row r="411" spans="1:6" ht="13.7" customHeight="1">
      <c r="A411" s="361"/>
      <c r="B411" s="361"/>
      <c r="C411" s="361"/>
      <c r="D411" s="997"/>
      <c r="E411" s="997"/>
      <c r="F411" s="997"/>
    </row>
    <row r="412" spans="1:6" ht="13.7" customHeight="1">
      <c r="A412" s="361"/>
      <c r="B412" s="361"/>
      <c r="C412" s="361"/>
      <c r="D412" s="997"/>
      <c r="E412" s="997"/>
      <c r="F412" s="997"/>
    </row>
    <row r="413" spans="1:6" ht="13.7" customHeight="1">
      <c r="A413" s="361"/>
      <c r="B413" s="361"/>
      <c r="C413" s="361"/>
      <c r="D413" s="997"/>
      <c r="E413" s="997"/>
      <c r="F413" s="997"/>
    </row>
    <row r="414" spans="1:6" ht="13.7" customHeight="1">
      <c r="A414" s="361"/>
      <c r="B414" s="361"/>
      <c r="C414" s="361"/>
      <c r="D414" s="997"/>
      <c r="E414" s="997"/>
      <c r="F414" s="997"/>
    </row>
    <row r="415" spans="1:6" ht="13.7" customHeight="1">
      <c r="A415" s="361"/>
      <c r="B415" s="361"/>
      <c r="C415" s="361"/>
      <c r="D415" s="997"/>
      <c r="E415" s="997"/>
      <c r="F415" s="997"/>
    </row>
    <row r="416" spans="1:6" ht="13.7" customHeight="1">
      <c r="A416" s="361"/>
      <c r="B416" s="361"/>
      <c r="C416" s="361"/>
      <c r="D416" s="997"/>
      <c r="E416" s="997"/>
      <c r="F416" s="997"/>
    </row>
    <row r="417" spans="1:6" ht="13.7" customHeight="1">
      <c r="A417" s="361"/>
      <c r="B417" s="361"/>
      <c r="C417" s="361"/>
      <c r="D417" s="997"/>
      <c r="E417" s="997"/>
      <c r="F417" s="997"/>
    </row>
    <row r="418" spans="1:6" ht="12.75">
      <c r="A418" s="361"/>
      <c r="B418" s="361"/>
      <c r="C418" s="361"/>
      <c r="D418" s="420"/>
    </row>
    <row r="419" spans="1:6" ht="13.7" customHeight="1">
      <c r="A419" s="361"/>
      <c r="B419" s="609" t="s">
        <v>124</v>
      </c>
      <c r="C419" s="361"/>
      <c r="D419" s="997" t="s">
        <v>1574</v>
      </c>
      <c r="E419" s="997"/>
      <c r="F419" s="997"/>
    </row>
    <row r="420" spans="1:6" ht="12.75">
      <c r="A420" s="361"/>
      <c r="B420" s="361"/>
      <c r="C420" s="361"/>
      <c r="D420" s="997"/>
      <c r="E420" s="997"/>
      <c r="F420" s="997"/>
    </row>
    <row r="421" spans="1:6" ht="12.75">
      <c r="A421" s="361"/>
      <c r="B421" s="361"/>
      <c r="C421" s="361"/>
      <c r="D421" s="627"/>
      <c r="E421" s="627"/>
      <c r="F421" s="627"/>
    </row>
    <row r="422" spans="1:6" ht="12.75">
      <c r="A422" s="361"/>
      <c r="B422" s="609" t="s">
        <v>124</v>
      </c>
      <c r="C422" s="361"/>
      <c r="D422" s="1000" t="s">
        <v>1881</v>
      </c>
      <c r="E422" s="1000"/>
      <c r="F422" s="1000"/>
    </row>
    <row r="423" spans="1:6" ht="12.75">
      <c r="A423" s="361"/>
      <c r="B423" s="361"/>
      <c r="C423" s="361"/>
      <c r="D423" s="1000"/>
      <c r="E423" s="1000"/>
      <c r="F423" s="1000"/>
    </row>
    <row r="424" spans="1:6" ht="12.75">
      <c r="A424" s="361"/>
      <c r="B424" s="361"/>
      <c r="C424" s="361"/>
      <c r="D424" s="1000"/>
      <c r="E424" s="1000"/>
      <c r="F424" s="1000"/>
    </row>
    <row r="425" spans="1:6" ht="12.75">
      <c r="A425" s="361"/>
      <c r="B425" s="361"/>
      <c r="C425" s="361"/>
      <c r="D425" s="1000"/>
      <c r="E425" s="1000"/>
      <c r="F425" s="1000"/>
    </row>
    <row r="426" spans="1:6" ht="12.75">
      <c r="A426" s="361"/>
      <c r="B426" s="361"/>
      <c r="C426" s="361"/>
      <c r="D426" s="1000"/>
      <c r="E426" s="1000"/>
      <c r="F426" s="1000"/>
    </row>
    <row r="427" spans="1:6" ht="12.75">
      <c r="A427" s="361"/>
      <c r="B427" s="361"/>
      <c r="C427" s="361"/>
      <c r="D427" s="1000"/>
      <c r="E427" s="1000"/>
      <c r="F427" s="1000"/>
    </row>
    <row r="428" spans="1:6" ht="14.45" customHeight="1">
      <c r="A428" s="271"/>
      <c r="B428" s="609" t="s">
        <v>124</v>
      </c>
      <c r="C428" s="361"/>
      <c r="D428" s="1000" t="s">
        <v>1862</v>
      </c>
      <c r="E428" s="1000"/>
      <c r="F428" s="1000"/>
    </row>
    <row r="429" spans="1:6" ht="14.25">
      <c r="A429" s="500"/>
      <c r="B429" s="500"/>
      <c r="C429" s="361"/>
      <c r="D429" s="1000"/>
      <c r="E429" s="1000"/>
      <c r="F429" s="1000"/>
    </row>
    <row r="430" spans="1:6" ht="14.25">
      <c r="A430" s="500"/>
      <c r="B430" s="500"/>
      <c r="C430" s="361"/>
      <c r="D430" s="1000"/>
      <c r="E430" s="1000"/>
      <c r="F430" s="1000"/>
    </row>
    <row r="431" spans="1:6" ht="14.25">
      <c r="A431" s="500"/>
      <c r="B431" s="500"/>
      <c r="C431" s="361"/>
      <c r="D431" s="1000"/>
      <c r="E431" s="1000"/>
      <c r="F431" s="1000"/>
    </row>
    <row r="432" spans="1:6" ht="14.25" customHeight="1">
      <c r="A432" s="500"/>
      <c r="B432" s="500"/>
      <c r="C432" s="361"/>
      <c r="D432" s="1001" t="s">
        <v>1877</v>
      </c>
      <c r="E432" s="1001"/>
      <c r="F432" s="1001"/>
    </row>
    <row r="433" spans="1:6" ht="12.75">
      <c r="D433" s="44"/>
    </row>
    <row r="434" spans="1:6" ht="14.45" customHeight="1">
      <c r="A434" s="271"/>
      <c r="B434" s="609" t="s">
        <v>124</v>
      </c>
      <c r="C434" s="207"/>
      <c r="D434" s="979" t="s">
        <v>2145</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124</v>
      </c>
      <c r="C466" s="207"/>
      <c r="D466" s="998" t="s">
        <v>2082</v>
      </c>
      <c r="E466" s="999"/>
      <c r="F466" s="999"/>
    </row>
    <row r="467" spans="1:6" ht="12.75">
      <c r="D467"/>
      <c r="E467" s="928" t="s">
        <v>2081</v>
      </c>
      <c r="F467" s="928"/>
    </row>
    <row r="468" spans="1:6" ht="13.7" customHeight="1">
      <c r="D468" s="973" t="s">
        <v>1859</v>
      </c>
      <c r="E468" s="979"/>
      <c r="F468" s="979"/>
    </row>
    <row r="469" spans="1:6" ht="13.7" customHeight="1">
      <c r="D469" s="979"/>
      <c r="E469" s="979"/>
      <c r="F469" s="979"/>
    </row>
    <row r="470" spans="1:6" ht="12.75">
      <c r="D470" s="44"/>
    </row>
    <row r="471" spans="1:6" ht="14.45" customHeight="1">
      <c r="A471" s="271"/>
      <c r="B471" s="609" t="s">
        <v>124</v>
      </c>
      <c r="C471" s="207"/>
      <c r="D471" s="979" t="s">
        <v>1577</v>
      </c>
      <c r="E471" s="979"/>
      <c r="F471" s="979"/>
    </row>
    <row r="472" spans="1:6" ht="12.75">
      <c r="D472" s="979"/>
      <c r="E472" s="979"/>
      <c r="F472" s="979"/>
    </row>
    <row r="473" spans="1:6" ht="12.75">
      <c r="D473" s="979"/>
      <c r="E473" s="979"/>
      <c r="F473" s="979"/>
    </row>
    <row r="474" spans="1:6" ht="12.75">
      <c r="D474" s="24"/>
      <c r="E474" s="24"/>
      <c r="F474" s="24"/>
    </row>
    <row r="475" spans="1:6" ht="14.25">
      <c r="B475" s="609" t="s">
        <v>124</v>
      </c>
      <c r="C475" s="271"/>
      <c r="D475" s="973" t="s">
        <v>1720</v>
      </c>
      <c r="E475" s="979"/>
      <c r="F475" s="979"/>
    </row>
    <row r="476" spans="1:6" ht="12.75">
      <c r="D476" s="979"/>
      <c r="E476" s="979"/>
      <c r="F476" s="979"/>
    </row>
    <row r="477" spans="1:6" ht="12.75">
      <c r="D477" s="44"/>
      <c r="E477" s="44"/>
    </row>
    <row r="478" spans="1:6" ht="14.25">
      <c r="B478" s="609" t="s">
        <v>124</v>
      </c>
      <c r="C478" s="271"/>
      <c r="D478" s="979" t="s">
        <v>1578</v>
      </c>
      <c r="E478" s="979"/>
      <c r="F478" s="979"/>
    </row>
    <row r="479" spans="1:6" ht="12.75">
      <c r="D479" s="979"/>
      <c r="E479" s="979"/>
      <c r="F479" s="979"/>
    </row>
    <row r="480" spans="1:6" ht="12.75">
      <c r="D480" s="979"/>
      <c r="E480" s="979"/>
      <c r="F480" s="979"/>
    </row>
    <row r="481" spans="2:6" ht="12.75">
      <c r="D481" s="979"/>
      <c r="E481" s="979"/>
      <c r="F481" s="979"/>
    </row>
    <row r="482" spans="2:6" ht="12.75">
      <c r="B482" s="609" t="s">
        <v>124</v>
      </c>
      <c r="D482" s="979"/>
      <c r="E482" s="979"/>
      <c r="F482" s="979"/>
    </row>
    <row r="483" spans="2:6" ht="12.75">
      <c r="D483" s="979"/>
      <c r="E483" s="979"/>
      <c r="F483" s="979"/>
    </row>
    <row r="484" spans="2:6" ht="12.75">
      <c r="D484" s="979"/>
      <c r="E484" s="979"/>
      <c r="F484" s="979"/>
    </row>
    <row r="485" spans="2:6" ht="12.75">
      <c r="B485" s="609" t="s">
        <v>124</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124</v>
      </c>
      <c r="D489" s="979"/>
      <c r="E489" s="979"/>
      <c r="F489" s="979"/>
    </row>
    <row r="490" spans="2:6" ht="12.75">
      <c r="D490" s="979"/>
      <c r="E490" s="979"/>
      <c r="F490" s="979"/>
    </row>
    <row r="491" spans="2:6" ht="12.75">
      <c r="B491" s="609" t="s">
        <v>124</v>
      </c>
      <c r="D491" s="979"/>
      <c r="E491" s="979"/>
      <c r="F491" s="979"/>
    </row>
    <row r="492" spans="2:6" ht="12.75">
      <c r="D492" s="979"/>
      <c r="E492" s="979"/>
      <c r="F492" s="979"/>
    </row>
    <row r="493" spans="2:6" ht="13.7" customHeight="1">
      <c r="B493" s="609" t="s">
        <v>124</v>
      </c>
      <c r="D493" s="979" t="s">
        <v>1579</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124</v>
      </c>
      <c r="D499" s="999" t="s">
        <v>1420</v>
      </c>
      <c r="E499" s="999"/>
      <c r="F499" s="999"/>
    </row>
    <row r="500" spans="1:7" ht="12.75">
      <c r="A500" s="44"/>
      <c r="B500" s="44"/>
    </row>
    <row r="501" spans="1:7" ht="12.75">
      <c r="A501" s="1004" t="s">
        <v>1379</v>
      </c>
      <c r="B501" s="1004"/>
      <c r="C501" s="1004"/>
      <c r="D501" s="1004"/>
      <c r="E501" s="1004"/>
      <c r="F501" s="1004"/>
      <c r="G501" s="1004"/>
    </row>
    <row r="502" spans="1:7" ht="12.75">
      <c r="A502" s="44"/>
      <c r="B502" s="44"/>
    </row>
    <row r="503" spans="1:7" ht="12.75">
      <c r="D503" s="1008" t="s">
        <v>1119</v>
      </c>
      <c r="E503" s="1008"/>
      <c r="F503" s="1008"/>
    </row>
    <row r="504" spans="1:7" ht="12.75">
      <c r="D504" s="1009" t="s">
        <v>1413</v>
      </c>
      <c r="E504" s="1009"/>
      <c r="F504" s="1009"/>
    </row>
    <row r="505" spans="1:7" ht="14.25">
      <c r="A505" s="271"/>
      <c r="B505" s="271"/>
      <c r="D505" s="420"/>
    </row>
    <row r="506" spans="1:7" ht="14.25">
      <c r="A506" s="271"/>
      <c r="B506" s="609" t="s">
        <v>1377</v>
      </c>
      <c r="D506" s="997" t="s">
        <v>1580</v>
      </c>
      <c r="E506" s="997"/>
      <c r="F506" s="997"/>
    </row>
    <row r="507" spans="1:7" ht="14.25">
      <c r="A507" s="271"/>
      <c r="B507" s="271"/>
      <c r="D507" s="997"/>
      <c r="E507" s="997"/>
      <c r="F507" s="997"/>
    </row>
    <row r="508" spans="1:7" ht="14.25">
      <c r="A508" s="271"/>
      <c r="B508" s="271"/>
      <c r="D508" s="44"/>
    </row>
    <row r="509" spans="1:7" ht="14.25">
      <c r="A509" s="271"/>
      <c r="B509" s="609" t="s">
        <v>1377</v>
      </c>
      <c r="D509" s="1010" t="s">
        <v>1878</v>
      </c>
      <c r="E509" s="1007"/>
      <c r="F509" s="1007"/>
    </row>
    <row r="510" spans="1:7" ht="14.25">
      <c r="A510" s="271"/>
      <c r="B510" s="271"/>
      <c r="D510" s="1007"/>
      <c r="E510" s="1007"/>
      <c r="F510" s="1007"/>
    </row>
    <row r="511" spans="1:7" ht="14.25">
      <c r="A511" s="271"/>
      <c r="B511" s="271"/>
      <c r="D511" s="1007"/>
      <c r="E511" s="1007"/>
      <c r="F511" s="1007"/>
      <c r="G511"/>
    </row>
    <row r="512" spans="1:7" ht="14.25">
      <c r="A512" s="271"/>
      <c r="B512" s="271"/>
      <c r="D512" s="1007"/>
      <c r="E512" s="1007"/>
      <c r="F512" s="1007"/>
      <c r="G512"/>
    </row>
    <row r="513" spans="1:7" ht="12.75">
      <c r="G513"/>
    </row>
    <row r="514" spans="1:7" ht="14.25">
      <c r="A514" s="271"/>
      <c r="B514" s="609" t="s">
        <v>1377</v>
      </c>
      <c r="D514" s="999" t="s">
        <v>1582</v>
      </c>
      <c r="E514" s="999"/>
      <c r="F514" s="999"/>
      <c r="G514"/>
    </row>
    <row r="515" spans="1:7" ht="12.75">
      <c r="D515" s="44"/>
      <c r="G515"/>
    </row>
    <row r="516" spans="1:7" ht="14.25">
      <c r="A516" s="271"/>
      <c r="B516" s="609" t="s">
        <v>1377</v>
      </c>
      <c r="D516" s="979" t="s">
        <v>1583</v>
      </c>
      <c r="E516" s="979"/>
      <c r="F516" s="979"/>
      <c r="G516"/>
    </row>
    <row r="517" spans="1:7" ht="12.75">
      <c r="D517" s="979"/>
      <c r="E517" s="979"/>
      <c r="F517" s="979"/>
      <c r="G517"/>
    </row>
    <row r="518" spans="1:7" ht="12.75">
      <c r="D518" s="420"/>
      <c r="G518"/>
    </row>
    <row r="519" spans="1:7" ht="14.25">
      <c r="A519" s="271"/>
      <c r="B519" s="609" t="s">
        <v>124</v>
      </c>
      <c r="D519" s="999" t="s">
        <v>1581</v>
      </c>
      <c r="E519" s="999"/>
      <c r="F519" s="999"/>
    </row>
    <row r="520" spans="1:7" ht="14.25">
      <c r="A520" s="271"/>
      <c r="B520" s="271"/>
      <c r="D520" s="44"/>
    </row>
    <row r="521" spans="1:7" ht="12.75">
      <c r="A521" s="1004" t="s">
        <v>1380</v>
      </c>
      <c r="B521" s="1004"/>
      <c r="C521" s="1004"/>
      <c r="D521" s="1004"/>
      <c r="E521" s="1004"/>
      <c r="F521" s="1004"/>
      <c r="G521" s="1004"/>
    </row>
    <row r="522" spans="1:7" ht="12" customHeight="1">
      <c r="A522" s="271"/>
      <c r="B522" s="271"/>
      <c r="D522" s="44"/>
    </row>
    <row r="523" spans="1:7" ht="12.75">
      <c r="B523" s="609" t="s">
        <v>1377</v>
      </c>
      <c r="C523" s="190"/>
      <c r="D523" s="1028" t="s">
        <v>1526</v>
      </c>
      <c r="E523" s="1028"/>
      <c r="F523" s="1028"/>
    </row>
    <row r="524" spans="1:7" ht="12.75">
      <c r="C524" s="190"/>
      <c r="D524" s="1028"/>
      <c r="E524" s="1028"/>
      <c r="F524" s="1028"/>
    </row>
    <row r="525" spans="1:7" ht="12.75">
      <c r="A525" s="191"/>
      <c r="B525" s="191"/>
      <c r="C525" s="191"/>
      <c r="D525" s="1028"/>
      <c r="E525" s="1028"/>
      <c r="F525" s="1028"/>
    </row>
    <row r="526" spans="1:7" ht="12.75">
      <c r="A526" s="191"/>
      <c r="B526" s="191"/>
      <c r="C526" s="191"/>
      <c r="D526" s="1028"/>
      <c r="E526" s="1028"/>
      <c r="F526" s="1028"/>
    </row>
    <row r="527" spans="1:7" ht="12.75">
      <c r="A527" s="191"/>
      <c r="B527" s="191"/>
      <c r="C527" s="191"/>
    </row>
    <row r="528" spans="1:7" ht="14.25">
      <c r="A528" s="271"/>
      <c r="B528" s="609" t="s">
        <v>124</v>
      </c>
      <c r="C528" s="207"/>
      <c r="D528" s="979" t="s">
        <v>2146</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997" t="s">
        <v>2147</v>
      </c>
      <c r="E533" s="997"/>
      <c r="F533" s="997"/>
      <c r="G533"/>
    </row>
    <row r="534" spans="1:7" ht="14.25">
      <c r="A534" s="271"/>
      <c r="B534" s="271"/>
      <c r="D534" s="997"/>
      <c r="E534" s="997"/>
      <c r="F534" s="997"/>
      <c r="G534"/>
    </row>
    <row r="535" spans="1:7" ht="12.75">
      <c r="D535" s="997"/>
      <c r="E535" s="997"/>
      <c r="F535" s="997"/>
    </row>
    <row r="536" spans="1:7" ht="12" customHeight="1">
      <c r="A536" s="44"/>
      <c r="B536" s="44"/>
      <c r="C536" s="207"/>
      <c r="E536" s="44"/>
    </row>
    <row r="537" spans="1:7" ht="12.75">
      <c r="A537" s="1004" t="s">
        <v>1392</v>
      </c>
      <c r="B537" s="1004"/>
      <c r="C537" s="1004"/>
      <c r="D537" s="1004"/>
      <c r="E537" s="1004"/>
      <c r="F537" s="1004"/>
      <c r="G537" s="1004"/>
    </row>
    <row r="538" spans="1:7" ht="12" customHeight="1">
      <c r="A538" s="44"/>
      <c r="B538" s="44"/>
      <c r="C538" s="207"/>
      <c r="E538" s="44"/>
    </row>
    <row r="539" spans="1:7" ht="12.75">
      <c r="C539" s="207"/>
      <c r="D539" s="1005" t="s">
        <v>1421</v>
      </c>
      <c r="E539" s="1005"/>
      <c r="F539" s="1005"/>
    </row>
    <row r="540" spans="1:7" ht="12.75"/>
    <row r="541" spans="1:7" ht="12.75">
      <c r="B541" s="609" t="s">
        <v>124</v>
      </c>
      <c r="D541" s="979" t="s">
        <v>1552</v>
      </c>
      <c r="E541" s="979"/>
      <c r="F541" s="979"/>
    </row>
    <row r="542" spans="1:7" ht="12.75">
      <c r="D542" s="979"/>
      <c r="E542" s="979"/>
      <c r="F542" s="979"/>
    </row>
    <row r="543" spans="1:7" ht="12" customHeight="1">
      <c r="A543" s="207"/>
      <c r="B543" s="207"/>
      <c r="C543" s="207"/>
      <c r="D543" s="44"/>
    </row>
    <row r="544" spans="1:7" ht="14.25">
      <c r="A544" s="271"/>
      <c r="B544" s="609" t="s">
        <v>124</v>
      </c>
      <c r="C544" s="207"/>
      <c r="D544" s="979" t="s">
        <v>1553</v>
      </c>
      <c r="E544" s="979"/>
      <c r="F544" s="979"/>
    </row>
    <row r="545" spans="1:7" ht="12.75">
      <c r="A545" s="207"/>
      <c r="B545" s="207"/>
      <c r="C545" s="207"/>
      <c r="D545" s="979"/>
      <c r="E545" s="979"/>
      <c r="F545" s="979"/>
    </row>
    <row r="546" spans="1:7" ht="12" customHeight="1">
      <c r="A546" s="207"/>
      <c r="B546" s="207"/>
      <c r="C546" s="207"/>
      <c r="D546" s="44"/>
    </row>
    <row r="547" spans="1:7" ht="12.75">
      <c r="A547" s="1024" t="s">
        <v>1428</v>
      </c>
      <c r="B547" s="1024"/>
      <c r="C547" s="1024"/>
      <c r="D547" s="1024"/>
      <c r="E547" s="1024"/>
      <c r="F547" s="1024"/>
      <c r="G547" s="1024"/>
    </row>
    <row r="548" spans="1:7" ht="12" customHeight="1">
      <c r="A548" s="44"/>
      <c r="B548" s="44"/>
      <c r="C548" s="207"/>
      <c r="D548" s="44"/>
    </row>
    <row r="549" spans="1:7" ht="12.75">
      <c r="C549" s="207"/>
      <c r="D549" s="1005" t="s">
        <v>164</v>
      </c>
      <c r="E549" s="1005"/>
      <c r="F549" s="1005"/>
    </row>
    <row r="550" spans="1:7" ht="12.75">
      <c r="C550" s="207"/>
      <c r="D550" s="999" t="s">
        <v>1535</v>
      </c>
      <c r="E550" s="999"/>
      <c r="F550" s="999"/>
    </row>
    <row r="551" spans="1:7" ht="12.75">
      <c r="C551" s="207"/>
      <c r="D551" s="44"/>
      <c r="E551" s="44"/>
      <c r="F551" s="44"/>
    </row>
    <row r="552" spans="1:7" ht="14.25">
      <c r="A552" s="271"/>
      <c r="B552" s="609" t="s">
        <v>1377</v>
      </c>
      <c r="C552" s="207"/>
      <c r="D552" s="999" t="s">
        <v>1114</v>
      </c>
      <c r="E552" s="999"/>
      <c r="F552" s="999"/>
    </row>
    <row r="553" spans="1:7" ht="12" customHeight="1">
      <c r="A553" s="207"/>
      <c r="B553" s="207"/>
      <c r="C553" s="207"/>
      <c r="D553" s="44"/>
      <c r="E553"/>
      <c r="F553"/>
      <c r="G553"/>
    </row>
    <row r="554" spans="1:7" ht="14.45" customHeight="1">
      <c r="A554" s="271"/>
      <c r="B554" s="609" t="s">
        <v>1377</v>
      </c>
      <c r="C554" s="207"/>
      <c r="D554" s="979" t="s">
        <v>1534</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1377</v>
      </c>
      <c r="C557" s="207"/>
      <c r="D557" s="979" t="s">
        <v>1536</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1377</v>
      </c>
      <c r="C560" s="207"/>
      <c r="D560" s="979" t="s">
        <v>1537</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1377</v>
      </c>
      <c r="C563" s="207"/>
      <c r="D563" s="979" t="s">
        <v>1538</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124</v>
      </c>
      <c r="C567" s="207"/>
      <c r="D567" s="973" t="s">
        <v>1632</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124</v>
      </c>
      <c r="C570" s="207"/>
      <c r="D570" s="979" t="s">
        <v>1539</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1377</v>
      </c>
      <c r="C573" s="207"/>
      <c r="D573" s="999" t="s">
        <v>1540</v>
      </c>
      <c r="E573" s="999"/>
      <c r="F573" s="999"/>
      <c r="G573"/>
    </row>
    <row r="574" spans="1:7" ht="14.25">
      <c r="A574" s="271"/>
      <c r="B574" s="271"/>
      <c r="C574" s="207"/>
      <c r="D574" s="1027" t="s">
        <v>2085</v>
      </c>
      <c r="E574" s="1027"/>
      <c r="F574" s="1027"/>
      <c r="G574"/>
    </row>
    <row r="575" spans="1:7" ht="12.75">
      <c r="A575" s="18"/>
      <c r="B575" s="18"/>
      <c r="C575" s="207"/>
      <c r="D575" s="931"/>
      <c r="E575" s="104" t="s">
        <v>2086</v>
      </c>
      <c r="F575" s="932"/>
      <c r="G575"/>
    </row>
    <row r="576" spans="1:7" ht="15" customHeight="1">
      <c r="A576" s="18"/>
      <c r="B576" s="18"/>
      <c r="C576" s="207"/>
      <c r="D576" s="973" t="s">
        <v>1754</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1377</v>
      </c>
      <c r="C586" s="207"/>
      <c r="D586" s="999" t="s">
        <v>1541</v>
      </c>
      <c r="E586" s="999"/>
      <c r="F586" s="999"/>
      <c r="G586"/>
    </row>
    <row r="587" spans="1:7" ht="13.7" customHeight="1">
      <c r="C587" s="207"/>
      <c r="D587" s="979" t="s">
        <v>1542</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1377</v>
      </c>
      <c r="C591" s="207"/>
      <c r="D591" s="979" t="s">
        <v>2148</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124</v>
      </c>
      <c r="C596" s="191"/>
      <c r="D596" s="1002" t="s">
        <v>1816</v>
      </c>
      <c r="E596" s="1003"/>
      <c r="F596" s="1003"/>
    </row>
    <row r="597" spans="1:7" ht="12.75">
      <c r="A597" s="191"/>
      <c r="B597" s="191"/>
      <c r="C597" s="191"/>
    </row>
    <row r="598" spans="1:7" ht="12.75">
      <c r="A598" s="207"/>
      <c r="B598" s="207"/>
      <c r="C598" s="207"/>
      <c r="D598" s="24"/>
      <c r="E598" s="24"/>
      <c r="F598" s="24"/>
    </row>
    <row r="599" spans="1:7" ht="12.75">
      <c r="A599" s="1004" t="s">
        <v>1394</v>
      </c>
      <c r="B599" s="1004"/>
      <c r="C599" s="1004"/>
      <c r="D599" s="1004"/>
      <c r="E599" s="1004"/>
      <c r="F599" s="1004"/>
      <c r="G599" s="1004"/>
    </row>
    <row r="600" spans="1:7" ht="12.75">
      <c r="A600" s="207"/>
      <c r="B600" s="207"/>
      <c r="C600" s="207"/>
    </row>
    <row r="601" spans="1:7" ht="12.75">
      <c r="C601" s="190"/>
      <c r="D601" s="1006" t="s">
        <v>165</v>
      </c>
      <c r="E601" s="1006"/>
      <c r="F601" s="1006"/>
    </row>
    <row r="602" spans="1:7" ht="12.75">
      <c r="C602" s="190"/>
      <c r="D602" s="1007" t="s">
        <v>1443</v>
      </c>
      <c r="E602" s="1007"/>
      <c r="F602" s="1007"/>
    </row>
    <row r="603" spans="1:7" ht="12.75">
      <c r="C603" s="190"/>
      <c r="D603" s="371"/>
    </row>
    <row r="604" spans="1:7" ht="14.25">
      <c r="A604" s="271"/>
      <c r="B604" s="609" t="s">
        <v>1377</v>
      </c>
      <c r="D604" s="1007" t="s">
        <v>1115</v>
      </c>
      <c r="E604" s="1007"/>
      <c r="F604" s="1007"/>
    </row>
    <row r="605" spans="1:7" ht="12.75">
      <c r="A605" s="18"/>
      <c r="B605" s="18"/>
      <c r="D605" s="361"/>
    </row>
    <row r="606" spans="1:7" ht="14.45" customHeight="1">
      <c r="A606" s="271"/>
      <c r="B606" s="609" t="s">
        <v>1377</v>
      </c>
      <c r="D606" s="1007" t="s">
        <v>2149</v>
      </c>
      <c r="E606" s="1007"/>
      <c r="F606" s="1007"/>
    </row>
    <row r="607" spans="1:7" ht="14.45" customHeight="1">
      <c r="A607" s="271"/>
      <c r="B607" s="271"/>
      <c r="D607" s="1007"/>
      <c r="E607" s="1007"/>
      <c r="F607" s="1007"/>
    </row>
    <row r="608" spans="1:7" ht="14.25">
      <c r="A608" s="271"/>
      <c r="B608" s="271"/>
      <c r="D608" s="1007"/>
      <c r="E608" s="1007"/>
      <c r="F608" s="1007"/>
    </row>
    <row r="609" spans="1:7" ht="14.25">
      <c r="A609" s="271"/>
      <c r="B609" s="271"/>
      <c r="D609" s="613"/>
      <c r="E609" s="613"/>
      <c r="F609" s="613"/>
    </row>
    <row r="610" spans="1:7" ht="14.25">
      <c r="A610" s="271"/>
      <c r="B610" s="609" t="s">
        <v>124</v>
      </c>
      <c r="D610" s="1007" t="s">
        <v>1444</v>
      </c>
      <c r="E610" s="1007"/>
      <c r="F610" s="1007"/>
    </row>
    <row r="611" spans="1:7" ht="14.25">
      <c r="A611" s="271"/>
      <c r="B611" s="271"/>
      <c r="D611" s="1007"/>
      <c r="E611" s="1007"/>
      <c r="F611" s="1007"/>
    </row>
    <row r="612" spans="1:7" ht="14.25">
      <c r="A612" s="271"/>
      <c r="B612" s="271"/>
      <c r="D612" s="1007"/>
      <c r="E612" s="1007"/>
      <c r="F612" s="1007"/>
    </row>
    <row r="613" spans="1:7" ht="14.25">
      <c r="A613" s="271"/>
      <c r="B613" s="271"/>
      <c r="D613" s="1007"/>
      <c r="E613" s="1007"/>
      <c r="F613" s="1007"/>
    </row>
    <row r="614" spans="1:7" ht="14.25">
      <c r="A614" s="271"/>
      <c r="B614" s="271"/>
      <c r="D614" s="371"/>
    </row>
    <row r="615" spans="1:7" ht="14.25">
      <c r="A615" s="271"/>
      <c r="B615" s="609" t="s">
        <v>1377</v>
      </c>
      <c r="D615" s="1007" t="s">
        <v>2150</v>
      </c>
      <c r="E615" s="1007"/>
      <c r="F615" s="1007"/>
    </row>
    <row r="616" spans="1:7" ht="14.25">
      <c r="A616" s="271"/>
      <c r="B616" s="271"/>
      <c r="D616" s="1007"/>
      <c r="E616" s="1007"/>
      <c r="F616" s="1007"/>
    </row>
    <row r="617" spans="1:7" ht="14.25">
      <c r="A617" s="271"/>
      <c r="B617" s="271"/>
      <c r="D617" s="371"/>
    </row>
    <row r="618" spans="1:7" ht="14.45" customHeight="1">
      <c r="A618" s="271"/>
      <c r="B618" s="609" t="s">
        <v>124</v>
      </c>
      <c r="D618" s="1007" t="s">
        <v>1448</v>
      </c>
      <c r="E618" s="1007"/>
      <c r="F618" s="1007"/>
    </row>
    <row r="619" spans="1:7" ht="14.25">
      <c r="A619" s="271"/>
      <c r="B619" s="271"/>
      <c r="D619" s="1007"/>
      <c r="E619" s="1007"/>
      <c r="F619" s="1007"/>
    </row>
    <row r="620" spans="1:7" ht="14.25">
      <c r="A620" s="271"/>
      <c r="B620" s="271"/>
      <c r="D620" s="371"/>
    </row>
    <row r="621" spans="1:7" ht="14.25">
      <c r="A621" s="271"/>
      <c r="B621" s="609" t="s">
        <v>1377</v>
      </c>
      <c r="D621" s="1007" t="s">
        <v>1116</v>
      </c>
      <c r="E621" s="1007"/>
      <c r="F621" s="1007"/>
    </row>
    <row r="622" spans="1:7" ht="12.75">
      <c r="A622" s="18"/>
      <c r="B622" s="18"/>
    </row>
    <row r="623" spans="1:7" ht="12.75">
      <c r="A623" s="1004" t="s">
        <v>1396</v>
      </c>
      <c r="B623" s="1004"/>
      <c r="C623" s="1004"/>
      <c r="D623" s="1004"/>
      <c r="E623" s="1004"/>
      <c r="F623" s="1004"/>
      <c r="G623" s="1004"/>
    </row>
    <row r="624" spans="1:7" ht="12.75">
      <c r="A624" s="63"/>
      <c r="B624" s="63"/>
    </row>
    <row r="625" spans="1:7" ht="12.75">
      <c r="C625" s="191"/>
      <c r="D625" s="1013" t="s">
        <v>1395</v>
      </c>
      <c r="E625" s="1013"/>
      <c r="F625" s="1013"/>
    </row>
    <row r="626" spans="1:7" ht="12.75">
      <c r="C626" s="191"/>
      <c r="D626" s="1003" t="s">
        <v>1422</v>
      </c>
      <c r="E626" s="1003"/>
      <c r="F626" s="1003"/>
    </row>
    <row r="627" spans="1:7" ht="12.75">
      <c r="C627" s="191"/>
      <c r="D627" s="102"/>
      <c r="E627" s="102"/>
      <c r="F627" s="102"/>
    </row>
    <row r="628" spans="1:7" ht="14.25" customHeight="1">
      <c r="A628" s="271"/>
      <c r="B628" s="609" t="s">
        <v>1377</v>
      </c>
      <c r="D628" s="994" t="s">
        <v>2088</v>
      </c>
      <c r="E628" s="995"/>
      <c r="F628" s="995"/>
    </row>
    <row r="629" spans="1:7" ht="12.75">
      <c r="D629" s="995"/>
      <c r="E629" s="995"/>
      <c r="F629" s="995"/>
    </row>
    <row r="630" spans="1:7" ht="12.75">
      <c r="D630" s="933"/>
      <c r="E630" s="927" t="s">
        <v>2087</v>
      </c>
      <c r="F630" s="933"/>
    </row>
    <row r="631" spans="1:7" ht="12.75">
      <c r="A631" s="63"/>
      <c r="B631" s="63"/>
    </row>
    <row r="632" spans="1:7" ht="12" customHeight="1">
      <c r="A632" s="1004" t="s">
        <v>1398</v>
      </c>
      <c r="B632" s="1004"/>
      <c r="C632" s="1004"/>
      <c r="D632" s="1004"/>
      <c r="E632" s="1004"/>
      <c r="F632" s="1004"/>
      <c r="G632" s="1004"/>
    </row>
    <row r="633" spans="1:7" ht="12.75">
      <c r="A633" s="44"/>
      <c r="B633" s="44"/>
    </row>
    <row r="634" spans="1:7" ht="12.75">
      <c r="C634" s="190"/>
      <c r="D634" s="1005" t="s">
        <v>1397</v>
      </c>
      <c r="E634" s="1005"/>
      <c r="F634" s="1005"/>
    </row>
    <row r="635" spans="1:7" ht="12.75">
      <c r="A635" s="191"/>
      <c r="B635" s="191"/>
      <c r="C635" s="191"/>
      <c r="D635" s="999" t="s">
        <v>1554</v>
      </c>
      <c r="E635" s="999"/>
      <c r="F635" s="999"/>
    </row>
    <row r="636" spans="1:7" ht="12.75">
      <c r="A636" s="191"/>
      <c r="B636" s="191"/>
      <c r="C636" s="191"/>
    </row>
    <row r="637" spans="1:7" ht="14.25">
      <c r="A637" s="271"/>
      <c r="B637" s="271"/>
      <c r="D637" s="1013" t="s">
        <v>871</v>
      </c>
      <c r="E637" s="1013"/>
      <c r="F637" s="1013"/>
    </row>
    <row r="638" spans="1:7" ht="14.25">
      <c r="A638" s="271"/>
      <c r="B638" s="609" t="s">
        <v>1377</v>
      </c>
      <c r="D638" s="1003" t="s">
        <v>1555</v>
      </c>
      <c r="E638" s="1003"/>
      <c r="F638" s="1003"/>
    </row>
    <row r="639" spans="1:7" ht="14.25">
      <c r="A639" s="271"/>
      <c r="B639" s="271"/>
      <c r="D639" s="44"/>
    </row>
    <row r="640" spans="1:7" ht="14.25">
      <c r="A640" s="271"/>
      <c r="B640" s="609" t="s">
        <v>124</v>
      </c>
      <c r="D640" s="979" t="s">
        <v>1556</v>
      </c>
      <c r="E640" s="979"/>
      <c r="F640" s="979"/>
    </row>
    <row r="641" spans="1:7" ht="14.25">
      <c r="A641" s="271"/>
      <c r="B641" s="271"/>
      <c r="D641" s="979"/>
      <c r="E641" s="979"/>
      <c r="F641" s="979"/>
    </row>
    <row r="642" spans="1:7" ht="14.25">
      <c r="A642" s="271"/>
      <c r="B642" s="271"/>
      <c r="D642" s="44"/>
    </row>
    <row r="643" spans="1:7" ht="14.25">
      <c r="A643" s="271"/>
      <c r="B643" s="609" t="s">
        <v>1377</v>
      </c>
      <c r="D643" s="973" t="s">
        <v>1924</v>
      </c>
      <c r="E643" s="973"/>
      <c r="F643" s="973"/>
    </row>
    <row r="644" spans="1:7" ht="13.7" customHeight="1">
      <c r="D644" s="973"/>
      <c r="E644" s="973"/>
      <c r="F644" s="973"/>
    </row>
    <row r="645" spans="1:7" ht="12.75"/>
    <row r="646" spans="1:7" ht="14.25">
      <c r="A646" s="271"/>
      <c r="B646" s="609" t="s">
        <v>124</v>
      </c>
      <c r="D646" s="1003" t="s">
        <v>1557</v>
      </c>
      <c r="E646" s="1003"/>
      <c r="F646" s="1003"/>
    </row>
    <row r="647" spans="1:7" ht="12.75">
      <c r="A647" s="190"/>
      <c r="B647" s="190"/>
      <c r="C647" s="190"/>
    </row>
    <row r="648" spans="1:7" ht="12.75">
      <c r="A648" s="1004" t="s">
        <v>1399</v>
      </c>
      <c r="B648" s="1004"/>
      <c r="C648" s="1004"/>
      <c r="D648" s="1004"/>
      <c r="E648" s="1004"/>
      <c r="F648" s="1004"/>
      <c r="G648" s="1004"/>
    </row>
    <row r="649" spans="1:7" ht="12.75">
      <c r="A649" s="190"/>
      <c r="B649" s="190"/>
      <c r="C649" s="190"/>
    </row>
    <row r="650" spans="1:7" ht="12.75">
      <c r="C650" s="18"/>
      <c r="D650" s="1043" t="s">
        <v>1423</v>
      </c>
      <c r="E650" s="1043"/>
      <c r="F650" s="1043"/>
    </row>
    <row r="651" spans="1:7" ht="12.75">
      <c r="A651" s="18"/>
      <c r="B651" s="18"/>
      <c r="D651" s="3"/>
    </row>
    <row r="652" spans="1:7" ht="14.25" customHeight="1">
      <c r="A652" s="271"/>
      <c r="B652" s="609" t="s">
        <v>1377</v>
      </c>
      <c r="D652" s="994" t="s">
        <v>2151</v>
      </c>
      <c r="E652" s="994"/>
      <c r="F652" s="994"/>
    </row>
    <row r="653" spans="1:7" ht="14.25">
      <c r="A653" s="271"/>
      <c r="B653" s="271"/>
      <c r="D653" s="994"/>
      <c r="E653" s="994"/>
      <c r="F653" s="994"/>
    </row>
    <row r="654" spans="1:7" ht="12.75">
      <c r="D654" s="933"/>
      <c r="E654" s="927" t="s">
        <v>2090</v>
      </c>
      <c r="F654" s="933"/>
    </row>
    <row r="655" spans="1:7" ht="12.75">
      <c r="D655" s="976" t="s">
        <v>2089</v>
      </c>
      <c r="E655" s="976"/>
      <c r="F655" s="976"/>
    </row>
    <row r="656" spans="1:7" ht="12.75" customHeight="1">
      <c r="D656" s="976"/>
      <c r="E656" s="976"/>
      <c r="F656" s="976"/>
    </row>
    <row r="657" spans="1:9" ht="12.75">
      <c r="B657"/>
      <c r="D657" s="976"/>
      <c r="E657" s="976"/>
      <c r="F657" s="976"/>
    </row>
    <row r="658" spans="1:9" ht="12.75"/>
    <row r="659" spans="1:9" ht="14.25">
      <c r="A659" s="303"/>
      <c r="B659" s="609" t="s">
        <v>124</v>
      </c>
      <c r="D659" s="1044" t="s">
        <v>1558</v>
      </c>
      <c r="E659" s="1044"/>
      <c r="F659" s="1044"/>
      <c r="G659" s="44"/>
    </row>
    <row r="660" spans="1:9" ht="14.25">
      <c r="A660" s="303"/>
      <c r="B660" s="303"/>
      <c r="D660" s="1044"/>
      <c r="E660" s="1044"/>
      <c r="F660" s="1044"/>
      <c r="G660" s="44"/>
    </row>
    <row r="661" spans="1:9" ht="14.25">
      <c r="A661" s="303"/>
      <c r="B661" s="303"/>
      <c r="D661" s="44"/>
      <c r="E661" s="44"/>
      <c r="F661" s="44"/>
      <c r="G661" s="44"/>
    </row>
    <row r="662" spans="1:9" ht="13.7" customHeight="1">
      <c r="A662" s="303"/>
      <c r="B662" s="609" t="s">
        <v>124</v>
      </c>
      <c r="D662" s="1014" t="s">
        <v>1817</v>
      </c>
      <c r="E662" s="1014"/>
      <c r="F662" s="1014"/>
      <c r="G662" s="44"/>
    </row>
    <row r="663" spans="1:9" ht="14.25">
      <c r="A663" s="303"/>
      <c r="B663" s="303"/>
      <c r="D663" s="1014"/>
      <c r="E663" s="1014"/>
      <c r="F663" s="1014"/>
      <c r="G663" s="44"/>
    </row>
    <row r="664" spans="1:9" ht="14.25">
      <c r="A664" s="271"/>
      <c r="B664" s="271"/>
      <c r="D664" s="626"/>
      <c r="E664" s="626"/>
      <c r="F664" s="626"/>
      <c r="G664" s="44"/>
    </row>
    <row r="665" spans="1:9" ht="14.25">
      <c r="A665" s="271"/>
      <c r="B665" s="609" t="s">
        <v>124</v>
      </c>
      <c r="C665" s="207"/>
      <c r="D665" s="1045" t="s">
        <v>1559</v>
      </c>
      <c r="E665" s="1045"/>
      <c r="F665" s="1045"/>
      <c r="G665" s="44"/>
    </row>
    <row r="666" spans="1:9" ht="12.75">
      <c r="A666" s="44"/>
      <c r="B666" s="44"/>
      <c r="C666" s="207"/>
      <c r="D666" s="44"/>
      <c r="E666" s="44"/>
      <c r="F666" s="44"/>
      <c r="G666" s="44"/>
      <c r="H666" s="267"/>
      <c r="I666" s="267"/>
    </row>
    <row r="667" spans="1:9" ht="12.75">
      <c r="A667" s="1004" t="s">
        <v>1401</v>
      </c>
      <c r="B667" s="1004"/>
      <c r="C667" s="1004"/>
      <c r="D667" s="1004"/>
      <c r="E667" s="1004"/>
      <c r="F667" s="1004"/>
      <c r="G667" s="1004"/>
    </row>
    <row r="668" spans="1:9" ht="12.75">
      <c r="A668" s="44"/>
      <c r="B668" s="44"/>
      <c r="C668" s="207"/>
      <c r="D668" s="44"/>
      <c r="E668" s="44"/>
      <c r="F668" s="44"/>
      <c r="G668" s="44"/>
    </row>
    <row r="669" spans="1:9" ht="12.75">
      <c r="C669" s="190"/>
      <c r="D669" s="1005" t="s">
        <v>1400</v>
      </c>
      <c r="E669" s="1005"/>
      <c r="F669" s="1005"/>
      <c r="G669" s="44"/>
    </row>
    <row r="670" spans="1:9" ht="12.75">
      <c r="A670" s="191"/>
      <c r="B670" s="191"/>
      <c r="C670" s="191"/>
      <c r="D670" s="999" t="s">
        <v>1424</v>
      </c>
      <c r="E670" s="999"/>
      <c r="F670" s="999"/>
      <c r="G670" s="44"/>
    </row>
    <row r="671" spans="1:9" ht="12.75">
      <c r="A671" s="191"/>
      <c r="B671" s="191"/>
      <c r="C671" s="191"/>
      <c r="D671" s="44"/>
      <c r="E671" s="44"/>
      <c r="F671" s="44"/>
      <c r="G671" s="44"/>
    </row>
    <row r="672" spans="1:9" ht="14.45" customHeight="1">
      <c r="A672" s="271"/>
      <c r="B672" s="609" t="s">
        <v>1377</v>
      </c>
      <c r="C672" s="207"/>
      <c r="D672" s="973" t="s">
        <v>1880</v>
      </c>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c r="A676" s="271"/>
      <c r="B676" s="271"/>
      <c r="C676" s="207"/>
      <c r="D676" s="973"/>
      <c r="E676" s="973"/>
      <c r="F676" s="973"/>
      <c r="G676" s="44"/>
    </row>
    <row r="677" spans="1:7" ht="14.25">
      <c r="A677" s="271"/>
      <c r="B677" s="271"/>
      <c r="C677" s="207"/>
      <c r="D677" s="973"/>
      <c r="E677" s="973"/>
      <c r="F677" s="973"/>
      <c r="G677" s="44"/>
    </row>
    <row r="678" spans="1:7" ht="14.25" hidden="1">
      <c r="A678" s="271"/>
      <c r="B678" s="271"/>
      <c r="C678" s="207"/>
      <c r="D678" s="371"/>
      <c r="F678" s="44"/>
      <c r="G678" s="44"/>
    </row>
    <row r="679" spans="1:7" ht="14.25" hidden="1">
      <c r="A679" s="271"/>
      <c r="B679" s="609" t="s">
        <v>79</v>
      </c>
      <c r="C679" s="207"/>
      <c r="D679" s="1030" t="s">
        <v>1441</v>
      </c>
      <c r="E679" s="1030"/>
      <c r="F679" s="1030"/>
      <c r="G679" s="44"/>
    </row>
    <row r="680" spans="1:7" ht="14.25" hidden="1">
      <c r="A680" s="271"/>
      <c r="B680" s="271"/>
      <c r="C680" s="207"/>
      <c r="D680" s="1025" t="s">
        <v>2152</v>
      </c>
      <c r="E680" s="1025"/>
      <c r="F680" s="1025"/>
      <c r="G680" s="44"/>
    </row>
    <row r="681" spans="1:7" ht="14.25" hidden="1">
      <c r="A681" s="271"/>
      <c r="B681" s="271"/>
      <c r="C681" s="207"/>
      <c r="D681" s="1025"/>
      <c r="E681" s="1025"/>
      <c r="F681" s="1025"/>
      <c r="G681" s="44"/>
    </row>
    <row r="682" spans="1:7" ht="14.25" hidden="1">
      <c r="A682" s="271"/>
      <c r="B682" s="271"/>
      <c r="C682" s="207"/>
      <c r="D682" s="1025"/>
      <c r="E682" s="1025"/>
      <c r="F682" s="1025"/>
      <c r="G682" s="44"/>
    </row>
    <row r="683" spans="1:7" ht="14.25" hidden="1">
      <c r="A683" s="271"/>
      <c r="B683" s="271"/>
      <c r="C683" s="207"/>
      <c r="D683" s="1025"/>
      <c r="E683" s="1025"/>
      <c r="F683" s="1025"/>
      <c r="G683" s="44"/>
    </row>
    <row r="684" spans="1:7" ht="14.25" hidden="1">
      <c r="A684" s="271"/>
      <c r="B684" s="271"/>
      <c r="C684" s="207"/>
      <c r="D684" s="1025"/>
      <c r="E684" s="1025"/>
      <c r="F684" s="1025"/>
      <c r="G684" s="44"/>
    </row>
    <row r="685" spans="1:7" ht="14.25" hidden="1">
      <c r="A685" s="271"/>
      <c r="B685" s="271"/>
      <c r="C685" s="207"/>
      <c r="D685" s="1046" t="s">
        <v>1879</v>
      </c>
      <c r="E685" s="1046"/>
      <c r="F685" s="1046"/>
      <c r="G685" s="44"/>
    </row>
    <row r="686" spans="1:7" ht="12.75">
      <c r="A686" s="44"/>
      <c r="B686" s="44"/>
      <c r="C686" s="207"/>
      <c r="D686" s="44"/>
      <c r="E686" s="44"/>
      <c r="F686" s="44"/>
      <c r="G686" s="44"/>
    </row>
    <row r="687" spans="1:7" ht="12.75">
      <c r="A687" s="1004" t="s">
        <v>1402</v>
      </c>
      <c r="B687" s="1004"/>
      <c r="C687" s="1004"/>
      <c r="D687" s="1004"/>
      <c r="E687" s="1004"/>
      <c r="F687" s="1004"/>
      <c r="G687" s="1004"/>
    </row>
    <row r="688" spans="1:7" ht="12.75">
      <c r="A688" s="44"/>
      <c r="B688" s="44"/>
      <c r="C688" s="207"/>
      <c r="D688" s="44"/>
      <c r="E688" s="44"/>
      <c r="F688" s="44"/>
      <c r="G688" s="44"/>
    </row>
    <row r="689" spans="1:7" ht="12.75">
      <c r="C689" s="190"/>
      <c r="D689" s="1005" t="s">
        <v>784</v>
      </c>
      <c r="E689" s="1005"/>
      <c r="F689" s="1005"/>
      <c r="G689" s="44"/>
    </row>
    <row r="690" spans="1:7" ht="12.75">
      <c r="A690" s="190"/>
      <c r="B690" s="190"/>
      <c r="C690" s="190"/>
      <c r="D690" s="1005" t="s">
        <v>872</v>
      </c>
      <c r="E690" s="1005"/>
      <c r="F690" s="1005"/>
      <c r="G690" s="44"/>
    </row>
    <row r="691" spans="1:7" ht="12.75">
      <c r="A691" s="191"/>
      <c r="B691" s="191"/>
      <c r="C691" s="191"/>
      <c r="D691" s="999" t="s">
        <v>1525</v>
      </c>
      <c r="E691" s="999"/>
      <c r="F691" s="999"/>
    </row>
    <row r="692" spans="1:7" ht="14.25" customHeight="1">
      <c r="A692" s="191"/>
      <c r="B692" s="191"/>
      <c r="C692" s="191"/>
    </row>
    <row r="693" spans="1:7" ht="14.25">
      <c r="A693" s="271"/>
      <c r="B693" s="609" t="s">
        <v>1377</v>
      </c>
      <c r="C693" s="191"/>
      <c r="D693" s="999" t="s">
        <v>1117</v>
      </c>
      <c r="E693" s="999"/>
      <c r="F693" s="999"/>
    </row>
    <row r="694" spans="1:7" ht="12.75">
      <c r="A694" s="191"/>
      <c r="B694" s="191"/>
      <c r="C694" s="191"/>
      <c r="D694" s="999" t="s">
        <v>1134</v>
      </c>
      <c r="E694" s="999"/>
      <c r="F694" s="999"/>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1377</v>
      </c>
      <c r="C698" s="191"/>
      <c r="D698" s="979" t="s">
        <v>2153</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1377</v>
      </c>
      <c r="C702" s="191"/>
      <c r="D702" s="999" t="s">
        <v>1175</v>
      </c>
      <c r="E702" s="999"/>
      <c r="F702" s="999"/>
    </row>
    <row r="703" spans="1:7" ht="14.25">
      <c r="A703" s="271"/>
      <c r="B703" s="271"/>
      <c r="C703" s="191"/>
      <c r="D703" s="999" t="s">
        <v>1134</v>
      </c>
      <c r="E703" s="999"/>
      <c r="F703" s="999"/>
    </row>
    <row r="704" spans="1:7" ht="12.75">
      <c r="A704" s="191"/>
      <c r="B704" s="191"/>
      <c r="C704" s="191"/>
      <c r="E704" s="1016" t="s">
        <v>2093</v>
      </c>
      <c r="F704" s="1016"/>
    </row>
    <row r="705" spans="1:6" ht="12.75">
      <c r="A705" s="191"/>
      <c r="B705" s="191"/>
      <c r="C705" s="191"/>
      <c r="D705" s="3"/>
    </row>
    <row r="706" spans="1:6" ht="14.25">
      <c r="A706" s="271"/>
      <c r="B706" s="609" t="s">
        <v>124</v>
      </c>
      <c r="C706" s="191"/>
      <c r="D706" s="979" t="s">
        <v>1527</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124</v>
      </c>
      <c r="C713" s="191"/>
      <c r="D713" s="973" t="s">
        <v>1734</v>
      </c>
      <c r="E713" s="979"/>
      <c r="F713" s="979"/>
    </row>
    <row r="714" spans="1:6" ht="12.75">
      <c r="A714" s="191"/>
      <c r="B714" s="191"/>
      <c r="C714" s="191"/>
      <c r="D714" s="979"/>
      <c r="E714" s="979"/>
      <c r="F714" s="979"/>
    </row>
    <row r="715" spans="1:6" ht="12.75">
      <c r="A715" s="191"/>
      <c r="B715" s="191"/>
      <c r="C715" s="191"/>
    </row>
    <row r="716" spans="1:6" ht="14.45" customHeight="1">
      <c r="A716" s="271"/>
      <c r="B716" s="609" t="s">
        <v>124</v>
      </c>
      <c r="C716" s="191"/>
      <c r="D716" s="979" t="s">
        <v>1528</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124</v>
      </c>
      <c r="C729" s="191"/>
      <c r="D729" s="979" t="s">
        <v>1532</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124</v>
      </c>
      <c r="C732" s="191"/>
      <c r="D732" s="979" t="s">
        <v>1533</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124</v>
      </c>
      <c r="C736" s="191"/>
      <c r="D736" s="973" t="s">
        <v>1925</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124</v>
      </c>
      <c r="C740" s="191"/>
      <c r="D740" s="979" t="s">
        <v>1529</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124</v>
      </c>
      <c r="C744" s="191"/>
      <c r="D744" s="979" t="s">
        <v>1531</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124</v>
      </c>
      <c r="C749" s="191"/>
      <c r="D749" s="973" t="s">
        <v>2219</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41" t="s">
        <v>1530</v>
      </c>
      <c r="E756" s="1041"/>
      <c r="F756" s="1041"/>
      <c r="H756" s="267"/>
      <c r="I756" s="267"/>
    </row>
    <row r="757" spans="1:9" ht="12.75">
      <c r="A757" s="191"/>
      <c r="B757" s="191"/>
      <c r="C757" s="191"/>
      <c r="D757" s="560"/>
      <c r="H757" s="267"/>
      <c r="I757" s="267"/>
    </row>
    <row r="758" spans="1:9" ht="12.75">
      <c r="A758" s="1024" t="s">
        <v>1429</v>
      </c>
      <c r="B758" s="1024"/>
      <c r="C758" s="1024"/>
      <c r="D758" s="1024"/>
      <c r="E758" s="1024"/>
      <c r="F758" s="1024"/>
      <c r="G758" s="1024"/>
      <c r="H758" s="267"/>
      <c r="I758" s="267"/>
    </row>
    <row r="759" spans="1:9" ht="12.75">
      <c r="A759" s="191"/>
      <c r="B759" s="191"/>
      <c r="C759" s="191"/>
      <c r="D759" s="212"/>
      <c r="H759" s="267"/>
      <c r="I759" s="267"/>
    </row>
    <row r="760" spans="1:9" ht="12.75">
      <c r="C760" s="191"/>
      <c r="D760" s="1006" t="s">
        <v>1449</v>
      </c>
      <c r="E760" s="1006"/>
      <c r="F760" s="1006"/>
      <c r="H760" s="267"/>
      <c r="I760" s="267"/>
    </row>
    <row r="761" spans="1:9" ht="12.75">
      <c r="A761" s="190"/>
      <c r="B761" s="190"/>
      <c r="C761" s="190"/>
      <c r="D761" s="1003" t="s">
        <v>1452</v>
      </c>
      <c r="E761" s="1003"/>
      <c r="F761" s="1003"/>
      <c r="H761" s="267"/>
      <c r="I761" s="267"/>
    </row>
    <row r="762" spans="1:9" ht="12.75">
      <c r="A762" s="191"/>
      <c r="B762" s="191"/>
      <c r="C762" s="191"/>
      <c r="H762" s="267"/>
      <c r="I762" s="267"/>
    </row>
    <row r="763" spans="1:9" ht="14.25" customHeight="1">
      <c r="A763" s="271"/>
      <c r="B763" s="609" t="s">
        <v>1377</v>
      </c>
      <c r="D763" s="979" t="s">
        <v>1450</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1377</v>
      </c>
      <c r="D770" s="1014" t="s">
        <v>1866</v>
      </c>
      <c r="E770" s="1014"/>
      <c r="F770" s="1014"/>
      <c r="H770" s="267"/>
      <c r="I770" s="267"/>
    </row>
    <row r="771" spans="1:9" ht="12.75">
      <c r="D771" s="1014"/>
      <c r="E771" s="1014"/>
      <c r="F771" s="1014"/>
      <c r="H771" s="267"/>
      <c r="I771" s="267"/>
    </row>
    <row r="772" spans="1:9" ht="12.75">
      <c r="D772" s="1014"/>
      <c r="E772" s="1014"/>
      <c r="F772" s="1014"/>
      <c r="H772" s="267"/>
      <c r="I772" s="267"/>
    </row>
    <row r="773" spans="1:9" ht="12.75">
      <c r="D773" s="1014"/>
      <c r="E773" s="1014"/>
      <c r="F773" s="1014"/>
      <c r="H773" s="267"/>
      <c r="I773" s="267"/>
    </row>
    <row r="774" spans="1:9" ht="12.75">
      <c r="D774" s="44"/>
      <c r="H774" s="267"/>
      <c r="I774" s="267"/>
    </row>
    <row r="775" spans="1:9" ht="12.75">
      <c r="B775" s="609" t="s">
        <v>124</v>
      </c>
      <c r="C775" s="433"/>
      <c r="D775" s="1012" t="s">
        <v>1867</v>
      </c>
      <c r="E775" s="1025"/>
      <c r="F775" s="1025"/>
      <c r="G775" s="372"/>
      <c r="H775" s="267"/>
      <c r="I775" s="267"/>
    </row>
    <row r="776" spans="1:9" ht="12.75">
      <c r="A776" s="433"/>
      <c r="B776" s="433"/>
      <c r="C776" s="433"/>
      <c r="D776" s="1025"/>
      <c r="E776" s="1025"/>
      <c r="F776" s="1025"/>
      <c r="G776" s="372"/>
      <c r="H776" s="267"/>
      <c r="I776" s="267"/>
    </row>
    <row r="777" spans="1:9" ht="12.75">
      <c r="A777" s="433"/>
      <c r="B777" s="433"/>
      <c r="C777" s="433"/>
      <c r="D777" s="1025"/>
      <c r="E777" s="1025"/>
      <c r="F777" s="1025"/>
      <c r="G777" s="372"/>
      <c r="H777" s="267"/>
      <c r="I777" s="267"/>
    </row>
    <row r="778" spans="1:9" ht="12.75">
      <c r="D778" s="44"/>
      <c r="E778" s="44"/>
      <c r="F778" s="44"/>
      <c r="H778" s="267"/>
      <c r="I778" s="267"/>
    </row>
    <row r="779" spans="1:9" ht="12.75">
      <c r="B779" s="609" t="s">
        <v>1377</v>
      </c>
      <c r="D779" s="979" t="s">
        <v>1451</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124</v>
      </c>
      <c r="D782" s="973" t="s">
        <v>1757</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24" t="s">
        <v>1593</v>
      </c>
      <c r="B786" s="1024"/>
      <c r="C786" s="1024"/>
      <c r="D786" s="1024"/>
      <c r="E786" s="1024"/>
      <c r="F786" s="1024"/>
      <c r="G786" s="1024"/>
      <c r="H786" s="267"/>
      <c r="I786" s="267"/>
    </row>
    <row r="787" spans="1:9" ht="12.75">
      <c r="A787" s="63"/>
      <c r="B787" s="63"/>
      <c r="H787" s="267"/>
      <c r="I787" s="267"/>
    </row>
    <row r="788" spans="1:9" ht="13.7" customHeight="1">
      <c r="A788" s="63"/>
      <c r="B788" s="63"/>
      <c r="D788" s="1052" t="s">
        <v>1594</v>
      </c>
      <c r="E788" s="1052"/>
      <c r="F788" s="1052"/>
      <c r="H788" s="267"/>
      <c r="I788" s="267"/>
    </row>
    <row r="789" spans="1:9" ht="12.75">
      <c r="A789" s="63"/>
      <c r="B789" s="63"/>
      <c r="D789" s="1009" t="s">
        <v>1595</v>
      </c>
      <c r="E789" s="1009"/>
      <c r="F789" s="1009"/>
      <c r="H789" s="267"/>
      <c r="I789" s="267"/>
    </row>
    <row r="790" spans="1:9" ht="12.75">
      <c r="A790" s="63"/>
      <c r="B790" s="63"/>
      <c r="D790" s="420"/>
      <c r="E790" s="420"/>
      <c r="F790" s="420"/>
      <c r="H790" s="267"/>
      <c r="I790" s="267"/>
    </row>
    <row r="791" spans="1:9" ht="12.75">
      <c r="A791" s="63"/>
      <c r="B791" s="609" t="s">
        <v>1377</v>
      </c>
      <c r="D791" s="1025" t="s">
        <v>1596</v>
      </c>
      <c r="E791" s="1025"/>
      <c r="F791" s="1025"/>
      <c r="H791" s="267"/>
      <c r="I791" s="267"/>
    </row>
    <row r="792" spans="1:9" ht="12.75">
      <c r="A792" s="63"/>
      <c r="B792" s="63"/>
      <c r="D792" s="1025"/>
      <c r="E792" s="1025"/>
      <c r="F792" s="1025"/>
      <c r="H792" s="267"/>
      <c r="I792" s="267"/>
    </row>
    <row r="793" spans="1:9" ht="12.75">
      <c r="A793" s="191"/>
      <c r="B793" s="191"/>
      <c r="C793" s="191"/>
      <c r="D793" s="1025"/>
      <c r="E793" s="1025"/>
      <c r="F793" s="1025"/>
      <c r="G793" s="44"/>
      <c r="H793" s="267"/>
      <c r="I793" s="267"/>
    </row>
    <row r="794" spans="1:9" ht="12.75">
      <c r="D794" s="192"/>
      <c r="H794" s="267"/>
      <c r="I794" s="267"/>
    </row>
    <row r="795" spans="1:9" ht="12.75">
      <c r="A795" s="190"/>
      <c r="B795" s="609" t="s">
        <v>124</v>
      </c>
      <c r="C795" s="190"/>
      <c r="D795" s="1012" t="s">
        <v>2214</v>
      </c>
      <c r="E795" s="1025"/>
      <c r="F795" s="1025"/>
      <c r="H795" s="267"/>
      <c r="I795" s="267"/>
    </row>
    <row r="796" spans="1:9" ht="12.75">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2.75">
      <c r="A798" s="191"/>
      <c r="B798" s="191"/>
      <c r="C798" s="191"/>
      <c r="E798" s="188"/>
      <c r="F798" s="188"/>
      <c r="G798" s="188"/>
      <c r="H798" s="267"/>
      <c r="I798" s="267"/>
    </row>
    <row r="799" spans="1:9" ht="14.45" customHeight="1">
      <c r="A799" s="271"/>
      <c r="B799" s="609" t="s">
        <v>124</v>
      </c>
      <c r="C799" s="207"/>
      <c r="D799" s="1012" t="s">
        <v>1698</v>
      </c>
      <c r="E799" s="1012"/>
      <c r="F799" s="1012"/>
      <c r="G799" s="188"/>
      <c r="H799" s="267"/>
      <c r="I799" s="267"/>
    </row>
    <row r="800" spans="1:9" ht="14.25">
      <c r="A800" s="271"/>
      <c r="B800" s="271"/>
      <c r="C800" s="207"/>
      <c r="D800" s="1012"/>
      <c r="E800" s="1012"/>
      <c r="F800" s="1012"/>
      <c r="G800" s="188"/>
      <c r="H800" s="267"/>
      <c r="I800" s="267"/>
    </row>
    <row r="801" spans="1:9" ht="14.25">
      <c r="A801" s="271"/>
      <c r="B801" s="271"/>
      <c r="C801" s="207"/>
      <c r="D801" s="1012"/>
      <c r="E801" s="1012"/>
      <c r="F801" s="1012"/>
      <c r="G801" s="188"/>
      <c r="H801" s="267"/>
      <c r="I801" s="267"/>
    </row>
    <row r="802" spans="1:9" ht="14.25">
      <c r="A802" s="271"/>
      <c r="B802" s="271"/>
      <c r="C802" s="207"/>
      <c r="D802" s="44"/>
      <c r="G802" s="188"/>
      <c r="H802" s="267"/>
      <c r="I802" s="267"/>
    </row>
    <row r="803" spans="1:9" ht="14.25" customHeight="1">
      <c r="A803" s="271"/>
      <c r="B803" s="609" t="s">
        <v>1377</v>
      </c>
      <c r="C803" s="207"/>
      <c r="D803" s="1025" t="s">
        <v>1597</v>
      </c>
      <c r="E803" s="1025"/>
      <c r="F803" s="1025"/>
      <c r="G803" s="188"/>
      <c r="H803" s="267"/>
      <c r="I803" s="267"/>
    </row>
    <row r="804" spans="1:9" ht="14.25">
      <c r="A804" s="271"/>
      <c r="B804" s="271"/>
      <c r="C804" s="207"/>
      <c r="D804" s="1025"/>
      <c r="E804" s="1025"/>
      <c r="F804" s="1025"/>
      <c r="G804" s="188"/>
      <c r="H804" s="267"/>
      <c r="I804" s="267"/>
    </row>
    <row r="805" spans="1:9" ht="14.25">
      <c r="A805" s="271"/>
      <c r="B805" s="271"/>
      <c r="C805" s="207"/>
      <c r="D805" s="1025"/>
      <c r="E805" s="1025"/>
      <c r="F805" s="1025"/>
      <c r="G805" s="188"/>
      <c r="H805" s="267"/>
      <c r="I805" s="267"/>
    </row>
    <row r="806" spans="1:9" ht="14.25">
      <c r="A806" s="271"/>
      <c r="B806" s="271"/>
      <c r="C806" s="207"/>
      <c r="D806" s="1025"/>
      <c r="E806" s="1025"/>
      <c r="F806" s="1025"/>
      <c r="G806" s="188"/>
      <c r="H806" s="267"/>
      <c r="I806" s="267"/>
    </row>
    <row r="807" spans="1:9" ht="14.25">
      <c r="A807" s="271"/>
      <c r="B807" s="271"/>
      <c r="C807" s="207"/>
      <c r="D807" s="1025"/>
      <c r="E807" s="1025"/>
      <c r="F807" s="1025"/>
      <c r="G807" s="188"/>
      <c r="H807" s="267"/>
      <c r="I807" s="267"/>
    </row>
    <row r="808" spans="1:9" ht="14.25">
      <c r="A808" s="271"/>
      <c r="B808" s="271"/>
      <c r="C808" s="207"/>
      <c r="D808" s="1012" t="s">
        <v>2013</v>
      </c>
      <c r="E808" s="1012"/>
      <c r="F808" s="1012"/>
      <c r="G808" s="188"/>
      <c r="H808" s="267"/>
      <c r="I808" s="267"/>
    </row>
    <row r="809" spans="1:9" ht="14.25">
      <c r="A809" s="271"/>
      <c r="B809" s="271"/>
      <c r="C809" s="207"/>
      <c r="D809" s="1012"/>
      <c r="E809" s="1012"/>
      <c r="F809" s="1012"/>
      <c r="G809" s="188"/>
      <c r="H809" s="267"/>
      <c r="I809" s="267"/>
    </row>
    <row r="810" spans="1:9" ht="14.25">
      <c r="A810" s="271"/>
      <c r="B810" s="271"/>
      <c r="C810" s="207"/>
      <c r="D810" s="1012"/>
      <c r="E810" s="1012"/>
      <c r="F810" s="1012"/>
      <c r="G810" s="188"/>
      <c r="H810" s="267"/>
      <c r="I810" s="267"/>
    </row>
    <row r="811" spans="1:9" ht="14.25">
      <c r="A811" s="271"/>
      <c r="C811" s="207"/>
      <c r="D811" s="793"/>
      <c r="E811" s="793"/>
      <c r="F811" s="793"/>
      <c r="G811" s="188"/>
      <c r="H811" s="267"/>
      <c r="I811" s="267"/>
    </row>
    <row r="812" spans="1:9" ht="14.25">
      <c r="A812" s="271"/>
      <c r="B812" s="609" t="s">
        <v>124</v>
      </c>
      <c r="C812" s="207"/>
      <c r="D812" s="1025" t="s">
        <v>1599</v>
      </c>
      <c r="E812" s="1025"/>
      <c r="F812" s="1025"/>
      <c r="G812" s="188"/>
      <c r="H812" s="267"/>
      <c r="I812" s="267"/>
    </row>
    <row r="813" spans="1:9" ht="14.25">
      <c r="A813" s="271"/>
      <c r="B813" s="271"/>
      <c r="C813" s="207"/>
      <c r="D813" s="1025"/>
      <c r="E813" s="1025"/>
      <c r="F813" s="1025"/>
      <c r="G813" s="188"/>
      <c r="H813" s="267"/>
      <c r="I813" s="267"/>
    </row>
    <row r="814" spans="1:9" ht="14.25">
      <c r="A814" s="271"/>
      <c r="B814" s="271"/>
      <c r="C814" s="207"/>
      <c r="D814" s="1025"/>
      <c r="E814" s="1025"/>
      <c r="F814" s="1025"/>
      <c r="G814" s="188"/>
      <c r="H814" s="267"/>
      <c r="I814" s="267"/>
    </row>
    <row r="815" spans="1:9" ht="14.25">
      <c r="A815" s="271"/>
      <c r="B815" s="271"/>
      <c r="C815" s="207"/>
      <c r="D815" s="1025"/>
      <c r="E815" s="1025"/>
      <c r="F815" s="1025"/>
      <c r="G815" s="188"/>
      <c r="H815" s="267"/>
      <c r="I815" s="267"/>
    </row>
    <row r="816" spans="1:9" ht="14.25">
      <c r="A816" s="271"/>
      <c r="B816" s="271"/>
      <c r="C816" s="207"/>
      <c r="D816" s="1025"/>
      <c r="E816" s="1025"/>
      <c r="F816" s="1025"/>
      <c r="G816" s="188"/>
      <c r="H816" s="267"/>
      <c r="I816" s="267"/>
    </row>
    <row r="817" spans="1:9" ht="14.25">
      <c r="A817" s="271"/>
      <c r="B817" s="271"/>
      <c r="C817" s="207"/>
      <c r="D817" s="1025"/>
      <c r="E817" s="1025"/>
      <c r="F817" s="1025"/>
      <c r="G817" s="188"/>
      <c r="H817" s="267"/>
      <c r="I817" s="267"/>
    </row>
    <row r="818" spans="1:9" ht="14.25">
      <c r="A818" s="271"/>
      <c r="B818" s="271"/>
      <c r="C818" s="207"/>
      <c r="D818" s="654"/>
      <c r="E818" s="654"/>
      <c r="F818" s="654"/>
      <c r="G818" s="188"/>
      <c r="H818" s="267"/>
      <c r="I818" s="267"/>
    </row>
    <row r="819" spans="1:9" ht="14.25">
      <c r="A819" s="271"/>
      <c r="B819" s="609" t="s">
        <v>124</v>
      </c>
      <c r="C819" s="207"/>
      <c r="D819" s="1012" t="s">
        <v>1868</v>
      </c>
      <c r="E819" s="1025"/>
      <c r="F819" s="1025"/>
      <c r="G819" s="188"/>
      <c r="H819" s="267"/>
      <c r="I819" s="267"/>
    </row>
    <row r="820" spans="1:9" ht="14.25">
      <c r="A820" s="271"/>
      <c r="B820" s="271"/>
      <c r="C820" s="207"/>
      <c r="D820" s="1025"/>
      <c r="E820" s="1025"/>
      <c r="F820" s="1025"/>
      <c r="G820" s="188"/>
      <c r="H820" s="267"/>
      <c r="I820" s="267"/>
    </row>
    <row r="821" spans="1:9" ht="14.25">
      <c r="A821" s="271"/>
      <c r="B821" s="271"/>
      <c r="C821" s="207"/>
      <c r="D821" s="1025"/>
      <c r="E821" s="1025"/>
      <c r="F821" s="1025"/>
      <c r="G821" s="188"/>
      <c r="H821" s="267"/>
      <c r="I821" s="267"/>
    </row>
    <row r="822" spans="1:9" ht="14.25">
      <c r="A822" s="271"/>
      <c r="B822" s="271"/>
      <c r="C822" s="207"/>
      <c r="D822" s="1025"/>
      <c r="E822" s="1025"/>
      <c r="F822" s="1025"/>
      <c r="G822" s="188"/>
      <c r="H822" s="267"/>
      <c r="I822" s="267"/>
    </row>
    <row r="823" spans="1:9" ht="14.25">
      <c r="A823" s="271"/>
      <c r="B823" s="271"/>
      <c r="C823" s="207"/>
      <c r="D823" s="1025"/>
      <c r="E823" s="1025"/>
      <c r="F823" s="1025"/>
      <c r="G823" s="188"/>
      <c r="H823" s="267"/>
      <c r="I823" s="267"/>
    </row>
    <row r="824" spans="1:9" ht="14.25">
      <c r="A824" s="271"/>
      <c r="B824" s="271"/>
      <c r="C824" s="207"/>
      <c r="D824" s="654"/>
      <c r="E824" s="654"/>
      <c r="F824" s="654"/>
      <c r="G824" s="188"/>
      <c r="H824" s="267"/>
      <c r="I824" s="267"/>
    </row>
    <row r="825" spans="1:9" ht="14.25">
      <c r="A825" s="271"/>
      <c r="B825" s="609" t="s">
        <v>124</v>
      </c>
      <c r="C825" s="207"/>
      <c r="D825" s="1025" t="s">
        <v>1598</v>
      </c>
      <c r="E825" s="1025"/>
      <c r="F825" s="1025"/>
      <c r="G825" s="188"/>
      <c r="H825" s="267"/>
      <c r="I825" s="267"/>
    </row>
    <row r="826" spans="1:9" ht="14.25">
      <c r="A826" s="271"/>
      <c r="B826" s="271"/>
      <c r="C826" s="207"/>
      <c r="D826" s="1025"/>
      <c r="E826" s="1025"/>
      <c r="F826" s="1025"/>
      <c r="G826" s="188"/>
      <c r="H826" s="267"/>
      <c r="I826" s="267"/>
    </row>
    <row r="827" spans="1:9" ht="14.25">
      <c r="A827" s="271"/>
      <c r="B827" s="271"/>
      <c r="C827" s="207"/>
      <c r="D827" s="1025"/>
      <c r="E827" s="1025"/>
      <c r="F827" s="1025"/>
      <c r="G827" s="188"/>
      <c r="H827" s="267"/>
      <c r="I827" s="267"/>
    </row>
    <row r="828" spans="1:9" ht="14.25">
      <c r="A828" s="271"/>
      <c r="B828" s="271"/>
      <c r="C828" s="207"/>
      <c r="D828" s="1025"/>
      <c r="E828" s="1025"/>
      <c r="F828" s="1025"/>
      <c r="G828" s="188"/>
      <c r="H828" s="267"/>
      <c r="I828" s="267"/>
    </row>
    <row r="829" spans="1:9" ht="14.25">
      <c r="A829" s="271"/>
      <c r="B829" s="271"/>
      <c r="C829" s="207"/>
      <c r="D829" s="188"/>
      <c r="G829" s="188"/>
      <c r="H829" s="267"/>
      <c r="I829" s="267"/>
    </row>
    <row r="830" spans="1:9" ht="14.25">
      <c r="A830" s="271"/>
      <c r="B830" s="609" t="s">
        <v>124</v>
      </c>
      <c r="C830" s="207"/>
      <c r="D830" s="1033" t="s">
        <v>1601</v>
      </c>
      <c r="E830" s="1033"/>
      <c r="F830" s="1033"/>
      <c r="G830" s="188"/>
      <c r="H830" s="267"/>
      <c r="I830" s="267"/>
    </row>
    <row r="831" spans="1:9" ht="14.25">
      <c r="A831" s="271"/>
      <c r="B831" s="271"/>
      <c r="C831" s="207"/>
      <c r="D831" s="1033"/>
      <c r="E831" s="1033"/>
      <c r="F831" s="1033"/>
      <c r="G831" s="188"/>
      <c r="H831" s="267"/>
      <c r="I831" s="267"/>
    </row>
    <row r="832" spans="1:9" ht="12.75">
      <c r="A832" s="18"/>
      <c r="B832" s="18"/>
      <c r="C832" s="207"/>
      <c r="D832" s="1033"/>
      <c r="E832" s="1033"/>
      <c r="F832" s="1033"/>
      <c r="G832" s="188"/>
      <c r="H832" s="267"/>
      <c r="I832" s="267"/>
    </row>
    <row r="833" spans="1:9" ht="14.25">
      <c r="A833" s="271"/>
      <c r="B833" s="18"/>
      <c r="C833" s="207"/>
      <c r="D833" s="1033"/>
      <c r="E833" s="1033"/>
      <c r="F833" s="1033"/>
      <c r="G833" s="188"/>
      <c r="H833" s="267"/>
      <c r="I833" s="267"/>
    </row>
    <row r="834" spans="1:9" ht="14.25">
      <c r="A834" s="271"/>
      <c r="B834" s="18"/>
      <c r="C834" s="207"/>
      <c r="D834" s="1033"/>
      <c r="E834" s="1033"/>
      <c r="F834" s="1033"/>
      <c r="G834" s="188"/>
      <c r="H834" s="267"/>
      <c r="I834" s="267"/>
    </row>
    <row r="835" spans="1:9" ht="14.25">
      <c r="A835" s="271"/>
      <c r="B835" s="18"/>
      <c r="C835" s="207"/>
      <c r="D835" s="1033"/>
      <c r="E835" s="1033"/>
      <c r="F835" s="1033"/>
      <c r="G835" s="188"/>
      <c r="H835" s="267"/>
      <c r="I835" s="267"/>
    </row>
    <row r="836" spans="1:9" ht="14.25">
      <c r="A836" s="271"/>
      <c r="B836" s="18"/>
      <c r="C836" s="207"/>
      <c r="D836" s="653"/>
      <c r="E836" s="653"/>
      <c r="F836" s="653"/>
      <c r="G836" s="188"/>
      <c r="H836" s="267"/>
      <c r="I836" s="267"/>
    </row>
    <row r="837" spans="1:9" ht="14.25">
      <c r="A837" s="271"/>
      <c r="B837" s="609" t="s">
        <v>124</v>
      </c>
      <c r="C837" s="207"/>
      <c r="D837" s="1025" t="s">
        <v>1600</v>
      </c>
      <c r="E837" s="1025"/>
      <c r="F837" s="1025"/>
      <c r="G837" s="188"/>
      <c r="H837" s="267"/>
      <c r="I837" s="267"/>
    </row>
    <row r="838" spans="1:9" ht="14.25">
      <c r="A838" s="271"/>
      <c r="B838" s="271"/>
      <c r="C838" s="207"/>
      <c r="D838" s="1025"/>
      <c r="E838" s="1025"/>
      <c r="F838" s="1025"/>
      <c r="G838" s="188"/>
      <c r="H838" s="267"/>
      <c r="I838" s="267"/>
    </row>
    <row r="839" spans="1:9" ht="14.25">
      <c r="A839" s="271"/>
      <c r="B839" s="271"/>
      <c r="C839" s="207"/>
      <c r="D839" s="188"/>
      <c r="G839" s="188"/>
      <c r="H839" s="267"/>
      <c r="I839" s="267"/>
    </row>
    <row r="840" spans="1:9" ht="14.25">
      <c r="A840" s="271"/>
      <c r="B840" s="609" t="s">
        <v>124</v>
      </c>
      <c r="C840" s="207"/>
      <c r="D840" s="1033" t="s">
        <v>1602</v>
      </c>
      <c r="E840" s="1033"/>
      <c r="F840" s="1033"/>
      <c r="G840" s="188"/>
      <c r="H840" s="267"/>
      <c r="I840" s="267"/>
    </row>
    <row r="841" spans="1:9" ht="14.25">
      <c r="A841" s="271"/>
      <c r="B841" s="271"/>
      <c r="C841" s="207"/>
      <c r="D841" s="1033"/>
      <c r="E841" s="1033"/>
      <c r="F841" s="1033"/>
      <c r="G841" s="188"/>
      <c r="H841" s="267"/>
      <c r="I841" s="267"/>
    </row>
    <row r="842" spans="1:9" ht="12.75">
      <c r="A842" s="18"/>
      <c r="B842" s="18"/>
      <c r="C842" s="207"/>
      <c r="D842" s="188"/>
      <c r="G842" s="188"/>
      <c r="H842" s="267"/>
      <c r="I842" s="267"/>
    </row>
    <row r="843" spans="1:9" ht="12.75">
      <c r="A843" s="1004" t="s">
        <v>1885</v>
      </c>
      <c r="B843" s="1004"/>
      <c r="C843" s="1004"/>
      <c r="D843" s="1004"/>
      <c r="E843" s="1004"/>
      <c r="F843" s="1004"/>
      <c r="G843" s="1004"/>
      <c r="H843" s="267"/>
      <c r="I843" s="267"/>
    </row>
    <row r="844" spans="1:9" ht="12.75">
      <c r="A844" s="190"/>
      <c r="B844" s="190"/>
      <c r="C844" s="207"/>
      <c r="D844" s="188"/>
      <c r="E844" s="188"/>
      <c r="F844" s="188"/>
      <c r="G844" s="188"/>
      <c r="H844" s="267"/>
      <c r="I844" s="267"/>
    </row>
    <row r="845" spans="1:9" ht="14.25">
      <c r="A845" s="271"/>
      <c r="B845" s="271"/>
      <c r="D845" s="1006" t="s">
        <v>1518</v>
      </c>
      <c r="E845" s="1006"/>
      <c r="F845" s="1006"/>
      <c r="H845" s="267"/>
      <c r="I845" s="267"/>
    </row>
    <row r="846" spans="1:9" ht="14.25">
      <c r="A846" s="271"/>
      <c r="B846" s="271"/>
      <c r="D846" s="973" t="s">
        <v>1882</v>
      </c>
      <c r="E846" s="973"/>
      <c r="F846" s="973"/>
      <c r="H846" s="267"/>
      <c r="I846" s="267"/>
    </row>
    <row r="847" spans="1:9" ht="14.25">
      <c r="A847" s="271"/>
      <c r="B847" s="271"/>
      <c r="D847" s="24"/>
      <c r="E847" s="210"/>
      <c r="F847" s="210"/>
      <c r="H847" s="267"/>
      <c r="I847" s="267"/>
    </row>
    <row r="848" spans="1:9" ht="12.75">
      <c r="B848" s="609" t="s">
        <v>1377</v>
      </c>
      <c r="C848" s="207"/>
      <c r="D848" s="979" t="s">
        <v>1455</v>
      </c>
      <c r="E848" s="979"/>
      <c r="F848" s="979"/>
      <c r="H848" s="267"/>
      <c r="I848" s="267"/>
    </row>
    <row r="849" spans="1:9" ht="12.75">
      <c r="A849" s="18"/>
      <c r="B849" s="18"/>
      <c r="C849" s="207"/>
      <c r="D849" s="3" t="s">
        <v>1432</v>
      </c>
      <c r="E849" s="980" t="s">
        <v>2076</v>
      </c>
      <c r="F849" s="980"/>
      <c r="H849" s="267"/>
      <c r="I849" s="267"/>
    </row>
    <row r="850" spans="1:9" ht="12.75">
      <c r="A850" s="18"/>
      <c r="B850" s="18"/>
      <c r="C850" s="207"/>
      <c r="D850" s="213"/>
      <c r="H850" s="267"/>
      <c r="I850" s="267"/>
    </row>
    <row r="851" spans="1:9" ht="12.75">
      <c r="A851" s="18"/>
      <c r="B851" s="609" t="s">
        <v>124</v>
      </c>
      <c r="C851" s="207"/>
      <c r="D851" s="1042" t="s">
        <v>1679</v>
      </c>
      <c r="E851" s="1042"/>
      <c r="F851" s="1042"/>
      <c r="H851" s="267"/>
      <c r="I851" s="267"/>
    </row>
    <row r="852" spans="1:9" ht="12.75">
      <c r="A852" s="18"/>
      <c r="B852" s="18"/>
      <c r="C852" s="207"/>
      <c r="D852" s="1042"/>
      <c r="E852" s="1042"/>
      <c r="F852" s="1042"/>
      <c r="H852" s="267"/>
      <c r="I852" s="267"/>
    </row>
    <row r="853" spans="1:9" ht="12.75">
      <c r="A853" s="18"/>
      <c r="B853" s="18"/>
      <c r="C853" s="207"/>
      <c r="D853" s="1042"/>
      <c r="E853" s="1042"/>
      <c r="F853" s="1042"/>
      <c r="H853" s="267"/>
      <c r="I853" s="267"/>
    </row>
    <row r="854" spans="1:9" ht="12.75">
      <c r="A854" s="18"/>
      <c r="B854" s="18"/>
      <c r="C854" s="207"/>
      <c r="D854" s="1042"/>
      <c r="E854" s="1042"/>
      <c r="F854" s="1042"/>
      <c r="H854" s="267"/>
      <c r="I854" s="267"/>
    </row>
    <row r="855" spans="1:9" ht="12.75">
      <c r="A855" s="18"/>
      <c r="B855" s="18"/>
      <c r="C855" s="207"/>
      <c r="D855" s="1042"/>
      <c r="E855" s="1042"/>
      <c r="F855" s="1042"/>
      <c r="H855" s="267"/>
      <c r="I855" s="267"/>
    </row>
    <row r="856" spans="1:9" ht="12.75">
      <c r="A856" s="18"/>
      <c r="B856" s="18"/>
      <c r="C856" s="207"/>
      <c r="D856" s="1042"/>
      <c r="E856" s="1042"/>
      <c r="F856" s="1042"/>
      <c r="H856" s="267"/>
      <c r="I856" s="267"/>
    </row>
    <row r="857" spans="1:9" ht="12.75">
      <c r="A857" s="18"/>
      <c r="B857" s="18"/>
      <c r="C857" s="207"/>
      <c r="D857" s="1042"/>
      <c r="E857" s="1042"/>
      <c r="F857" s="1042"/>
      <c r="H857" s="267"/>
      <c r="I857" s="267"/>
    </row>
    <row r="858" spans="1:9" ht="12.75">
      <c r="A858" s="18"/>
      <c r="B858" s="18"/>
      <c r="C858" s="207"/>
      <c r="D858" s="1042"/>
      <c r="E858" s="1042"/>
      <c r="F858" s="1042"/>
      <c r="H858" s="267"/>
      <c r="I858" s="267"/>
    </row>
    <row r="859" spans="1:9" ht="12.75">
      <c r="A859" s="18"/>
      <c r="B859" s="18"/>
      <c r="C859" s="207"/>
      <c r="D859" s="1042"/>
      <c r="E859" s="1042"/>
      <c r="F859" s="1042"/>
      <c r="H859" s="267"/>
      <c r="I859" s="267"/>
    </row>
    <row r="860" spans="1:9" ht="12.75">
      <c r="A860" s="18"/>
      <c r="B860" s="18"/>
      <c r="C860" s="207"/>
      <c r="D860" s="213"/>
      <c r="H860" s="267"/>
      <c r="I860" s="267"/>
    </row>
    <row r="861" spans="1:9" ht="14.25">
      <c r="A861" s="271"/>
      <c r="B861" s="609" t="s">
        <v>1377</v>
      </c>
      <c r="C861" s="207"/>
      <c r="D861" s="979" t="s">
        <v>1456</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124</v>
      </c>
      <c r="C865" s="207"/>
      <c r="D865" s="1006" t="s">
        <v>1457</v>
      </c>
      <c r="E865" s="1006"/>
      <c r="F865" s="1006"/>
      <c r="H865" s="267"/>
      <c r="I865" s="267"/>
    </row>
    <row r="866" spans="1:9" ht="12.75">
      <c r="B866" s="419"/>
      <c r="C866" s="207"/>
      <c r="D866" s="1006"/>
      <c r="E866" s="1006"/>
      <c r="F866" s="1006"/>
      <c r="H866" s="267"/>
      <c r="I866" s="267"/>
    </row>
    <row r="867" spans="1:9" ht="14.25" customHeight="1">
      <c r="A867" s="271"/>
      <c r="C867" s="207"/>
      <c r="D867" s="979" t="s">
        <v>2154</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124</v>
      </c>
      <c r="C874" s="207"/>
      <c r="D874" s="979" t="s">
        <v>1176</v>
      </c>
      <c r="E874" s="979"/>
      <c r="F874" s="979"/>
      <c r="H874" s="267"/>
      <c r="I874" s="267"/>
    </row>
    <row r="875" spans="1:9" ht="14.25">
      <c r="A875" s="271"/>
      <c r="B875" s="271"/>
      <c r="C875" s="207"/>
      <c r="D875" s="979" t="s">
        <v>1177</v>
      </c>
      <c r="E875" s="979"/>
      <c r="F875" s="979"/>
      <c r="H875" s="267"/>
      <c r="I875" s="267"/>
    </row>
    <row r="876" spans="1:9" ht="14.25">
      <c r="A876" s="271"/>
      <c r="B876" s="271"/>
      <c r="C876" s="207"/>
      <c r="D876" s="3" t="s">
        <v>1431</v>
      </c>
      <c r="E876" s="980" t="s">
        <v>2078</v>
      </c>
      <c r="F876" s="980"/>
      <c r="H876" s="267"/>
      <c r="I876" s="267"/>
    </row>
    <row r="877" spans="1:9" ht="14.25">
      <c r="A877" s="271"/>
      <c r="B877" s="271"/>
      <c r="C877" s="207"/>
      <c r="D877" s="44"/>
      <c r="H877" s="267"/>
      <c r="I877" s="267"/>
    </row>
    <row r="878" spans="1:9" ht="14.25">
      <c r="A878" s="271"/>
      <c r="B878" s="609" t="s">
        <v>124</v>
      </c>
      <c r="C878" s="207"/>
      <c r="D878" s="979" t="s">
        <v>1458</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1005" t="s">
        <v>1517</v>
      </c>
      <c r="E885" s="1005"/>
      <c r="F885" s="1005"/>
      <c r="G885" s="188"/>
      <c r="H885" s="267"/>
      <c r="I885" s="267"/>
    </row>
    <row r="886" spans="1:9" ht="12.75">
      <c r="C886" s="191"/>
      <c r="D886" s="1050" t="s">
        <v>1883</v>
      </c>
      <c r="E886" s="1051"/>
      <c r="F886" s="1051"/>
      <c r="G886" s="188"/>
      <c r="H886" s="267"/>
      <c r="I886" s="267"/>
    </row>
    <row r="887" spans="1:9" ht="12.75">
      <c r="C887" s="191"/>
      <c r="D887" s="640"/>
      <c r="E887" s="640"/>
      <c r="F887" s="640"/>
      <c r="G887" s="188"/>
      <c r="H887" s="267"/>
      <c r="I887" s="267"/>
    </row>
    <row r="888" spans="1:9" ht="14.25">
      <c r="A888" s="271"/>
      <c r="B888" s="609" t="s">
        <v>1377</v>
      </c>
      <c r="D888" s="999" t="s">
        <v>1477</v>
      </c>
      <c r="E888" s="999"/>
      <c r="F888" s="999"/>
      <c r="G888" s="188"/>
      <c r="H888" s="267"/>
      <c r="I888" s="267"/>
    </row>
    <row r="889" spans="1:9" ht="12.75">
      <c r="D889" s="3" t="s">
        <v>1431</v>
      </c>
      <c r="E889" s="1049" t="s">
        <v>2078</v>
      </c>
      <c r="F889" s="1049"/>
      <c r="G889" s="188"/>
    </row>
    <row r="890" spans="1:9" ht="12.75">
      <c r="D890" s="44"/>
      <c r="E890" s="188"/>
      <c r="F890" s="188"/>
      <c r="G890" s="188"/>
      <c r="H890" s="267"/>
      <c r="I890" s="267"/>
    </row>
    <row r="891" spans="1:9" ht="14.25">
      <c r="A891" s="271"/>
      <c r="B891" s="609" t="s">
        <v>1377</v>
      </c>
      <c r="D891" s="973" t="s">
        <v>1886</v>
      </c>
      <c r="E891" s="1026"/>
      <c r="F891" s="1026"/>
    </row>
    <row r="892" spans="1:9" ht="12.6" customHeight="1">
      <c r="D892" s="1026"/>
      <c r="E892" s="1026"/>
      <c r="F892" s="1026"/>
    </row>
    <row r="893" spans="1:9" ht="14.25">
      <c r="A893" s="271"/>
      <c r="B893" s="271"/>
      <c r="D893" s="44"/>
      <c r="E893" s="188"/>
      <c r="F893" s="188"/>
      <c r="G893" s="188"/>
      <c r="H893" s="267"/>
      <c r="I893" s="267"/>
    </row>
    <row r="894" spans="1:9" ht="12.75">
      <c r="B894" s="609" t="s">
        <v>124</v>
      </c>
      <c r="D894" s="1047" t="s">
        <v>1681</v>
      </c>
      <c r="E894" s="1047"/>
      <c r="F894" s="1047"/>
      <c r="G894" s="188"/>
      <c r="H894" s="267"/>
      <c r="I894" s="267"/>
    </row>
    <row r="895" spans="1:9" ht="29.45" customHeight="1">
      <c r="B895" s="565"/>
      <c r="D895" s="1047"/>
      <c r="E895" s="1047"/>
      <c r="F895" s="1047"/>
      <c r="G895" s="188"/>
      <c r="H895" s="267"/>
      <c r="I895" s="267"/>
    </row>
    <row r="896" spans="1:9" ht="14.25">
      <c r="A896" s="271"/>
      <c r="B896"/>
      <c r="D896" s="979" t="s">
        <v>2154</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124</v>
      </c>
      <c r="D903" s="1003" t="s">
        <v>1176</v>
      </c>
      <c r="E903" s="1003"/>
      <c r="F903" s="1003"/>
      <c r="G903" s="188"/>
      <c r="H903" s="267"/>
      <c r="I903" s="267"/>
    </row>
    <row r="904" spans="1:9" ht="14.25">
      <c r="A904" s="271"/>
      <c r="B904" s="271"/>
      <c r="D904" s="1003" t="s">
        <v>1177</v>
      </c>
      <c r="E904" s="1003"/>
      <c r="F904" s="1003"/>
      <c r="G904" s="188"/>
      <c r="H904" s="267"/>
      <c r="I904" s="267"/>
    </row>
    <row r="905" spans="1:9" ht="14.25">
      <c r="A905" s="271"/>
      <c r="B905" s="271"/>
      <c r="D905" s="3" t="s">
        <v>1478</v>
      </c>
      <c r="E905" s="1048" t="s">
        <v>2078</v>
      </c>
      <c r="F905" s="1048"/>
      <c r="G905" s="188"/>
      <c r="H905" s="267"/>
      <c r="I905" s="267"/>
    </row>
    <row r="906" spans="1:9" ht="14.25">
      <c r="A906" s="271"/>
      <c r="B906" s="271"/>
      <c r="D906" s="44"/>
      <c r="E906" s="188"/>
      <c r="F906" s="188"/>
      <c r="G906" s="188"/>
      <c r="H906" s="267"/>
      <c r="I906" s="267"/>
    </row>
    <row r="907" spans="1:9" ht="14.25">
      <c r="A907" s="271"/>
      <c r="B907" s="609" t="s">
        <v>124</v>
      </c>
      <c r="D907" s="979" t="s">
        <v>1458</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04" t="s">
        <v>1404</v>
      </c>
      <c r="B912" s="1004"/>
      <c r="C912" s="1004"/>
      <c r="D912" s="1004"/>
      <c r="E912" s="1004"/>
      <c r="F912" s="1004"/>
      <c r="G912" s="1004"/>
      <c r="H912" s="267"/>
      <c r="I912" s="267"/>
    </row>
    <row r="913" spans="1:9" ht="12.75">
      <c r="A913" s="44"/>
      <c r="B913" s="44"/>
      <c r="C913" s="207"/>
      <c r="D913" s="188"/>
      <c r="E913" s="188"/>
      <c r="F913" s="188"/>
      <c r="G913" s="188"/>
      <c r="H913" s="267"/>
      <c r="I913" s="267"/>
    </row>
    <row r="914" spans="1:9" ht="12.75">
      <c r="C914" s="207"/>
      <c r="D914" s="1030" t="s">
        <v>1635</v>
      </c>
      <c r="E914" s="1030"/>
      <c r="F914" s="1030"/>
      <c r="G914" s="188"/>
      <c r="H914" s="267"/>
      <c r="I914" s="267"/>
    </row>
    <row r="915" spans="1:9" ht="12.75">
      <c r="A915" s="190"/>
      <c r="B915" s="190"/>
      <c r="C915" s="190"/>
      <c r="D915" s="999" t="s">
        <v>1476</v>
      </c>
      <c r="E915" s="999"/>
      <c r="F915" s="999"/>
      <c r="G915" s="188"/>
      <c r="H915" s="267"/>
      <c r="I915" s="267"/>
    </row>
    <row r="916" spans="1:9" ht="12.75">
      <c r="A916" s="190"/>
      <c r="B916" s="190"/>
      <c r="C916" s="190"/>
      <c r="F916" s="188"/>
      <c r="G916" s="188"/>
      <c r="H916" s="267"/>
      <c r="I916" s="267"/>
    </row>
    <row r="917" spans="1:9" ht="13.7" customHeight="1">
      <c r="A917" s="190"/>
      <c r="B917" s="609" t="s">
        <v>124</v>
      </c>
      <c r="C917" s="190"/>
      <c r="D917" s="1006" t="s">
        <v>1645</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1377</v>
      </c>
      <c r="C923" s="191"/>
      <c r="D923" s="980" t="s">
        <v>1730</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0" t="s">
        <v>1731</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28" t="s">
        <v>1646</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25">
      <c r="A949" s="271"/>
      <c r="B949" s="609" t="s">
        <v>1377</v>
      </c>
      <c r="C949" s="191"/>
      <c r="D949" s="980" t="s">
        <v>1647</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1648</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1377</v>
      </c>
      <c r="D957" s="979" t="s">
        <v>1649</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1638</v>
      </c>
      <c r="E960" s="1030"/>
      <c r="F960" s="1030"/>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7" t="s">
        <v>1637</v>
      </c>
      <c r="E962" s="1007"/>
      <c r="F962" s="1007"/>
      <c r="G962" s="188"/>
      <c r="H962" s="267"/>
      <c r="I962" s="267"/>
    </row>
    <row r="963" spans="1:9" ht="12.75">
      <c r="A963" s="207"/>
      <c r="B963" s="207"/>
      <c r="C963" s="207"/>
      <c r="D963" s="1007"/>
      <c r="E963" s="1007"/>
      <c r="F963" s="1007"/>
      <c r="G963" s="188"/>
      <c r="H963" s="267"/>
      <c r="I963" s="267"/>
    </row>
    <row r="964" spans="1:9" ht="12.75">
      <c r="A964" s="207"/>
      <c r="B964" s="207"/>
      <c r="C964" s="207"/>
      <c r="D964" s="1007"/>
      <c r="E964" s="1007"/>
      <c r="F964" s="1007"/>
      <c r="G964" s="188"/>
      <c r="H964" s="267"/>
      <c r="I964" s="267"/>
    </row>
    <row r="965" spans="1:9" ht="12.75">
      <c r="A965" s="207"/>
      <c r="B965" s="207"/>
      <c r="C965" s="207"/>
      <c r="D965" s="1007"/>
      <c r="E965" s="1007"/>
      <c r="F965" s="1007"/>
      <c r="G965" s="188"/>
      <c r="H965" s="267"/>
      <c r="I965" s="267"/>
    </row>
    <row r="966" spans="1:9" ht="12.75">
      <c r="A966" s="207"/>
      <c r="B966" s="207"/>
      <c r="C966" s="207"/>
      <c r="D966" s="1007"/>
      <c r="E966" s="1007"/>
      <c r="F966" s="1007"/>
      <c r="G966" s="188"/>
      <c r="H966" s="267"/>
      <c r="I966" s="267"/>
    </row>
    <row r="967" spans="1:9" ht="12.75">
      <c r="A967" s="207"/>
      <c r="B967" s="207"/>
      <c r="C967" s="207"/>
      <c r="D967" s="1007"/>
      <c r="E967" s="1007"/>
      <c r="F967" s="1007"/>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7" t="s">
        <v>1636</v>
      </c>
      <c r="E969" s="1007"/>
      <c r="F969" s="1007"/>
      <c r="G969" s="188"/>
      <c r="H969" s="267"/>
      <c r="I969" s="267"/>
    </row>
    <row r="970" spans="1:9" ht="12.75">
      <c r="A970" s="207"/>
      <c r="B970" s="207"/>
      <c r="C970" s="207"/>
      <c r="D970" s="1007"/>
      <c r="E970" s="1007"/>
      <c r="F970" s="1007"/>
      <c r="G970" s="188"/>
      <c r="H970" s="267"/>
      <c r="I970" s="267"/>
    </row>
    <row r="971" spans="1:9" ht="12.75">
      <c r="A971" s="207"/>
      <c r="B971" s="207"/>
      <c r="C971" s="207"/>
      <c r="D971" s="1007"/>
      <c r="E971" s="1007"/>
      <c r="F971" s="1007"/>
      <c r="G971" s="188"/>
      <c r="H971" s="267"/>
      <c r="I971" s="267"/>
    </row>
    <row r="972" spans="1:9" ht="12.75">
      <c r="A972" s="207"/>
      <c r="B972" s="207"/>
      <c r="C972" s="207"/>
      <c r="D972" s="1007"/>
      <c r="E972" s="1007"/>
      <c r="F972" s="1007"/>
      <c r="G972" s="188"/>
      <c r="H972" s="267"/>
      <c r="I972" s="267"/>
    </row>
    <row r="973" spans="1:9" ht="12.75">
      <c r="A973" s="207"/>
      <c r="B973" s="207"/>
      <c r="C973" s="207"/>
      <c r="D973" s="1007"/>
      <c r="E973" s="1007"/>
      <c r="F973" s="1007"/>
      <c r="G973" s="188"/>
      <c r="H973" s="267"/>
      <c r="I973" s="267"/>
    </row>
    <row r="974" spans="1:9" ht="12.75">
      <c r="A974" s="207"/>
      <c r="B974" s="207"/>
      <c r="C974" s="207"/>
      <c r="D974" s="371"/>
      <c r="E974" s="188"/>
      <c r="F974" s="188"/>
      <c r="G974" s="188"/>
      <c r="H974" s="267"/>
      <c r="I974" s="267"/>
    </row>
    <row r="975" spans="1:9" ht="14.25">
      <c r="A975" s="271"/>
      <c r="B975" s="609" t="s">
        <v>124</v>
      </c>
      <c r="C975" s="207"/>
      <c r="D975" s="1007" t="s">
        <v>1639</v>
      </c>
      <c r="E975" s="1007"/>
      <c r="F975" s="1007"/>
      <c r="G975" s="188"/>
      <c r="H975" s="267"/>
      <c r="I975" s="267"/>
    </row>
    <row r="976" spans="1:9" ht="12.75">
      <c r="A976" s="207"/>
      <c r="B976" s="207"/>
      <c r="C976" s="207"/>
      <c r="D976" s="1007"/>
      <c r="E976" s="1007"/>
      <c r="F976" s="1007"/>
      <c r="G976" s="188"/>
      <c r="H976" s="267"/>
      <c r="I976" s="267"/>
    </row>
    <row r="977" spans="1:9" ht="12.75">
      <c r="A977" s="207"/>
      <c r="B977" s="207"/>
      <c r="C977" s="207"/>
      <c r="D977" s="1007"/>
      <c r="E977" s="1007"/>
      <c r="F977" s="1007"/>
      <c r="G977" s="188"/>
      <c r="H977" s="267"/>
      <c r="I977" s="267"/>
    </row>
    <row r="978" spans="1:9" ht="12.75">
      <c r="A978" s="207"/>
      <c r="B978" s="207"/>
      <c r="C978" s="207"/>
      <c r="D978" s="1007"/>
      <c r="E978" s="1007"/>
      <c r="F978" s="1007"/>
      <c r="G978" s="188"/>
      <c r="H978" s="267"/>
      <c r="I978" s="267"/>
    </row>
    <row r="979" spans="1:9" ht="12.75">
      <c r="A979" s="207"/>
      <c r="B979" s="207"/>
      <c r="C979" s="207"/>
      <c r="D979" s="1007"/>
      <c r="E979" s="1007"/>
      <c r="F979" s="1007"/>
      <c r="G979" s="188"/>
      <c r="H979" s="267"/>
      <c r="I979" s="267"/>
    </row>
    <row r="980" spans="1:9" ht="12.75">
      <c r="A980" s="207"/>
      <c r="B980" s="207"/>
      <c r="C980" s="207"/>
      <c r="D980" s="371"/>
      <c r="E980" s="188"/>
      <c r="F980" s="188"/>
      <c r="G980" s="188"/>
      <c r="H980" s="267"/>
      <c r="I980" s="267"/>
    </row>
    <row r="981" spans="1:9" ht="14.45" customHeight="1">
      <c r="A981" s="271"/>
      <c r="B981" s="609" t="s">
        <v>1377</v>
      </c>
      <c r="C981" s="207"/>
      <c r="D981" s="1007" t="s">
        <v>1640</v>
      </c>
      <c r="E981" s="1007"/>
      <c r="F981" s="1007"/>
      <c r="G981" s="188"/>
      <c r="H981" s="267"/>
      <c r="I981" s="267"/>
    </row>
    <row r="982" spans="1:9" ht="12.75">
      <c r="A982" s="207"/>
      <c r="B982" s="207"/>
      <c r="C982" s="207"/>
      <c r="D982" s="1007"/>
      <c r="E982" s="1007"/>
      <c r="F982" s="1007"/>
      <c r="G982" s="188"/>
      <c r="H982" s="267"/>
      <c r="I982" s="267"/>
    </row>
    <row r="983" spans="1:9" ht="12.75">
      <c r="A983" s="207"/>
      <c r="B983" s="207"/>
      <c r="C983" s="207"/>
      <c r="D983" s="1007"/>
      <c r="E983" s="1007"/>
      <c r="F983" s="1007"/>
      <c r="G983" s="188"/>
      <c r="H983" s="267"/>
      <c r="I983" s="267"/>
    </row>
    <row r="984" spans="1:9" ht="12.75">
      <c r="A984" s="207"/>
      <c r="B984" s="207"/>
      <c r="C984" s="207"/>
      <c r="D984" s="613"/>
      <c r="E984" s="613"/>
      <c r="F984" s="613"/>
      <c r="G984" s="188"/>
      <c r="H984" s="267"/>
      <c r="I984" s="267"/>
    </row>
    <row r="985" spans="1:9" ht="14.25">
      <c r="A985" s="271"/>
      <c r="B985" s="609" t="s">
        <v>124</v>
      </c>
      <c r="C985" s="207"/>
      <c r="D985" s="1007" t="s">
        <v>1641</v>
      </c>
      <c r="E985" s="1007"/>
      <c r="F985" s="1007"/>
      <c r="G985" s="188"/>
      <c r="H985" s="267"/>
      <c r="I985" s="267"/>
    </row>
    <row r="986" spans="1:9" ht="12.75">
      <c r="A986" s="207"/>
      <c r="B986" s="207"/>
      <c r="C986" s="207"/>
      <c r="D986" s="1007"/>
      <c r="E986" s="1007"/>
      <c r="F986" s="1007"/>
      <c r="G986" s="188"/>
      <c r="H986" s="267"/>
      <c r="I986" s="267"/>
    </row>
    <row r="987" spans="1:9" ht="12.75">
      <c r="A987" s="207"/>
      <c r="B987" s="207"/>
      <c r="C987" s="207"/>
      <c r="D987" s="371"/>
      <c r="E987" s="188"/>
      <c r="F987" s="188"/>
      <c r="G987" s="188"/>
      <c r="H987" s="267"/>
      <c r="I987" s="267"/>
    </row>
    <row r="988" spans="1:9" ht="12.75">
      <c r="A988" s="207"/>
      <c r="B988" s="609" t="s">
        <v>1377</v>
      </c>
      <c r="C988" s="207"/>
      <c r="D988" s="979" t="s">
        <v>1642</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124</v>
      </c>
      <c r="C991" s="207"/>
      <c r="D991" s="1035" t="s">
        <v>1772</v>
      </c>
      <c r="E991" s="1033"/>
      <c r="F991" s="1033"/>
      <c r="G991" s="188"/>
      <c r="H991" s="267"/>
      <c r="I991" s="267"/>
    </row>
    <row r="992" spans="1:9" ht="12.75">
      <c r="A992" s="207"/>
      <c r="B992" s="207"/>
      <c r="C992" s="207"/>
      <c r="D992" s="1035"/>
      <c r="E992" s="1033"/>
      <c r="F992" s="1033"/>
      <c r="G992" s="188"/>
      <c r="H992" s="267"/>
      <c r="I992" s="267"/>
    </row>
    <row r="993" spans="1:9" ht="12.75">
      <c r="A993" s="207"/>
      <c r="B993" s="207"/>
      <c r="C993" s="207"/>
      <c r="D993" s="1035"/>
      <c r="E993" s="1033"/>
      <c r="F993" s="1033"/>
      <c r="G993" s="188"/>
      <c r="H993" s="267"/>
      <c r="I993" s="267"/>
    </row>
    <row r="994" spans="1:9" ht="12.75">
      <c r="A994" s="207"/>
      <c r="B994" s="207"/>
      <c r="C994" s="207"/>
      <c r="D994" s="1033"/>
      <c r="E994" s="1033"/>
      <c r="F994" s="1033"/>
      <c r="G994" s="188"/>
      <c r="H994" s="267"/>
      <c r="I994" s="267"/>
    </row>
    <row r="995" spans="1:9" ht="12.75">
      <c r="A995" s="207"/>
      <c r="B995" s="207"/>
      <c r="C995" s="207"/>
      <c r="D995" s="44"/>
      <c r="E995" s="188"/>
      <c r="F995" s="188"/>
      <c r="G995" s="188"/>
      <c r="H995" s="267"/>
      <c r="I995" s="267"/>
    </row>
    <row r="996" spans="1:9" ht="12.75">
      <c r="A996" s="207"/>
      <c r="B996" s="609" t="s">
        <v>124</v>
      </c>
      <c r="C996" s="207"/>
      <c r="D996" s="999" t="s">
        <v>2155</v>
      </c>
      <c r="E996" s="999"/>
      <c r="F996" s="999"/>
      <c r="G996" s="188"/>
      <c r="H996" s="267"/>
      <c r="I996" s="267"/>
    </row>
    <row r="997" spans="1:9" ht="12.75">
      <c r="A997" s="207"/>
      <c r="B997" s="207"/>
      <c r="C997" s="207"/>
      <c r="D997" s="44"/>
      <c r="E997" s="188"/>
      <c r="F997" s="188"/>
      <c r="G997" s="188"/>
      <c r="H997" s="267"/>
      <c r="I997" s="267"/>
    </row>
    <row r="998" spans="1:9" ht="12.75">
      <c r="A998" s="207"/>
      <c r="B998" s="609" t="s">
        <v>124</v>
      </c>
      <c r="C998" s="207"/>
      <c r="D998" s="999" t="s">
        <v>2156</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5" t="s">
        <v>1479</v>
      </c>
      <c r="E1000" s="1005"/>
      <c r="F1000" s="1005"/>
      <c r="G1000" s="188"/>
      <c r="H1000" s="267"/>
      <c r="I1000" s="267"/>
    </row>
    <row r="1001" spans="1:9" ht="12.75">
      <c r="A1001" s="207"/>
      <c r="C1001" s="207"/>
      <c r="D1001" s="192"/>
      <c r="E1001" s="188"/>
      <c r="F1001" s="188"/>
      <c r="G1001" s="188"/>
      <c r="H1001" s="267"/>
      <c r="I1001" s="267"/>
    </row>
    <row r="1002" spans="1:9" ht="14.25">
      <c r="A1002" s="271"/>
      <c r="B1002" s="609" t="s">
        <v>1377</v>
      </c>
      <c r="C1002" s="207"/>
      <c r="D1002" s="979" t="s">
        <v>1643</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124</v>
      </c>
      <c r="C1008" s="207"/>
      <c r="D1008" s="979" t="s">
        <v>1644</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5" t="s">
        <v>1480</v>
      </c>
      <c r="E1014" s="1005"/>
      <c r="F1014" s="1005"/>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79" t="s">
        <v>1650</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124</v>
      </c>
      <c r="C1020" s="207"/>
      <c r="D1020" s="979" t="s">
        <v>1651</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5" t="s">
        <v>1481</v>
      </c>
      <c r="E1024" s="1005"/>
      <c r="F1024" s="1005"/>
      <c r="G1024" s="188"/>
      <c r="H1024" s="267"/>
      <c r="I1024" s="267"/>
    </row>
    <row r="1025" spans="1:9" ht="12.75">
      <c r="A1025" s="207"/>
      <c r="B1025" s="207"/>
      <c r="C1025" s="207"/>
      <c r="D1025" s="192"/>
      <c r="E1025" s="188"/>
      <c r="F1025" s="188"/>
      <c r="G1025" s="188"/>
      <c r="H1025" s="267"/>
      <c r="I1025" s="267"/>
    </row>
    <row r="1026" spans="1:9" ht="14.25" customHeight="1">
      <c r="A1026" s="271"/>
      <c r="B1026" s="609" t="s">
        <v>1377</v>
      </c>
      <c r="C1026" s="207"/>
      <c r="D1026" s="979" t="s">
        <v>1653</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9" t="s">
        <v>1652</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1654</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1655</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9" t="s">
        <v>1656</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9" t="s">
        <v>1482</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9" t="s">
        <v>1483</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23" t="s">
        <v>1126</v>
      </c>
      <c r="E1054" s="1023"/>
      <c r="F1054" s="1023"/>
      <c r="G1054" s="608"/>
      <c r="H1054" s="267"/>
      <c r="I1054" s="267"/>
    </row>
    <row r="1055" spans="1:9" ht="12.75">
      <c r="A1055" s="207"/>
      <c r="B1055" s="207"/>
      <c r="C1055" s="207"/>
      <c r="D1055" s="1023"/>
      <c r="E1055" s="1023"/>
      <c r="F1055" s="1023"/>
      <c r="G1055" s="608"/>
      <c r="H1055" s="267"/>
      <c r="I1055" s="267"/>
    </row>
    <row r="1056" spans="1:9" ht="12.75">
      <c r="A1056" s="207"/>
      <c r="B1056" s="207"/>
      <c r="C1056" s="207"/>
      <c r="D1056" s="1023"/>
      <c r="E1056" s="1023"/>
      <c r="F1056" s="1023"/>
      <c r="G1056" s="608"/>
      <c r="H1056" s="267"/>
      <c r="I1056" s="267"/>
    </row>
    <row r="1057" spans="1:9" ht="12.75">
      <c r="A1057" s="207"/>
      <c r="B1057" s="207"/>
      <c r="C1057" s="207"/>
      <c r="D1057" s="1023"/>
      <c r="E1057" s="1023"/>
      <c r="F1057" s="1023"/>
      <c r="G1057" s="608"/>
      <c r="H1057" s="267"/>
      <c r="I1057" s="267"/>
    </row>
    <row r="1058" spans="1:9" ht="12.75">
      <c r="A1058" s="207"/>
      <c r="B1058" s="207"/>
      <c r="C1058" s="207"/>
      <c r="D1058" s="1023"/>
      <c r="E1058" s="1023"/>
      <c r="F1058" s="1023"/>
      <c r="G1058" s="608"/>
      <c r="H1058" s="267"/>
      <c r="I1058" s="267"/>
    </row>
    <row r="1059" spans="1:9" ht="12.75">
      <c r="A1059" s="207"/>
      <c r="B1059" s="207"/>
      <c r="C1059" s="207"/>
      <c r="D1059" s="1023"/>
      <c r="E1059" s="1023"/>
      <c r="F1059" s="1023"/>
      <c r="G1059" s="608"/>
      <c r="H1059" s="267"/>
      <c r="I1059" s="267"/>
    </row>
    <row r="1060" spans="1:9" ht="12.75">
      <c r="A1060" s="207"/>
      <c r="B1060" s="207"/>
      <c r="C1060" s="207"/>
      <c r="D1060" s="1023"/>
      <c r="E1060" s="1023"/>
      <c r="F1060" s="1023"/>
      <c r="G1060" s="608"/>
      <c r="H1060" s="267"/>
      <c r="I1060" s="267"/>
    </row>
    <row r="1061" spans="1:9" ht="12.75">
      <c r="A1061" s="207"/>
      <c r="B1061" s="207"/>
      <c r="C1061" s="207"/>
      <c r="D1061" s="1023"/>
      <c r="E1061" s="1023"/>
      <c r="F1061" s="1023"/>
      <c r="G1061" s="608"/>
      <c r="H1061" s="267"/>
      <c r="I1061" s="267"/>
    </row>
    <row r="1062" spans="1:9" ht="12.75">
      <c r="A1062" s="207"/>
      <c r="B1062" s="207"/>
      <c r="C1062" s="207"/>
      <c r="D1062" s="1023"/>
      <c r="E1062" s="1023"/>
      <c r="F1062" s="1023"/>
      <c r="G1062" s="608"/>
      <c r="H1062" s="267"/>
      <c r="I1062" s="267"/>
    </row>
    <row r="1063" spans="1:9" ht="12.75">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5" t="s">
        <v>1484</v>
      </c>
      <c r="E1066" s="1005"/>
      <c r="F1066" s="1005"/>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3" t="s">
        <v>2206</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3" t="s">
        <v>2207</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124</v>
      </c>
      <c r="C1078" s="207"/>
      <c r="D1078" s="1033" t="s">
        <v>1657</v>
      </c>
      <c r="E1078" s="1033"/>
      <c r="F1078" s="1033"/>
      <c r="G1078" s="188"/>
    </row>
    <row r="1079" spans="1:9" ht="12.75">
      <c r="A1079" s="207"/>
      <c r="B1079" s="207"/>
      <c r="C1079" s="207"/>
      <c r="D1079" s="1033"/>
      <c r="E1079" s="1033"/>
      <c r="F1079" s="1033"/>
      <c r="G1079" s="188"/>
    </row>
    <row r="1080" spans="1:9" ht="12.75">
      <c r="A1080" s="207"/>
      <c r="B1080" s="207"/>
      <c r="C1080" s="207"/>
      <c r="D1080" s="1033"/>
      <c r="E1080" s="1033"/>
      <c r="F1080" s="1033"/>
      <c r="G1080" s="188"/>
    </row>
    <row r="1081" spans="1:9" ht="12.75">
      <c r="A1081" s="207"/>
      <c r="B1081" s="207"/>
      <c r="C1081" s="207"/>
      <c r="D1081" s="188"/>
      <c r="E1081" s="188"/>
      <c r="F1081" s="188"/>
      <c r="G1081" s="188"/>
    </row>
    <row r="1082" spans="1:9" ht="14.25">
      <c r="A1082" s="271"/>
      <c r="B1082" s="609" t="s">
        <v>124</v>
      </c>
      <c r="C1082" s="429"/>
      <c r="D1082" s="1034" t="s">
        <v>2157</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1005" t="s">
        <v>1485</v>
      </c>
      <c r="E1086" s="1005"/>
      <c r="F1086" s="1005"/>
      <c r="G1086" s="188"/>
    </row>
    <row r="1087" spans="1:9" ht="12.75">
      <c r="C1087" s="207"/>
      <c r="D1087" s="192"/>
      <c r="E1087" s="188"/>
      <c r="F1087" s="188"/>
      <c r="G1087" s="188"/>
    </row>
    <row r="1088" spans="1:9" ht="12.75">
      <c r="A1088" s="207"/>
      <c r="B1088" s="609" t="s">
        <v>1377</v>
      </c>
      <c r="C1088" s="207"/>
      <c r="D1088" s="979" t="s">
        <v>1658</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124</v>
      </c>
      <c r="C1092" s="207"/>
      <c r="D1092" s="979" t="s">
        <v>1659</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5" t="s">
        <v>1118</v>
      </c>
      <c r="E1096" s="1005"/>
      <c r="F1096" s="1005"/>
      <c r="G1096" s="188"/>
    </row>
    <row r="1097" spans="1:7" ht="12.75">
      <c r="A1097" s="207"/>
      <c r="B1097" s="207"/>
      <c r="C1097" s="207"/>
      <c r="D1097" s="999" t="s">
        <v>1486</v>
      </c>
      <c r="E1097" s="999"/>
      <c r="F1097" s="999"/>
      <c r="G1097" s="188"/>
    </row>
    <row r="1098" spans="1:7" ht="12.75">
      <c r="A1098" s="207"/>
      <c r="B1098" s="207"/>
      <c r="C1098" s="207"/>
      <c r="D1098" s="419"/>
      <c r="E1098" s="188"/>
      <c r="F1098" s="188"/>
      <c r="G1098" s="188"/>
    </row>
    <row r="1099" spans="1:7" ht="14.25">
      <c r="A1099" s="271"/>
      <c r="B1099" s="609" t="s">
        <v>124</v>
      </c>
      <c r="C1099" s="207"/>
      <c r="D1099" s="979" t="s">
        <v>1660</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124</v>
      </c>
      <c r="C1102" s="207"/>
      <c r="D1102" s="979" t="s">
        <v>1661</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5" t="s">
        <v>1487</v>
      </c>
      <c r="E1105" s="1005"/>
      <c r="F1105" s="1005"/>
      <c r="G1105" s="188"/>
    </row>
    <row r="1106" spans="1:7" ht="12.75">
      <c r="A1106" s="207"/>
      <c r="B1106" s="207"/>
      <c r="C1106" s="207"/>
      <c r="D1106" s="192"/>
      <c r="E1106" s="188"/>
      <c r="F1106" s="188"/>
      <c r="G1106" s="188"/>
    </row>
    <row r="1107" spans="1:7" ht="14.25">
      <c r="A1107" s="271"/>
      <c r="B1107" s="609" t="s">
        <v>1377</v>
      </c>
      <c r="C1107" s="207"/>
      <c r="D1107" s="979" t="s">
        <v>1662</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124</v>
      </c>
      <c r="C1115" s="207"/>
      <c r="D1115" s="979" t="s">
        <v>1663</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4" customHeight="1">
      <c r="A1123" s="207"/>
      <c r="B1123" s="609" t="s">
        <v>124</v>
      </c>
      <c r="C1123" s="207"/>
      <c r="D1123" s="1035" t="s">
        <v>1773</v>
      </c>
      <c r="E1123" s="1033"/>
      <c r="F1123" s="1033"/>
      <c r="G1123" s="188"/>
    </row>
    <row r="1124" spans="1:7" ht="12.4" customHeight="1">
      <c r="A1124" s="207"/>
      <c r="B1124" s="207"/>
      <c r="C1124" s="207"/>
      <c r="D1124" s="1033"/>
      <c r="E1124" s="1033"/>
      <c r="F1124" s="1033"/>
      <c r="G1124" s="188"/>
    </row>
    <row r="1125" spans="1:7" ht="12.75">
      <c r="A1125" s="207"/>
      <c r="B1125" s="207"/>
      <c r="C1125" s="207"/>
      <c r="D1125" s="1033"/>
      <c r="E1125" s="1033"/>
      <c r="F1125" s="1033"/>
      <c r="G1125" s="188"/>
    </row>
    <row r="1126" spans="1:7" ht="12.75">
      <c r="A1126" s="207"/>
      <c r="B1126" s="207"/>
      <c r="C1126" s="207"/>
      <c r="D1126" s="653"/>
      <c r="E1126" s="653"/>
      <c r="F1126" s="653"/>
      <c r="G1126" s="188"/>
    </row>
    <row r="1127" spans="1:7" ht="12.75">
      <c r="D1127" s="1005" t="s">
        <v>1488</v>
      </c>
      <c r="E1127" s="1005"/>
      <c r="F1127" s="1005"/>
    </row>
    <row r="1128" spans="1:7" ht="12.75">
      <c r="D1128" s="192"/>
    </row>
    <row r="1129" spans="1:7" ht="14.25">
      <c r="A1129" s="271"/>
      <c r="B1129" s="609" t="s">
        <v>1377</v>
      </c>
      <c r="D1129" s="979" t="s">
        <v>1664</v>
      </c>
      <c r="E1129" s="979"/>
      <c r="F1129" s="979"/>
    </row>
    <row r="1130" spans="1:7" ht="12.75">
      <c r="D1130" s="979"/>
      <c r="E1130" s="979"/>
      <c r="F1130" s="979"/>
    </row>
    <row r="1131" spans="1:7" ht="12.75"/>
    <row r="1132" spans="1:7" ht="14.25">
      <c r="A1132" s="271"/>
      <c r="B1132" s="609" t="s">
        <v>124</v>
      </c>
      <c r="D1132" s="979" t="s">
        <v>1665</v>
      </c>
      <c r="E1132" s="979"/>
      <c r="F1132" s="979"/>
    </row>
    <row r="1133" spans="1:7" ht="12.75">
      <c r="D1133" s="979"/>
      <c r="E1133" s="979"/>
      <c r="F1133" s="979"/>
    </row>
    <row r="1134" spans="1:7" ht="12.75"/>
    <row r="1135" spans="1:7" ht="12.75">
      <c r="D1135" s="1005" t="s">
        <v>1489</v>
      </c>
      <c r="E1135" s="1005"/>
      <c r="F1135" s="1005"/>
    </row>
    <row r="1136" spans="1:7" ht="12.75">
      <c r="D1136" s="192"/>
    </row>
    <row r="1137" spans="1:7" ht="14.25">
      <c r="A1137" s="271"/>
      <c r="B1137" s="609" t="s">
        <v>124</v>
      </c>
      <c r="D1137" s="999" t="s">
        <v>1666</v>
      </c>
      <c r="E1137" s="999"/>
      <c r="F1137" s="999"/>
    </row>
    <row r="1138" spans="1:7" ht="12.75"/>
    <row r="1139" spans="1:7" ht="14.25">
      <c r="A1139" s="271"/>
      <c r="B1139" s="609" t="s">
        <v>124</v>
      </c>
      <c r="D1139" s="979" t="s">
        <v>1667</v>
      </c>
      <c r="E1139" s="979"/>
      <c r="F1139" s="979"/>
    </row>
    <row r="1140" spans="1:7" ht="14.25">
      <c r="A1140" s="271"/>
      <c r="B1140" s="271"/>
      <c r="D1140" s="979"/>
      <c r="E1140" s="979"/>
      <c r="F1140" s="979"/>
    </row>
    <row r="1141" spans="1:7" ht="14.25">
      <c r="A1141" s="271"/>
      <c r="B1141" s="271"/>
      <c r="D1141" s="24"/>
      <c r="E1141" s="24"/>
      <c r="F1141" s="24"/>
      <c r="G1141"/>
    </row>
    <row r="1142" spans="1:7" ht="12.75">
      <c r="D1142" s="1005" t="s">
        <v>1677</v>
      </c>
      <c r="E1142" s="1005"/>
      <c r="F1142" s="1005"/>
      <c r="G1142"/>
    </row>
    <row r="1143" spans="1:7" ht="12.75">
      <c r="D1143" s="192"/>
      <c r="G1143"/>
    </row>
    <row r="1144" spans="1:7" ht="14.45" customHeight="1">
      <c r="A1144" s="271"/>
      <c r="B1144" s="609" t="s">
        <v>124</v>
      </c>
      <c r="D1144" s="973" t="s">
        <v>2208</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04" t="s">
        <v>1405</v>
      </c>
      <c r="B1159" s="1004"/>
      <c r="C1159" s="1004"/>
      <c r="D1159" s="1004"/>
      <c r="E1159" s="1004"/>
      <c r="F1159" s="1004"/>
      <c r="G1159" s="1004"/>
    </row>
    <row r="1160" spans="1:7" ht="12.75">
      <c r="A1160" s="44"/>
      <c r="B1160" s="44"/>
    </row>
    <row r="1161" spans="1:7" ht="12.75">
      <c r="C1161" s="207"/>
      <c r="D1161" s="1005" t="s">
        <v>1668</v>
      </c>
      <c r="E1161" s="1005"/>
      <c r="F1161" s="1005"/>
    </row>
    <row r="1162" spans="1:7" ht="12.75">
      <c r="A1162" s="190"/>
      <c r="B1162" s="190"/>
      <c r="C1162" s="190"/>
      <c r="D1162" s="998" t="s">
        <v>1493</v>
      </c>
      <c r="E1162" s="999"/>
      <c r="F1162" s="999"/>
    </row>
    <row r="1163" spans="1:7" ht="12.75">
      <c r="A1163" s="190"/>
      <c r="B1163" s="190"/>
      <c r="C1163" s="190"/>
      <c r="F1163" s="188"/>
      <c r="G1163"/>
    </row>
    <row r="1164" spans="1:7" ht="13.7" customHeight="1">
      <c r="B1164" s="609" t="s">
        <v>1377</v>
      </c>
      <c r="D1164" s="996" t="s">
        <v>2095</v>
      </c>
      <c r="E1164" s="996"/>
      <c r="F1164" s="996"/>
      <c r="G1164"/>
    </row>
    <row r="1165" spans="1:7" ht="12.75">
      <c r="D1165" s="996"/>
      <c r="E1165" s="996"/>
      <c r="F1165" s="996"/>
      <c r="G1165"/>
    </row>
    <row r="1166" spans="1:7" ht="12.75">
      <c r="D1166" s="15"/>
      <c r="E1166" s="927" t="s">
        <v>2096</v>
      </c>
      <c r="F1166" s="15"/>
      <c r="G1166"/>
    </row>
    <row r="1167" spans="1:7" ht="12.75">
      <c r="D1167" s="15"/>
      <c r="E1167" s="15"/>
      <c r="F1167" s="15"/>
      <c r="G1167"/>
    </row>
    <row r="1168" spans="1:7" ht="12.75">
      <c r="D1168" s="993" t="s">
        <v>2094</v>
      </c>
      <c r="E1168" s="993"/>
      <c r="F1168" s="993"/>
      <c r="G1168"/>
    </row>
    <row r="1169" spans="1:7" ht="12.75">
      <c r="A1169" s="191"/>
      <c r="B1169" s="191"/>
      <c r="C1169" s="191"/>
      <c r="D1169" s="993"/>
      <c r="E1169" s="993"/>
      <c r="F1169" s="993"/>
      <c r="G1169"/>
    </row>
    <row r="1170" spans="1:7" ht="14.45" customHeight="1">
      <c r="A1170" s="191"/>
      <c r="B1170" s="191"/>
      <c r="C1170" s="191"/>
      <c r="D1170" s="993"/>
      <c r="E1170" s="993"/>
      <c r="F1170" s="993"/>
      <c r="G1170"/>
    </row>
    <row r="1171" spans="1:7" ht="12.75">
      <c r="A1171" s="191"/>
      <c r="B1171" s="191"/>
      <c r="C1171" s="191"/>
      <c r="D1171" s="106"/>
      <c r="E1171" s="106"/>
      <c r="F1171" s="106"/>
      <c r="G1171"/>
    </row>
    <row r="1172" spans="1:7" ht="12.75">
      <c r="A1172" s="191"/>
      <c r="B1172" s="609" t="s">
        <v>124</v>
      </c>
      <c r="C1172" s="191"/>
      <c r="D1172" s="979" t="s">
        <v>1678</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124</v>
      </c>
      <c r="C1177" s="191"/>
      <c r="D1177" s="973" t="s">
        <v>1758</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124</v>
      </c>
      <c r="D1180" s="999" t="s">
        <v>1669</v>
      </c>
      <c r="E1180" s="999"/>
      <c r="F1180" s="999"/>
      <c r="G1180"/>
    </row>
    <row r="1181" spans="1:7" ht="12.75">
      <c r="G1181"/>
    </row>
    <row r="1182" spans="1:7" ht="14.25">
      <c r="A1182" s="271"/>
      <c r="B1182" s="609" t="s">
        <v>124</v>
      </c>
      <c r="D1182" s="999" t="s">
        <v>1670</v>
      </c>
      <c r="E1182" s="999"/>
      <c r="F1182" s="999"/>
      <c r="G1182"/>
    </row>
    <row r="1183" spans="1:7" ht="12.75">
      <c r="D1183" s="44"/>
      <c r="G1183"/>
    </row>
    <row r="1184" spans="1:7" ht="14.25">
      <c r="A1184" s="271"/>
      <c r="B1184" s="609" t="s">
        <v>1377</v>
      </c>
      <c r="D1184" s="999" t="s">
        <v>1671</v>
      </c>
      <c r="E1184" s="999"/>
      <c r="F1184" s="999"/>
      <c r="G1184"/>
    </row>
    <row r="1185" spans="1:7" ht="12.75">
      <c r="D1185" s="44"/>
      <c r="G1185"/>
    </row>
    <row r="1186" spans="1:7" ht="14.25">
      <c r="A1186" s="271"/>
      <c r="B1186" s="609" t="s">
        <v>1377</v>
      </c>
      <c r="D1186" s="979" t="s">
        <v>1672</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124</v>
      </c>
      <c r="C1189" s="290"/>
      <c r="D1189" s="1025" t="s">
        <v>1673</v>
      </c>
      <c r="E1189" s="1025"/>
      <c r="F1189" s="1025"/>
      <c r="G1189" s="292"/>
    </row>
    <row r="1190" spans="1:7" s="448" customFormat="1" ht="12.75">
      <c r="A1190" s="290"/>
      <c r="B1190" s="290"/>
      <c r="C1190" s="290"/>
      <c r="D1190" s="1025"/>
      <c r="E1190" s="1025"/>
      <c r="F1190" s="1025"/>
      <c r="G1190" s="292"/>
    </row>
    <row r="1191" spans="1:7" s="448" customFormat="1" ht="12.75">
      <c r="A1191" s="290"/>
      <c r="B1191" s="290"/>
      <c r="C1191" s="290"/>
      <c r="D1191" s="291"/>
      <c r="E1191" s="292"/>
      <c r="F1191" s="292"/>
      <c r="G1191" s="292"/>
    </row>
    <row r="1192" spans="1:7" s="448" customFormat="1" ht="14.25">
      <c r="A1192" s="289"/>
      <c r="B1192" s="609" t="s">
        <v>124</v>
      </c>
      <c r="C1192" s="290"/>
      <c r="D1192" s="1032" t="s">
        <v>1674</v>
      </c>
      <c r="E1192" s="1032"/>
      <c r="F1192" s="1032"/>
      <c r="G1192" s="292"/>
    </row>
    <row r="1193" spans="1:7" s="448" customFormat="1" ht="12.75">
      <c r="A1193" s="290"/>
      <c r="B1193" s="290"/>
      <c r="C1193" s="290"/>
      <c r="D1193" s="291"/>
      <c r="E1193" s="292"/>
      <c r="F1193" s="292"/>
      <c r="G1193" s="292"/>
    </row>
    <row r="1194" spans="1:7" ht="14.25">
      <c r="A1194" s="271"/>
      <c r="B1194" s="609" t="s">
        <v>124</v>
      </c>
      <c r="D1194" s="999" t="s">
        <v>1675</v>
      </c>
      <c r="E1194" s="999"/>
      <c r="F1194" s="999"/>
    </row>
    <row r="1195" spans="1:7" ht="14.25">
      <c r="A1195" s="271"/>
      <c r="B1195" s="271"/>
      <c r="D1195" s="44"/>
    </row>
    <row r="1196" spans="1:7" ht="14.25">
      <c r="A1196" s="271"/>
      <c r="B1196" s="609" t="s">
        <v>124</v>
      </c>
      <c r="D1196" s="979" t="s">
        <v>1676</v>
      </c>
      <c r="E1196" s="979"/>
      <c r="F1196" s="979"/>
    </row>
    <row r="1197" spans="1:7" ht="14.25">
      <c r="A1197" s="271"/>
      <c r="B1197" s="271"/>
      <c r="D1197" s="979"/>
      <c r="E1197" s="979"/>
      <c r="F1197" s="979"/>
    </row>
    <row r="1198" spans="1:7" ht="12.75"/>
    <row r="1199" spans="1:7" ht="12.75">
      <c r="A1199" s="1004" t="s">
        <v>2014</v>
      </c>
      <c r="B1199" s="1004"/>
      <c r="C1199" s="1004"/>
      <c r="D1199" s="1004"/>
      <c r="E1199" s="1004"/>
      <c r="F1199" s="1004"/>
      <c r="G1199" s="1004"/>
    </row>
    <row r="1200" spans="1:7" ht="12.75"/>
    <row r="1201" spans="1:7" ht="12.75">
      <c r="A1201" s="1004" t="s">
        <v>1406</v>
      </c>
      <c r="B1201" s="1004"/>
      <c r="C1201" s="1004"/>
      <c r="D1201" s="1004"/>
      <c r="E1201" s="1004"/>
      <c r="F1201" s="1004"/>
      <c r="G1201" s="1004"/>
    </row>
    <row r="1202" spans="1:7" ht="12.75"/>
    <row r="1203" spans="1:7" ht="12.75">
      <c r="D1203" s="1030" t="s">
        <v>1512</v>
      </c>
      <c r="E1203" s="1030"/>
      <c r="F1203" s="1030"/>
    </row>
    <row r="1204" spans="1:7" ht="12.75">
      <c r="D1204" s="1031" t="s">
        <v>1919</v>
      </c>
      <c r="E1204" s="1031"/>
      <c r="F1204" s="1031"/>
    </row>
    <row r="1205" spans="1:7" ht="12.75">
      <c r="A1205" s="190"/>
      <c r="B1205" s="190"/>
      <c r="C1205" s="190"/>
    </row>
    <row r="1206" spans="1:7" ht="14.25">
      <c r="A1206" s="271"/>
      <c r="B1206" s="271"/>
      <c r="C1206" s="191"/>
      <c r="D1206" s="1030" t="s">
        <v>1513</v>
      </c>
      <c r="E1206" s="1030"/>
      <c r="F1206" s="1030"/>
    </row>
    <row r="1207" spans="1:7" ht="12.75">
      <c r="B1207" s="609" t="s">
        <v>1377</v>
      </c>
      <c r="D1207" s="1032" t="s">
        <v>1514</v>
      </c>
      <c r="E1207" s="1032"/>
      <c r="F1207" s="1032"/>
    </row>
    <row r="1208" spans="1:7" ht="12.75">
      <c r="D1208" s="1031" t="s">
        <v>1920</v>
      </c>
      <c r="E1208" s="1031"/>
      <c r="F1208" s="1031"/>
    </row>
    <row r="1209" spans="1:7" ht="12.75">
      <c r="G1209"/>
    </row>
    <row r="1210" spans="1:7" ht="12.75" customHeight="1">
      <c r="B1210" s="609" t="s">
        <v>124</v>
      </c>
      <c r="D1210" s="1012" t="s">
        <v>1837</v>
      </c>
      <c r="E1210" s="1012"/>
      <c r="F1210" s="1012"/>
      <c r="G1210"/>
    </row>
    <row r="1211" spans="1:7" ht="12.75">
      <c r="D1211" s="1012"/>
      <c r="E1211" s="1012"/>
      <c r="F1211" s="1012"/>
      <c r="G1211"/>
    </row>
    <row r="1212" spans="1:7" ht="12.75">
      <c r="G1212"/>
    </row>
    <row r="1213" spans="1:7" ht="12.75" customHeight="1"/>
    <row r="1214" spans="1:7" ht="12.75">
      <c r="A1214" s="1004" t="s">
        <v>1408</v>
      </c>
      <c r="B1214" s="1004"/>
      <c r="C1214" s="1004"/>
      <c r="D1214" s="1004"/>
      <c r="E1214" s="1004"/>
      <c r="F1214" s="1004"/>
      <c r="G1214" s="1004"/>
    </row>
    <row r="1215" spans="1:7" ht="12.75">
      <c r="A1215" s="44"/>
      <c r="B1215" s="44"/>
    </row>
    <row r="1216" spans="1:7" ht="12.75" customHeight="1">
      <c r="A1216" s="44"/>
      <c r="B1216" s="44"/>
      <c r="D1216" s="1005" t="s">
        <v>1407</v>
      </c>
      <c r="E1216" s="1005"/>
      <c r="F1216" s="1005"/>
    </row>
    <row r="1217" spans="1:7" ht="12.75" customHeight="1">
      <c r="A1217" s="44"/>
      <c r="B1217" s="44"/>
      <c r="D1217" s="999" t="s">
        <v>1414</v>
      </c>
      <c r="E1217" s="999"/>
      <c r="F1217" s="999"/>
    </row>
    <row r="1218" spans="1:7" ht="12.75" customHeight="1">
      <c r="A1218" s="44"/>
      <c r="B1218" s="44"/>
    </row>
    <row r="1219" spans="1:7" ht="14.25">
      <c r="A1219" s="271"/>
      <c r="B1219" s="609" t="s">
        <v>124</v>
      </c>
      <c r="D1219" s="1003" t="s">
        <v>1014</v>
      </c>
      <c r="E1219" s="1003"/>
      <c r="F1219" s="1003"/>
    </row>
    <row r="1220" spans="1:7" ht="12.75">
      <c r="D1220" s="999" t="s">
        <v>1134</v>
      </c>
      <c r="E1220" s="999"/>
      <c r="F1220" s="999"/>
    </row>
    <row r="1221" spans="1:7" ht="12.75">
      <c r="E1221" s="1016" t="s">
        <v>2097</v>
      </c>
      <c r="F1221" s="1016"/>
    </row>
    <row r="1222" spans="1:7" ht="12.75">
      <c r="D1222" s="3"/>
    </row>
    <row r="1223" spans="1:7" ht="12.75">
      <c r="D1223" s="1029" t="s">
        <v>1274</v>
      </c>
      <c r="E1223" s="1029"/>
      <c r="F1223" s="1029"/>
    </row>
    <row r="1224" spans="1:7" ht="12.75">
      <c r="B1224" s="609" t="s">
        <v>124</v>
      </c>
      <c r="D1224" s="973" t="s">
        <v>2098</v>
      </c>
      <c r="E1224" s="979"/>
      <c r="F1224" s="979"/>
      <c r="G1224"/>
    </row>
    <row r="1225" spans="1:7" ht="12.75">
      <c r="D1225" s="979"/>
      <c r="E1225" s="979"/>
      <c r="F1225" s="979"/>
      <c r="G1225"/>
    </row>
    <row r="1226" spans="1:7" ht="12.75">
      <c r="D1226" s="501" t="s">
        <v>1277</v>
      </c>
      <c r="E1226"/>
      <c r="F1226"/>
      <c r="G1226"/>
    </row>
    <row r="1227" spans="1:7" ht="13.7" customHeight="1">
      <c r="D1227" s="973" t="s">
        <v>2099</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16" t="s">
        <v>1017</v>
      </c>
      <c r="E1231" s="1016"/>
      <c r="F1231" s="1016"/>
      <c r="G1231"/>
    </row>
    <row r="1232" spans="1:7" ht="12.75">
      <c r="B1232" s="609" t="s">
        <v>124</v>
      </c>
      <c r="D1232" s="1003" t="s">
        <v>1275</v>
      </c>
      <c r="E1232" s="1003"/>
      <c r="F1232" s="1003"/>
      <c r="G1232"/>
    </row>
    <row r="1233" spans="1:7" ht="12.75">
      <c r="E1233"/>
      <c r="F1233"/>
      <c r="G1233"/>
    </row>
    <row r="1234" spans="1:7" ht="12.75">
      <c r="D1234" s="1011" t="s">
        <v>1276</v>
      </c>
      <c r="E1234" s="1011"/>
      <c r="F1234" s="1011"/>
      <c r="G1234"/>
    </row>
    <row r="1235" spans="1:7" ht="12.75">
      <c r="D1235" s="3" t="s">
        <v>1015</v>
      </c>
      <c r="E1235"/>
      <c r="F1235"/>
      <c r="G1235"/>
    </row>
    <row r="1236" spans="1:7" ht="14.45" customHeight="1">
      <c r="A1236" s="271"/>
      <c r="B1236" s="609" t="s">
        <v>124</v>
      </c>
      <c r="D1236" s="979" t="s">
        <v>1515</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9" t="s">
        <v>1516</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04" t="s">
        <v>1439</v>
      </c>
      <c r="B1247" s="1004"/>
      <c r="C1247" s="1004"/>
      <c r="D1247" s="1004"/>
      <c r="E1247" s="1004"/>
      <c r="F1247" s="1004"/>
      <c r="G1247" s="1004"/>
    </row>
    <row r="1248" spans="1:7" ht="12.75">
      <c r="A1248" s="44"/>
      <c r="B1248" s="44"/>
    </row>
    <row r="1249" spans="1:7" ht="12.75">
      <c r="A1249" s="44"/>
      <c r="B1249" s="44"/>
      <c r="D1249" s="1013" t="s">
        <v>1440</v>
      </c>
      <c r="E1249" s="1013"/>
      <c r="F1249" s="1013"/>
    </row>
    <row r="1250" spans="1:7" ht="12.75">
      <c r="A1250" s="268"/>
      <c r="B1250" s="268"/>
      <c r="C1250" s="268"/>
      <c r="D1250" s="1003" t="s">
        <v>1453</v>
      </c>
      <c r="E1250" s="1003"/>
      <c r="F1250" s="1003"/>
      <c r="G1250" s="269"/>
    </row>
    <row r="1251" spans="1:7" ht="10.5" customHeight="1"/>
    <row r="1252" spans="1:7" ht="14.25">
      <c r="A1252" s="271"/>
      <c r="B1252" s="609" t="s">
        <v>124</v>
      </c>
      <c r="D1252" s="1003" t="s">
        <v>1135</v>
      </c>
      <c r="E1252" s="1003"/>
      <c r="F1252" s="1003"/>
    </row>
    <row r="1253" spans="1:7" ht="12.75">
      <c r="E1253" s="1016" t="s">
        <v>2100</v>
      </c>
      <c r="F1253" s="1016"/>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Z550" sqref="Z550:AD550"/>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793</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2306</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2315</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69" t="s">
        <v>1876</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24" t="s">
        <v>2319</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5" customHeight="1"/>
    <row r="17" spans="1:46" ht="12.95" customHeight="1">
      <c r="A17" s="63" t="s">
        <v>794</v>
      </c>
      <c r="C17" s="5"/>
      <c r="D17" s="5"/>
      <c r="E17" s="5"/>
      <c r="F17" s="5"/>
      <c r="G17" s="5"/>
      <c r="H17" s="1317" t="s">
        <v>2320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row r="19" spans="1:46" ht="12.95" customHeight="1">
      <c r="A19" s="988" t="s">
        <v>1102</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19" t="s">
        <v>1353</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2255</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736963</v>
      </c>
      <c r="N25" s="1421"/>
      <c r="O25" s="1421"/>
      <c r="P25" s="1421"/>
      <c r="Q25" s="1421"/>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2449459</v>
      </c>
      <c r="N27" s="1421"/>
      <c r="O27" s="1421"/>
      <c r="P27" s="1421"/>
      <c r="Q27" s="1421"/>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2256</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7" t="s">
        <v>483</v>
      </c>
      <c r="P33" s="1117"/>
      <c r="Q33" s="1066" t="s">
        <v>2257</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89" t="s">
        <v>2258</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2259</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2260</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3" t="s">
        <v>2261</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5"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5"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3" t="s">
        <v>2263</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3" t="s">
        <v>2266</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2268</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3" t="s">
        <v>2269</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3" t="s">
        <v>2270</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2271</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2272</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2273</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3" t="s">
        <v>2274</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3" t="s">
        <v>2275</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5"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3" t="s">
        <v>2276</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5"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47" t="s">
        <v>2436</v>
      </c>
      <c r="H115" s="1115"/>
      <c r="I115" s="41" t="s">
        <v>413</v>
      </c>
      <c r="J115" s="41"/>
      <c r="L115" s="1344" t="s">
        <v>2437</v>
      </c>
      <c r="M115" s="1345"/>
      <c r="N115" s="1345"/>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44" t="s">
        <v>406</v>
      </c>
      <c r="D117" s="1345"/>
      <c r="E117" s="1345"/>
      <c r="F117" s="1345"/>
      <c r="G117" s="1345"/>
      <c r="H117" s="1345"/>
      <c r="I117" s="1345"/>
      <c r="J117" s="1345"/>
      <c r="K117" s="1345"/>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7" t="s">
        <v>2330</v>
      </c>
      <c r="Z118" s="1054"/>
      <c r="AA118" s="1054"/>
      <c r="AB118" s="1054"/>
      <c r="AC118" s="1054"/>
      <c r="AD118" s="1054"/>
      <c r="AE118" s="1054"/>
      <c r="AF118" s="1054"/>
      <c r="AG118" s="1054"/>
      <c r="AH118" s="1054"/>
      <c r="AI118" s="1054"/>
      <c r="AJ118" s="1054"/>
      <c r="AK118" s="1054"/>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7" t="s">
        <v>2331</v>
      </c>
      <c r="Z121" s="1054"/>
      <c r="AA121" s="1054"/>
      <c r="AB121" s="1054"/>
      <c r="AC121" s="1054"/>
      <c r="AD121" s="1054"/>
      <c r="AE121" s="1054"/>
      <c r="AF121" s="1054"/>
      <c r="AG121" s="1054"/>
      <c r="AH121" s="1054"/>
      <c r="AI121" s="1054"/>
      <c r="AJ121" s="1054"/>
      <c r="AK121" s="1054"/>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317" t="s">
        <v>2324</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2.95" customHeight="1">
      <c r="D157" s="339" t="s">
        <v>544</v>
      </c>
      <c r="O157" s="1319" t="s">
        <v>2325</v>
      </c>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t="s">
        <v>710</v>
      </c>
      <c r="BN157" s="30" t="s">
        <v>423</v>
      </c>
      <c r="BT157" t="s">
        <v>28</v>
      </c>
    </row>
    <row r="158" spans="1:72" ht="12.95" customHeight="1">
      <c r="D158" s="12" t="s">
        <v>545</v>
      </c>
      <c r="F158" s="12"/>
      <c r="G158" s="12"/>
      <c r="H158" s="12"/>
      <c r="I158" s="12"/>
      <c r="J158" s="12"/>
      <c r="K158" s="12"/>
      <c r="L158" s="12"/>
      <c r="M158" s="12"/>
      <c r="N158" s="12"/>
      <c r="O158" s="1342" t="s">
        <v>546</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424</v>
      </c>
      <c r="BT158" t="s">
        <v>29</v>
      </c>
    </row>
    <row r="159" spans="1:72" ht="12.95" customHeight="1">
      <c r="D159" t="s">
        <v>648</v>
      </c>
      <c r="O159" s="1057" t="s">
        <v>2326</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385</v>
      </c>
    </row>
    <row r="160" spans="1:72" ht="12.95" customHeight="1">
      <c r="D160" t="s">
        <v>649</v>
      </c>
      <c r="O160" s="1317" t="s">
        <v>2322</v>
      </c>
      <c r="P160" s="1054"/>
      <c r="Q160" s="1054"/>
      <c r="R160" s="1054"/>
      <c r="S160" s="1054"/>
      <c r="T160" s="1054"/>
      <c r="U160" s="1054"/>
      <c r="V160" s="1054"/>
      <c r="W160" s="1054"/>
      <c r="X160" s="1054"/>
      <c r="Y160" s="12"/>
      <c r="Z160" s="12"/>
      <c r="AA160" s="12"/>
      <c r="AB160" s="12"/>
      <c r="AC160" s="12"/>
      <c r="AD160" s="12"/>
      <c r="AE160" s="12"/>
      <c r="AF160" s="12"/>
      <c r="BN160" s="30" t="s">
        <v>75</v>
      </c>
      <c r="BT160" t="s">
        <v>386</v>
      </c>
    </row>
    <row r="161" spans="1:72" ht="12.95" customHeight="1">
      <c r="D161" t="s">
        <v>650</v>
      </c>
      <c r="O161" s="1331">
        <v>93212</v>
      </c>
      <c r="P161" s="1331"/>
      <c r="Q161" s="1331"/>
      <c r="R161" s="1331"/>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320" t="s">
        <v>2327</v>
      </c>
      <c r="P162" s="1320"/>
      <c r="Q162" s="1320"/>
      <c r="R162" s="1320"/>
      <c r="S162" s="1320"/>
      <c r="T162" s="1320"/>
      <c r="V162" s="179" t="s">
        <v>12</v>
      </c>
      <c r="W162" s="1332"/>
      <c r="X162" s="1332"/>
      <c r="Y162" s="14"/>
      <c r="Z162" s="14"/>
      <c r="AA162" s="14"/>
      <c r="AB162" s="14"/>
      <c r="AC162" s="14"/>
      <c r="AD162" s="14"/>
      <c r="AE162" s="14"/>
      <c r="AF162" s="14"/>
      <c r="BJ162" t="s">
        <v>108</v>
      </c>
      <c r="BN162" s="30" t="s">
        <v>77</v>
      </c>
      <c r="BT162" t="s">
        <v>388</v>
      </c>
    </row>
    <row r="163" spans="1:72" ht="12.95" customHeight="1">
      <c r="D163" t="s">
        <v>652</v>
      </c>
      <c r="O163" s="1320" t="s">
        <v>2328</v>
      </c>
      <c r="P163" s="1320"/>
      <c r="Q163" s="1320"/>
      <c r="R163" s="1320"/>
      <c r="S163" s="1320"/>
      <c r="T163" s="1320"/>
      <c r="U163" s="14"/>
      <c r="V163" s="14"/>
      <c r="W163" s="14"/>
      <c r="X163" s="14"/>
      <c r="Y163" s="14"/>
      <c r="Z163" s="14"/>
      <c r="AA163" s="14"/>
      <c r="AB163" s="14"/>
      <c r="AC163" s="14"/>
      <c r="AD163" s="14"/>
      <c r="AE163" s="14"/>
      <c r="AF163" s="14"/>
      <c r="BN163" s="30" t="s">
        <v>477</v>
      </c>
      <c r="BT163" t="s">
        <v>389</v>
      </c>
    </row>
    <row r="164" spans="1:72" ht="12.95" customHeight="1">
      <c r="D164" t="s">
        <v>653</v>
      </c>
      <c r="O164" s="1061" t="s">
        <v>2329</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29" t="s">
        <v>2311</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56" t="s">
        <v>380</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487</v>
      </c>
      <c r="BT169" t="s">
        <v>395</v>
      </c>
    </row>
    <row r="170" spans="1:72" s="960" customFormat="1" ht="12.95"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43" t="s">
        <v>506</v>
      </c>
      <c r="K173" s="1343"/>
      <c r="L173" s="1343"/>
      <c r="M173" s="1343"/>
      <c r="N173" s="1343"/>
      <c r="O173" s="1343"/>
      <c r="P173" s="1343"/>
      <c r="Q173" s="1343"/>
      <c r="R173" s="1343"/>
      <c r="S173" s="1343"/>
      <c r="U173" s="32"/>
      <c r="X173" s="32"/>
      <c r="BN173" s="30" t="s">
        <v>492</v>
      </c>
      <c r="BT173" t="s">
        <v>399</v>
      </c>
    </row>
    <row r="174" spans="1:72" ht="12.95" customHeight="1">
      <c r="C174" s="31"/>
      <c r="D174" t="s">
        <v>439</v>
      </c>
      <c r="U174" s="1117" t="s">
        <v>483</v>
      </c>
      <c r="V174" s="1117"/>
      <c r="BN174" s="30" t="s">
        <v>595</v>
      </c>
      <c r="BT174" t="s">
        <v>400</v>
      </c>
    </row>
    <row r="175" spans="1:72" ht="12.95" customHeight="1">
      <c r="C175" s="12"/>
      <c r="D175" s="33"/>
      <c r="E175" t="s">
        <v>230</v>
      </c>
      <c r="O175" s="34"/>
      <c r="P175" t="s">
        <v>2108</v>
      </c>
      <c r="T175" s="34" t="s">
        <v>231</v>
      </c>
      <c r="U175" s="1102"/>
      <c r="V175" s="1102"/>
      <c r="W175" s="1" t="s">
        <v>232</v>
      </c>
      <c r="X175" s="1346"/>
      <c r="Y175" s="1346"/>
      <c r="BN175" s="30" t="s">
        <v>596</v>
      </c>
      <c r="BT175" t="s">
        <v>401</v>
      </c>
    </row>
    <row r="176" spans="1:72" ht="12.95" customHeight="1">
      <c r="C176" s="31"/>
      <c r="D176" t="s">
        <v>279</v>
      </c>
      <c r="U176" s="1117" t="s">
        <v>483</v>
      </c>
      <c r="V176" s="1117"/>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335"/>
      <c r="K178" s="1335"/>
      <c r="L178" s="370" t="s">
        <v>232</v>
      </c>
      <c r="M178" s="1114"/>
      <c r="N178" s="1114"/>
      <c r="O178" s="361"/>
      <c r="P178" s="361"/>
      <c r="Q178" s="361"/>
      <c r="R178" s="361"/>
      <c r="U178" s="361" t="s">
        <v>1234</v>
      </c>
      <c r="V178" s="361"/>
      <c r="W178" s="361"/>
      <c r="X178" s="361"/>
      <c r="Y178" s="361"/>
      <c r="Z178" s="361"/>
      <c r="AA178" s="361"/>
      <c r="AB178" s="361"/>
      <c r="AD178" s="1336"/>
      <c r="AE178" s="1336"/>
      <c r="AF178" s="1336"/>
      <c r="AG178" s="1336"/>
      <c r="AH178" s="1336"/>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17" t="s">
        <v>483</v>
      </c>
      <c r="Z180" s="1321"/>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187" t="str">
        <f>H17</f>
        <v>Westgate Manor</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575</v>
      </c>
      <c r="BT184" t="s">
        <v>410</v>
      </c>
    </row>
    <row r="185" spans="1:72" ht="12.95" customHeight="1">
      <c r="C185" s="29"/>
      <c r="D185" t="s">
        <v>430</v>
      </c>
      <c r="I185" s="1055" t="s">
        <v>2321</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121</v>
      </c>
      <c r="BN185" s="30" t="s">
        <v>576</v>
      </c>
      <c r="BT185" t="s">
        <v>840</v>
      </c>
    </row>
    <row r="186" spans="1:72" ht="12.95" customHeight="1">
      <c r="C186" s="29"/>
      <c r="E186" t="s">
        <v>62</v>
      </c>
      <c r="BN186" s="30" t="s">
        <v>577</v>
      </c>
      <c r="BT186" t="s">
        <v>841</v>
      </c>
    </row>
    <row r="187" spans="1:72" ht="12.95"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578</v>
      </c>
      <c r="BT187" t="s">
        <v>842</v>
      </c>
    </row>
    <row r="188" spans="1:72" ht="12.95"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580</v>
      </c>
      <c r="BT188" t="s">
        <v>843</v>
      </c>
    </row>
    <row r="189" spans="1:72" ht="12.95" customHeight="1">
      <c r="C189" s="29"/>
      <c r="D189" t="s">
        <v>431</v>
      </c>
      <c r="I189" s="1057" t="s">
        <v>2322</v>
      </c>
      <c r="J189" s="1057"/>
      <c r="K189" s="1057"/>
      <c r="L189" s="1057"/>
      <c r="M189" s="1057"/>
      <c r="N189" s="1057"/>
      <c r="O189" s="1057"/>
      <c r="P189" s="1057"/>
      <c r="Q189" t="s">
        <v>433</v>
      </c>
      <c r="T189" s="1057" t="s">
        <v>398</v>
      </c>
      <c r="U189" s="1057"/>
      <c r="V189" s="1057"/>
      <c r="W189" s="1057"/>
      <c r="X189" s="1057"/>
      <c r="Y189" s="1057"/>
      <c r="Z189" s="1057"/>
      <c r="AA189" s="1057"/>
      <c r="AB189" s="1057"/>
      <c r="AC189" s="1057"/>
      <c r="AD189" s="1057"/>
      <c r="AE189" s="1057"/>
      <c r="BC189" t="s">
        <v>79</v>
      </c>
      <c r="BH189" s="41" t="s">
        <v>124</v>
      </c>
      <c r="BN189" s="30" t="s">
        <v>581</v>
      </c>
      <c r="BT189" t="s">
        <v>109</v>
      </c>
    </row>
    <row r="190" spans="1:72" ht="12.95" customHeight="1">
      <c r="C190" s="29"/>
      <c r="D190" t="s">
        <v>434</v>
      </c>
      <c r="I190" s="1055">
        <v>93212</v>
      </c>
      <c r="J190" s="1055"/>
      <c r="K190" s="1055"/>
      <c r="L190" s="1055"/>
      <c r="M190" s="1055"/>
      <c r="N190" s="1055"/>
      <c r="O190" t="s">
        <v>436</v>
      </c>
      <c r="T190" s="1333">
        <v>15</v>
      </c>
      <c r="U190" s="1333"/>
      <c r="V190" s="1333"/>
      <c r="W190" s="1333"/>
      <c r="X190" s="1333"/>
      <c r="Y190" s="1333"/>
      <c r="Z190" s="1333"/>
      <c r="AA190" s="1333"/>
      <c r="AB190" s="1333"/>
      <c r="AC190" s="1333"/>
      <c r="AD190" s="1333"/>
      <c r="AE190" s="1333"/>
      <c r="BC190" t="s">
        <v>664</v>
      </c>
      <c r="BH190" t="s">
        <v>664</v>
      </c>
      <c r="BN190" s="30" t="s">
        <v>422</v>
      </c>
      <c r="BT190" t="s">
        <v>110</v>
      </c>
    </row>
    <row r="191" spans="1:72" ht="12.95" customHeight="1">
      <c r="C191" s="29"/>
      <c r="D191" t="s">
        <v>81</v>
      </c>
      <c r="N191" s="1337" t="s">
        <v>2323</v>
      </c>
      <c r="O191" s="1337"/>
      <c r="P191" s="1337"/>
      <c r="Q191" s="1337"/>
      <c r="R191" s="1337"/>
      <c r="S191" s="1337"/>
      <c r="T191" s="1337"/>
      <c r="U191" s="1337"/>
      <c r="V191" s="1337"/>
      <c r="W191" s="1337"/>
      <c r="X191" s="1337"/>
      <c r="Y191" s="1337"/>
      <c r="Z191" s="1337"/>
      <c r="AA191" s="1337"/>
      <c r="AB191" s="1337"/>
      <c r="AC191" s="1337"/>
      <c r="AD191" s="1337"/>
      <c r="AE191" s="1337"/>
      <c r="BC191" t="s">
        <v>1425</v>
      </c>
      <c r="BH191" t="s">
        <v>1425</v>
      </c>
      <c r="BN191" s="30" t="s">
        <v>583</v>
      </c>
      <c r="BT191" t="s">
        <v>111</v>
      </c>
    </row>
    <row r="192" spans="1:72" ht="12.95"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665</v>
      </c>
      <c r="BH192" t="s">
        <v>616</v>
      </c>
      <c r="BN192" s="30" t="s">
        <v>584</v>
      </c>
      <c r="BT192" t="s">
        <v>112</v>
      </c>
    </row>
    <row r="193" spans="1:73" ht="12.95" customHeight="1">
      <c r="C193" s="29"/>
      <c r="D193" t="s">
        <v>437</v>
      </c>
      <c r="T193" s="1117" t="s">
        <v>483</v>
      </c>
      <c r="U193" s="1117"/>
      <c r="W193" s="41" t="s">
        <v>1889</v>
      </c>
      <c r="AA193" s="1326"/>
      <c r="AB193" s="1326"/>
      <c r="AC193" s="1326"/>
      <c r="BC193" t="s">
        <v>565</v>
      </c>
      <c r="BH193" s="5" t="s">
        <v>1430</v>
      </c>
      <c r="BN193" s="30" t="s">
        <v>585</v>
      </c>
      <c r="BT193" t="s">
        <v>113</v>
      </c>
    </row>
    <row r="194" spans="1:73" ht="12.95" customHeight="1">
      <c r="C194" s="29"/>
      <c r="D194" t="s">
        <v>118</v>
      </c>
      <c r="T194" s="1144" t="s">
        <v>483</v>
      </c>
      <c r="U194" s="1144"/>
      <c r="W194" t="s">
        <v>63</v>
      </c>
      <c r="AI194" s="1117" t="s">
        <v>483</v>
      </c>
      <c r="AJ194" s="1117"/>
      <c r="AX194" s="5" t="s">
        <v>124</v>
      </c>
      <c r="BC194" t="s">
        <v>616</v>
      </c>
      <c r="BN194" s="30" t="s">
        <v>754</v>
      </c>
      <c r="BT194" t="s">
        <v>114</v>
      </c>
    </row>
    <row r="195" spans="1:73" ht="12.95" customHeight="1">
      <c r="C195" s="29"/>
      <c r="D195" s="41" t="s">
        <v>1736</v>
      </c>
      <c r="T195" s="1144" t="s">
        <v>483</v>
      </c>
      <c r="U195" s="1144"/>
      <c r="X195" s="797" t="s">
        <v>2110</v>
      </c>
      <c r="AX195" s="5" t="s">
        <v>1151</v>
      </c>
      <c r="BN195" s="30" t="s">
        <v>755</v>
      </c>
      <c r="BT195" t="s">
        <v>115</v>
      </c>
    </row>
    <row r="196" spans="1:73" ht="12.95" customHeight="1">
      <c r="C196" s="29"/>
      <c r="D196" s="5" t="s">
        <v>1156</v>
      </c>
      <c r="T196" s="1144" t="s">
        <v>483</v>
      </c>
      <c r="U196" s="1144"/>
      <c r="AK196" s="1325"/>
      <c r="AL196" s="1325"/>
      <c r="AX196" s="41" t="s">
        <v>2203</v>
      </c>
      <c r="BN196" s="30" t="s">
        <v>756</v>
      </c>
      <c r="BT196" t="s">
        <v>116</v>
      </c>
    </row>
    <row r="197" spans="1:73" ht="12.95" customHeight="1">
      <c r="C197" s="29"/>
      <c r="D197" s="41" t="s">
        <v>1890</v>
      </c>
      <c r="T197" s="1117" t="s">
        <v>483</v>
      </c>
      <c r="U197" s="1117"/>
      <c r="AX197" s="5" t="s">
        <v>1152</v>
      </c>
      <c r="BC197" t="s">
        <v>79</v>
      </c>
      <c r="BN197" s="30" t="s">
        <v>757</v>
      </c>
      <c r="BT197" t="s">
        <v>117</v>
      </c>
    </row>
    <row r="198" spans="1:73" ht="12.95" customHeight="1">
      <c r="C198" s="29"/>
      <c r="D198" s="41" t="s">
        <v>1918</v>
      </c>
      <c r="W198" s="1147" t="s">
        <v>483</v>
      </c>
      <c r="X198" s="1117"/>
      <c r="AX198" s="5" t="s">
        <v>1153</v>
      </c>
      <c r="BC198" t="s">
        <v>1104</v>
      </c>
      <c r="BN198" s="30" t="s">
        <v>758</v>
      </c>
      <c r="BT198" t="s">
        <v>804</v>
      </c>
    </row>
    <row r="199" spans="1:73" ht="12.95" customHeight="1">
      <c r="C199" s="29"/>
      <c r="L199" s="309"/>
      <c r="M199" s="309"/>
      <c r="N199" s="309"/>
      <c r="O199" s="309"/>
      <c r="P199" s="309"/>
      <c r="Q199" s="922" t="s">
        <v>2111</v>
      </c>
      <c r="R199" s="1317" t="s">
        <v>79</v>
      </c>
      <c r="S199" s="1317"/>
      <c r="T199" s="1317"/>
      <c r="U199" s="1317"/>
      <c r="V199" s="1317"/>
      <c r="W199" s="1317"/>
      <c r="X199" s="1317"/>
      <c r="Y199" s="1317"/>
      <c r="Z199" s="1317"/>
      <c r="AA199" s="1317"/>
      <c r="AB199" s="1317"/>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2295</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187" t="str">
        <f>IF(AND(M25&gt;0,M27&gt;0),"Federal and State","Federal Only")</f>
        <v>Federal and State</v>
      </c>
      <c r="E203" s="1187"/>
      <c r="F203" s="1187"/>
      <c r="G203" s="1187"/>
      <c r="H203" s="1187"/>
      <c r="I203" s="1187"/>
      <c r="J203" s="1187"/>
      <c r="K203" s="1187"/>
      <c r="L203" s="1187"/>
      <c r="M203" s="1187"/>
      <c r="P203" s="1330">
        <f>M25</f>
        <v>736963</v>
      </c>
      <c r="Q203" s="1330"/>
      <c r="R203" s="1330"/>
      <c r="S203" s="1330"/>
      <c r="T203" s="1330"/>
      <c r="U203" s="1330"/>
      <c r="W203" s="1330">
        <f>M27</f>
        <v>2449459</v>
      </c>
      <c r="X203" s="1330"/>
      <c r="Y203" s="1330"/>
      <c r="Z203" s="1330"/>
      <c r="AA203" s="1330"/>
      <c r="AB203" s="1330"/>
      <c r="AV203" t="s">
        <v>124</v>
      </c>
      <c r="AX203" s="5" t="s">
        <v>565</v>
      </c>
      <c r="BC203" t="s">
        <v>1435</v>
      </c>
      <c r="BN203" s="30" t="s">
        <v>662</v>
      </c>
      <c r="BT203" s="40" t="s">
        <v>809</v>
      </c>
      <c r="BU203" s="21"/>
    </row>
    <row r="204" spans="1:73" ht="12.95" customHeight="1">
      <c r="C204" s="29"/>
      <c r="P204" s="1423" t="s">
        <v>175</v>
      </c>
      <c r="Q204" s="1423"/>
      <c r="R204" s="1423"/>
      <c r="S204" s="1423"/>
      <c r="T204" s="1423"/>
      <c r="U204" s="1423"/>
      <c r="V204" s="36"/>
      <c r="W204" s="1423" t="s">
        <v>176</v>
      </c>
      <c r="X204" s="1423"/>
      <c r="Y204" s="1423"/>
      <c r="Z204" s="1423"/>
      <c r="AA204" s="1423"/>
      <c r="AB204" s="1423"/>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2296</v>
      </c>
      <c r="BN207" s="30" t="s">
        <v>1</v>
      </c>
      <c r="BT207" s="40" t="s">
        <v>812</v>
      </c>
    </row>
    <row r="208" spans="1:73" ht="12.95" customHeight="1">
      <c r="C208" s="29"/>
      <c r="D208" s="1054" t="s">
        <v>2332</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317" t="s">
        <v>1152</v>
      </c>
      <c r="E211" s="1054"/>
      <c r="F211" s="1054"/>
      <c r="G211" s="1054"/>
      <c r="H211" s="1054"/>
      <c r="I211" s="1054"/>
      <c r="J211" s="1054"/>
      <c r="K211" s="1054"/>
      <c r="L211" s="1054"/>
      <c r="M211" s="1054"/>
      <c r="N211" s="1054"/>
      <c r="O211" s="1054"/>
      <c r="P211" s="1054"/>
      <c r="X211" s="803"/>
      <c r="Y211" s="1334" t="s">
        <v>483</v>
      </c>
      <c r="Z211" s="133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054" t="s">
        <v>565</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2023</v>
      </c>
      <c r="BC214" t="s">
        <v>631</v>
      </c>
      <c r="BN214" s="30" t="s">
        <v>444</v>
      </c>
      <c r="BT214" s="40" t="s">
        <v>818</v>
      </c>
    </row>
    <row r="215" spans="1:72" ht="12.95" customHeight="1">
      <c r="D215" s="35"/>
      <c r="E215" s="41" t="s">
        <v>2106</v>
      </c>
      <c r="AC215" s="1328"/>
      <c r="AD215" s="1328"/>
      <c r="AF215" s="1339">
        <f>IFERROR(AC215/AG433,"")</f>
        <v>0</v>
      </c>
      <c r="AG215" s="1339"/>
      <c r="AX215" t="s">
        <v>2024</v>
      </c>
      <c r="BC215" t="s">
        <v>628</v>
      </c>
    </row>
    <row r="216" spans="1:72" ht="12.95" customHeight="1">
      <c r="D216" s="35"/>
      <c r="E216" s="938" t="s">
        <v>1433</v>
      </c>
      <c r="AX216" t="s">
        <v>2025</v>
      </c>
      <c r="BC216" t="s">
        <v>745</v>
      </c>
    </row>
    <row r="217" spans="1:72" ht="12.95" customHeight="1">
      <c r="E217" s="1420" t="s">
        <v>124</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2027</v>
      </c>
      <c r="BC217" t="s">
        <v>629</v>
      </c>
    </row>
    <row r="218" spans="1:72" ht="12.95" customHeight="1">
      <c r="E218" s="41" t="s">
        <v>1963</v>
      </c>
      <c r="AA218" s="49"/>
      <c r="AC218" s="1323"/>
      <c r="AD218" s="1323"/>
      <c r="AE218" s="1323"/>
      <c r="AF218" s="1323"/>
      <c r="AG218" s="1323"/>
      <c r="AH218" s="1323"/>
      <c r="AI218" s="1323"/>
      <c r="AJ218" s="1323"/>
      <c r="AK218" s="1323"/>
      <c r="AL218" s="1323"/>
      <c r="AM218" s="1323"/>
      <c r="BC218" t="s">
        <v>630</v>
      </c>
      <c r="BI218" s="39"/>
    </row>
    <row r="219" spans="1:72" ht="12.95" customHeight="1">
      <c r="E219" s="41" t="s">
        <v>1964</v>
      </c>
      <c r="AA219" s="49"/>
      <c r="AC219" s="1322">
        <v>38559</v>
      </c>
      <c r="AD219" s="1323"/>
      <c r="AE219" s="1323"/>
      <c r="AF219" s="1323"/>
      <c r="AG219" s="1323"/>
      <c r="AH219" s="1323"/>
      <c r="AI219" s="1323"/>
      <c r="AJ219" s="1323"/>
      <c r="AK219" s="1323"/>
      <c r="AL219" s="1323"/>
      <c r="AM219" s="1323"/>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17" t="s">
        <v>2060</v>
      </c>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317"/>
      <c r="AD223" s="1317"/>
      <c r="AE223" s="1317"/>
      <c r="AF223" s="1317"/>
      <c r="AG223" s="1317"/>
      <c r="AH223" s="1317"/>
      <c r="AI223" s="1317"/>
      <c r="AJ223" s="21"/>
      <c r="AK223" s="21"/>
      <c r="AL223" s="21"/>
    </row>
    <row r="224" spans="1:72" ht="12.95" customHeight="1">
      <c r="AJ224" s="5"/>
    </row>
    <row r="225" spans="1:59" ht="12.95" customHeight="1">
      <c r="D225" t="s">
        <v>558</v>
      </c>
      <c r="O225" s="1117">
        <v>22</v>
      </c>
      <c r="P225" s="1117"/>
    </row>
    <row r="226" spans="1:59" ht="12.95" customHeight="1">
      <c r="D226" t="s">
        <v>559</v>
      </c>
      <c r="O226" s="1117">
        <v>33</v>
      </c>
      <c r="P226" s="1117"/>
      <c r="BB226" s="5" t="s">
        <v>639</v>
      </c>
      <c r="BG226" s="410">
        <f>IF(AND(AND($M$251="for profit",$M$259="for profit",$M$267="nonprofit")),2,0)</f>
        <v>0</v>
      </c>
    </row>
    <row r="227" spans="1:59" ht="12.95" customHeight="1">
      <c r="D227" t="s">
        <v>560</v>
      </c>
      <c r="O227" s="1117">
        <v>16</v>
      </c>
      <c r="P227" s="1117"/>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0</v>
      </c>
    </row>
    <row r="231" spans="1:59" ht="12.95" customHeight="1">
      <c r="A231" s="1056" t="s">
        <v>496</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5"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22" t="str">
        <f>H15</f>
        <v>Central Valley Coalition for Affordable Housing</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5" customHeight="1">
      <c r="D236" s="5" t="s">
        <v>373</v>
      </c>
      <c r="E236" s="5"/>
      <c r="F236" s="5"/>
      <c r="G236" s="5"/>
      <c r="H236" s="5"/>
      <c r="I236" s="5"/>
      <c r="J236" s="5"/>
      <c r="K236" s="5"/>
      <c r="M236" s="1317" t="s">
        <v>2333</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638</v>
      </c>
      <c r="BG236" s="410">
        <f>IF(AND(AND($M$251="nonprofit",$M$259="nonprofit",$M$267="nonprofit")),1,0)</f>
        <v>0</v>
      </c>
    </row>
    <row r="237" spans="1:59" ht="12.95" customHeight="1">
      <c r="D237" s="5" t="s">
        <v>431</v>
      </c>
      <c r="E237" s="5"/>
      <c r="M237" s="1317" t="s">
        <v>406</v>
      </c>
      <c r="N237" s="1054"/>
      <c r="O237" s="1054"/>
      <c r="P237" s="1054"/>
      <c r="Q237" s="1054"/>
      <c r="R237" s="1054"/>
      <c r="S237" s="1054"/>
      <c r="T237" s="1054"/>
      <c r="V237" s="42" t="s">
        <v>374</v>
      </c>
      <c r="W237" s="1319" t="s">
        <v>2334</v>
      </c>
      <c r="X237" s="1318"/>
      <c r="Y237" s="5" t="s">
        <v>434</v>
      </c>
      <c r="AC237" s="1054">
        <v>95348</v>
      </c>
      <c r="AD237" s="1054"/>
      <c r="AE237" s="1054"/>
      <c r="AN237" s="41"/>
      <c r="BB237" t="s">
        <v>638</v>
      </c>
      <c r="BG237" s="410">
        <f>IF(AND(AND($M$251="nonprofit",$M$259="nonprofit",$M$267="(select one)")),1,0)</f>
        <v>0</v>
      </c>
    </row>
    <row r="238" spans="1:59" ht="12.95" customHeight="1">
      <c r="D238" s="5" t="s">
        <v>375</v>
      </c>
      <c r="E238" s="5"/>
      <c r="F238" s="5"/>
      <c r="G238" s="5"/>
      <c r="H238" s="5"/>
      <c r="I238" s="5"/>
      <c r="J238" s="5"/>
      <c r="K238" s="28"/>
      <c r="M238" s="1317" t="s">
        <v>2330</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638</v>
      </c>
      <c r="BG238" s="410">
        <f>IF(AND(AND($M$251="nonprofit",$M$259="(select one)",$M$267="(select one)")),1,0)</f>
        <v>1</v>
      </c>
    </row>
    <row r="239" spans="1:59" ht="12.95" customHeight="1">
      <c r="D239" s="5" t="s">
        <v>376</v>
      </c>
      <c r="E239" s="5"/>
      <c r="F239" s="5"/>
      <c r="M239" s="1062" t="s">
        <v>2335</v>
      </c>
      <c r="N239" s="1059"/>
      <c r="O239" s="1059"/>
      <c r="P239" s="1059"/>
      <c r="Q239" s="1059"/>
      <c r="R239" s="1059"/>
      <c r="S239" s="5" t="s">
        <v>819</v>
      </c>
      <c r="T239" s="5"/>
      <c r="U239" s="1318">
        <v>302</v>
      </c>
      <c r="V239" s="1318"/>
      <c r="W239" s="1318"/>
      <c r="X239" s="5" t="s">
        <v>377</v>
      </c>
      <c r="Z239" s="1062" t="s">
        <v>2336</v>
      </c>
      <c r="AA239" s="1059"/>
      <c r="AB239" s="1059"/>
      <c r="AC239" s="1059"/>
      <c r="AD239" s="1059"/>
      <c r="AE239" s="1059"/>
      <c r="AM239" s="41"/>
      <c r="AN239" s="41"/>
      <c r="BB239" t="s">
        <v>1010</v>
      </c>
      <c r="BG239" s="410">
        <f>IF(AND(AND($M$251="for profit",$M$259="for profit",$M$267="for profit")),3,0)</f>
        <v>0</v>
      </c>
    </row>
    <row r="240" spans="1:59" ht="12.95" customHeight="1">
      <c r="D240" s="5" t="s">
        <v>378</v>
      </c>
      <c r="E240" s="5"/>
      <c r="F240" s="5"/>
      <c r="M240" s="1061" t="s">
        <v>2337</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055" t="s">
        <v>495</v>
      </c>
      <c r="N241" s="1055"/>
      <c r="O241" s="1055"/>
      <c r="P241" s="1055"/>
      <c r="Q241" s="1055"/>
      <c r="R241" s="1055"/>
      <c r="S241" s="1055"/>
      <c r="T241" s="1055"/>
      <c r="U241" s="5" t="s">
        <v>1145</v>
      </c>
      <c r="AA241" s="1149" t="s">
        <v>2338</v>
      </c>
      <c r="AB241" s="1058"/>
      <c r="AC241" s="1058"/>
      <c r="AD241" s="1058"/>
      <c r="AE241" s="1058"/>
      <c r="AF241" s="1058"/>
      <c r="AG241" s="1058"/>
      <c r="AH241" s="1058"/>
      <c r="AI241" s="1058"/>
      <c r="AJ241" s="1058"/>
      <c r="AK241" s="1058"/>
      <c r="AL241" s="41"/>
      <c r="AM241" s="5"/>
      <c r="AN241" s="41"/>
      <c r="AO241" s="41"/>
      <c r="BB241" t="s">
        <v>1010</v>
      </c>
      <c r="BG241" s="411">
        <f>IF(AND(AND($M$251="for profit",$M$259="(select one)",$M$267="(select one)")),3,0)</f>
        <v>0</v>
      </c>
    </row>
    <row r="242" spans="1:67" ht="12.95" customHeight="1">
      <c r="D242" t="s">
        <v>632</v>
      </c>
      <c r="M242" s="1317" t="s">
        <v>2339</v>
      </c>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24" t="s">
        <v>2319</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2340</v>
      </c>
      <c r="AG245" s="1327"/>
      <c r="AH245" s="1327"/>
      <c r="AI245" s="1327"/>
      <c r="AJ245" s="1327"/>
      <c r="AK245" s="1327"/>
      <c r="AM245" s="5"/>
      <c r="AN245" s="41"/>
      <c r="BB245" s="5" t="s">
        <v>893</v>
      </c>
      <c r="BH245">
        <v>2</v>
      </c>
      <c r="BI245" t="s">
        <v>745</v>
      </c>
      <c r="BO245" s="412" t="str">
        <f>IFERROR(VLOOKUP(AZ260,BH244:BI246,2,FALSE),"")</f>
        <v>Nonprofit</v>
      </c>
    </row>
    <row r="246" spans="1:67" ht="12.95" customHeight="1">
      <c r="A246" s="28"/>
      <c r="B246" s="5"/>
      <c r="C246" s="5"/>
      <c r="D246" s="5" t="s">
        <v>373</v>
      </c>
      <c r="E246" s="5"/>
      <c r="F246" s="5"/>
      <c r="G246" s="5"/>
      <c r="H246" s="5"/>
      <c r="I246" s="5"/>
      <c r="J246" s="5"/>
      <c r="K246" s="5"/>
      <c r="L246" s="5"/>
      <c r="M246" s="1317" t="s">
        <v>2333</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455</v>
      </c>
      <c r="BH246">
        <v>3</v>
      </c>
      <c r="BI246" t="s">
        <v>637</v>
      </c>
    </row>
    <row r="247" spans="1:67" ht="12.95" customHeight="1">
      <c r="A247" s="28"/>
      <c r="B247" s="5"/>
      <c r="C247" s="5"/>
      <c r="D247" s="5" t="s">
        <v>431</v>
      </c>
      <c r="E247" s="5"/>
      <c r="M247" s="1317" t="s">
        <v>406</v>
      </c>
      <c r="N247" s="1054"/>
      <c r="O247" s="1054"/>
      <c r="P247" s="1054"/>
      <c r="Q247" s="1054"/>
      <c r="R247" s="1054"/>
      <c r="S247" s="1054"/>
      <c r="T247" s="1054"/>
      <c r="V247" s="42" t="s">
        <v>374</v>
      </c>
      <c r="W247" s="1319" t="s">
        <v>2334</v>
      </c>
      <c r="X247" s="1318"/>
      <c r="Y247" s="5" t="s">
        <v>434</v>
      </c>
      <c r="AC247" s="1054">
        <v>95348</v>
      </c>
      <c r="AD247" s="1054"/>
      <c r="AE247" s="1054"/>
      <c r="AN247" s="41"/>
    </row>
    <row r="248" spans="1:67" ht="12.95" customHeight="1">
      <c r="A248" s="28"/>
      <c r="B248" s="5"/>
      <c r="C248" s="5"/>
      <c r="D248" s="5" t="s">
        <v>375</v>
      </c>
      <c r="E248" s="5"/>
      <c r="F248" s="5"/>
      <c r="G248" s="5"/>
      <c r="H248" s="5"/>
      <c r="I248" s="5"/>
      <c r="J248" s="5"/>
      <c r="K248" s="5"/>
      <c r="L248" s="28"/>
      <c r="M248" s="1317" t="s">
        <v>2330</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5" customHeight="1">
      <c r="A249" s="28"/>
      <c r="B249" s="5"/>
      <c r="C249" s="5"/>
      <c r="D249" s="5" t="s">
        <v>376</v>
      </c>
      <c r="E249" s="5"/>
      <c r="F249" s="5"/>
      <c r="M249" s="1062" t="s">
        <v>2335</v>
      </c>
      <c r="N249" s="1059"/>
      <c r="O249" s="1059"/>
      <c r="P249" s="1059"/>
      <c r="Q249" s="1059"/>
      <c r="R249" s="1059"/>
      <c r="S249" s="5" t="s">
        <v>819</v>
      </c>
      <c r="T249" s="5"/>
      <c r="U249" s="1318">
        <v>302</v>
      </c>
      <c r="V249" s="1318"/>
      <c r="W249" s="1318"/>
      <c r="X249" s="5" t="s">
        <v>377</v>
      </c>
      <c r="Z249" s="1062" t="s">
        <v>2336</v>
      </c>
      <c r="AA249" s="1059"/>
      <c r="AB249" s="1059"/>
      <c r="AC249" s="1059"/>
      <c r="AD249" s="1059"/>
      <c r="AE249" s="1059"/>
      <c r="AM249" s="5"/>
      <c r="AN249" s="41"/>
    </row>
    <row r="250" spans="1:67" ht="12.95" customHeight="1">
      <c r="A250" s="28"/>
      <c r="B250" s="5"/>
      <c r="C250" s="5"/>
      <c r="D250" s="5" t="s">
        <v>378</v>
      </c>
      <c r="E250" s="5"/>
      <c r="F250" s="5"/>
      <c r="M250" s="1061" t="s">
        <v>2337</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5" customHeight="1">
      <c r="A251" s="18"/>
      <c r="B251" s="5"/>
      <c r="C251" s="62"/>
      <c r="D251" s="5" t="s">
        <v>636</v>
      </c>
      <c r="E251" s="5"/>
      <c r="F251" s="5"/>
      <c r="G251" s="5"/>
      <c r="H251" s="5"/>
      <c r="I251" s="5"/>
      <c r="J251" s="5"/>
      <c r="K251" s="5"/>
      <c r="L251" s="5"/>
      <c r="M251" s="1055" t="s">
        <v>635</v>
      </c>
      <c r="N251" s="1055"/>
      <c r="O251" s="1055"/>
      <c r="P251" s="1055"/>
      <c r="Q251" s="1055"/>
      <c r="R251" s="1055"/>
      <c r="S251" s="1055"/>
      <c r="T251" s="1055"/>
      <c r="U251" s="5" t="s">
        <v>1145</v>
      </c>
      <c r="AA251" s="1149" t="s">
        <v>2338</v>
      </c>
      <c r="AB251" s="1058"/>
      <c r="AC251" s="1058"/>
      <c r="AD251" s="1058"/>
      <c r="AE251" s="1058"/>
      <c r="AF251" s="1058"/>
      <c r="AG251" s="1058"/>
      <c r="AH251" s="1058"/>
      <c r="AI251" s="1058"/>
      <c r="AJ251" s="1058"/>
      <c r="AK251" s="105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24"/>
      <c r="N253" s="1324"/>
      <c r="O253" s="1324"/>
      <c r="P253" s="1324"/>
      <c r="Q253" s="1324"/>
      <c r="R253" s="1324"/>
      <c r="S253" s="1324"/>
      <c r="T253" s="1324"/>
      <c r="U253" s="1324"/>
      <c r="V253" s="1324"/>
      <c r="W253" s="1324"/>
      <c r="X253" s="1324"/>
      <c r="Y253" s="1324"/>
      <c r="Z253" s="1324"/>
      <c r="AA253" s="1324"/>
      <c r="AB253" s="1324"/>
      <c r="AC253" s="1324"/>
      <c r="AD253" s="1324"/>
      <c r="AE253" s="1324"/>
      <c r="AF253" s="1327" t="s">
        <v>79</v>
      </c>
      <c r="AG253" s="1327"/>
      <c r="AH253" s="1327"/>
      <c r="AI253" s="1327"/>
      <c r="AJ253" s="1327"/>
      <c r="AK253" s="1327"/>
      <c r="AM253" s="5"/>
    </row>
    <row r="254" spans="1:67" ht="12.95" customHeight="1">
      <c r="A254" s="28"/>
      <c r="B254" s="5"/>
      <c r="C254" s="5"/>
      <c r="D254" s="5" t="s">
        <v>373</v>
      </c>
      <c r="E254" s="5"/>
      <c r="F254" s="5"/>
      <c r="G254" s="5"/>
      <c r="H254" s="5"/>
      <c r="I254" s="5"/>
      <c r="J254" s="5"/>
      <c r="K254" s="5"/>
      <c r="L254" s="5"/>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5" customHeight="1">
      <c r="A255" s="28"/>
      <c r="B255" s="5"/>
      <c r="C255" s="5"/>
      <c r="D255" s="5" t="s">
        <v>431</v>
      </c>
      <c r="E255" s="5"/>
      <c r="M255" s="1054"/>
      <c r="N255" s="1054"/>
      <c r="O255" s="1054"/>
      <c r="P255" s="1054"/>
      <c r="Q255" s="1054"/>
      <c r="R255" s="1054"/>
      <c r="S255" s="1054"/>
      <c r="T255" s="1054"/>
      <c r="V255" s="42" t="s">
        <v>374</v>
      </c>
      <c r="W255" s="1318"/>
      <c r="X255" s="1318"/>
      <c r="Y255" s="5" t="s">
        <v>434</v>
      </c>
      <c r="AC255" s="1054"/>
      <c r="AD255" s="1054"/>
      <c r="AE255" s="1054"/>
    </row>
    <row r="256" spans="1:67" ht="12.95" customHeight="1">
      <c r="A256" s="28"/>
      <c r="B256" s="5"/>
      <c r="C256" s="5"/>
      <c r="D256" s="5" t="s">
        <v>375</v>
      </c>
      <c r="E256" s="5"/>
      <c r="F256" s="5"/>
      <c r="G256" s="5"/>
      <c r="H256" s="5"/>
      <c r="I256" s="5"/>
      <c r="J256" s="5"/>
      <c r="K256" s="5"/>
      <c r="L256" s="28"/>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5" customHeight="1">
      <c r="A257" s="28"/>
      <c r="B257" s="5"/>
      <c r="C257" s="5"/>
      <c r="D257" s="5" t="s">
        <v>376</v>
      </c>
      <c r="E257" s="5"/>
      <c r="F257" s="5"/>
      <c r="M257" s="1059"/>
      <c r="N257" s="1059"/>
      <c r="O257" s="1059"/>
      <c r="P257" s="1059"/>
      <c r="Q257" s="1059"/>
      <c r="R257" s="1059"/>
      <c r="S257" s="5" t="s">
        <v>819</v>
      </c>
      <c r="T257" s="5"/>
      <c r="U257" s="1318"/>
      <c r="V257" s="1318"/>
      <c r="W257" s="1318"/>
      <c r="X257" s="5" t="s">
        <v>377</v>
      </c>
      <c r="Z257" s="1059"/>
      <c r="AA257" s="1059"/>
      <c r="AB257" s="1059"/>
      <c r="AC257" s="1059"/>
      <c r="AD257" s="1059"/>
      <c r="AE257" s="1059"/>
      <c r="BA257" s="43"/>
    </row>
    <row r="258" spans="1:53" ht="12.95" customHeight="1">
      <c r="A258" s="28"/>
      <c r="B258" s="5"/>
      <c r="C258" s="5"/>
      <c r="D258" s="5" t="s">
        <v>378</v>
      </c>
      <c r="E258" s="5"/>
      <c r="F258" s="5"/>
      <c r="M258" s="1061"/>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5" customHeight="1">
      <c r="A259" s="18"/>
      <c r="B259" s="5"/>
      <c r="C259" s="62"/>
      <c r="D259" s="5" t="s">
        <v>636</v>
      </c>
      <c r="E259" s="5"/>
      <c r="F259" s="5"/>
      <c r="G259" s="5"/>
      <c r="H259" s="5"/>
      <c r="I259" s="5"/>
      <c r="J259" s="5"/>
      <c r="K259" s="5"/>
      <c r="L259" s="5"/>
      <c r="M259" s="1055" t="s">
        <v>79</v>
      </c>
      <c r="N259" s="1055"/>
      <c r="O259" s="1055"/>
      <c r="P259" s="1055"/>
      <c r="Q259" s="1055"/>
      <c r="R259" s="1055"/>
      <c r="S259" s="1055"/>
      <c r="T259" s="1055"/>
      <c r="U259" s="5" t="s">
        <v>1145</v>
      </c>
      <c r="AA259" s="1058"/>
      <c r="AB259" s="1058"/>
      <c r="AC259" s="1058"/>
      <c r="AD259" s="1058"/>
      <c r="AE259" s="1058"/>
      <c r="AF259" s="1058"/>
      <c r="AG259" s="1058"/>
      <c r="AH259" s="1058"/>
      <c r="AI259" s="1058"/>
      <c r="AJ259" s="1058"/>
      <c r="AK259" s="105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1888</v>
      </c>
      <c r="D261" s="5" t="s">
        <v>633</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79</v>
      </c>
      <c r="AG261" s="1327"/>
      <c r="AH261" s="1327"/>
      <c r="AI261" s="1327"/>
      <c r="AJ261" s="1327"/>
      <c r="AK261" s="1327"/>
      <c r="AL261" s="41"/>
    </row>
    <row r="262" spans="1:53" ht="12.95" customHeight="1">
      <c r="A262" s="18"/>
      <c r="B262" s="5"/>
      <c r="C262" s="5"/>
      <c r="D262" s="5" t="s">
        <v>373</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5" customHeight="1">
      <c r="A263" s="18"/>
      <c r="B263" s="5"/>
      <c r="C263" s="5"/>
      <c r="D263" s="5" t="s">
        <v>431</v>
      </c>
      <c r="E263" s="5"/>
      <c r="M263" s="1054"/>
      <c r="N263" s="1054"/>
      <c r="O263" s="1054"/>
      <c r="P263" s="1054"/>
      <c r="Q263" s="1054"/>
      <c r="R263" s="1054"/>
      <c r="S263" s="1054"/>
      <c r="T263" s="1054"/>
      <c r="V263" s="42" t="s">
        <v>374</v>
      </c>
      <c r="W263" s="1318"/>
      <c r="X263" s="1318"/>
      <c r="Y263" s="5" t="s">
        <v>434</v>
      </c>
      <c r="AC263" s="1054"/>
      <c r="AD263" s="1054"/>
      <c r="AE263" s="1054"/>
      <c r="AL263" s="41"/>
      <c r="BA263" s="43"/>
    </row>
    <row r="264" spans="1:53" ht="12.95" customHeight="1">
      <c r="A264" s="18"/>
      <c r="B264" s="5"/>
      <c r="C264" s="5"/>
      <c r="D264" s="5" t="s">
        <v>375</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5" customHeight="1">
      <c r="A265" s="18"/>
      <c r="B265" s="5"/>
      <c r="C265" s="5"/>
      <c r="D265" s="5" t="s">
        <v>376</v>
      </c>
      <c r="E265" s="5"/>
      <c r="F265" s="5"/>
      <c r="M265" s="1059"/>
      <c r="N265" s="1059"/>
      <c r="O265" s="1059"/>
      <c r="P265" s="1059"/>
      <c r="Q265" s="1059"/>
      <c r="R265" s="1059"/>
      <c r="S265" s="5" t="s">
        <v>819</v>
      </c>
      <c r="T265" s="5"/>
      <c r="U265" s="1318"/>
      <c r="V265" s="1318"/>
      <c r="W265" s="1318"/>
      <c r="X265" s="5" t="s">
        <v>377</v>
      </c>
      <c r="Z265" s="1059"/>
      <c r="AA265" s="1059"/>
      <c r="AB265" s="1059"/>
      <c r="AC265" s="1059"/>
      <c r="AD265" s="1059"/>
      <c r="AE265" s="1059"/>
      <c r="AL265" s="41"/>
      <c r="BA265" s="43"/>
    </row>
    <row r="266" spans="1:53" ht="12.95" customHeight="1">
      <c r="A266" s="18"/>
      <c r="B266" s="5"/>
      <c r="C266" s="5"/>
      <c r="D266" s="5" t="s">
        <v>378</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055" t="s">
        <v>79</v>
      </c>
      <c r="N267" s="1055"/>
      <c r="O267" s="1055"/>
      <c r="P267" s="1055"/>
      <c r="Q267" s="1055"/>
      <c r="R267" s="1055"/>
      <c r="S267" s="1055"/>
      <c r="T267" s="1055"/>
      <c r="U267" s="5" t="s">
        <v>1145</v>
      </c>
      <c r="AA267" s="1058"/>
      <c r="AB267" s="1058"/>
      <c r="AC267" s="1058"/>
      <c r="AD267" s="1058"/>
      <c r="AE267" s="1058"/>
      <c r="AF267" s="1058"/>
      <c r="AG267" s="1058"/>
      <c r="AH267" s="1058"/>
      <c r="AI267" s="1058"/>
      <c r="AJ267" s="1058"/>
      <c r="AK267" s="105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0" t="str">
        <f>BO245</f>
        <v>Nonprofit</v>
      </c>
      <c r="U269" s="1060"/>
      <c r="V269" s="1060"/>
      <c r="W269" s="1060"/>
      <c r="X269" s="1060"/>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054" t="s">
        <v>455</v>
      </c>
      <c r="E272" s="1054"/>
      <c r="F272" s="1054"/>
      <c r="G272" s="1054"/>
      <c r="H272" s="1054"/>
      <c r="J272" t="s">
        <v>892</v>
      </c>
      <c r="X272" s="1348">
        <v>45427</v>
      </c>
      <c r="Y272" s="1348"/>
      <c r="Z272" s="1348"/>
      <c r="AA272" s="1348"/>
      <c r="AB272" s="1348"/>
      <c r="AC272" s="1348"/>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2319</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2.95" customHeight="1">
      <c r="D277" s="5" t="s">
        <v>373</v>
      </c>
      <c r="E277" s="5"/>
      <c r="F277" s="5"/>
      <c r="G277" s="5"/>
      <c r="H277" s="5"/>
      <c r="I277" s="5"/>
      <c r="J277" s="5"/>
      <c r="K277" s="5"/>
      <c r="L277" s="1317" t="s">
        <v>2333</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5" customHeight="1">
      <c r="D278" s="5" t="s">
        <v>431</v>
      </c>
      <c r="E278" s="5"/>
      <c r="L278" s="1317" t="s">
        <v>406</v>
      </c>
      <c r="M278" s="1054"/>
      <c r="N278" s="1054"/>
      <c r="O278" s="1054"/>
      <c r="P278" s="1054"/>
      <c r="Q278" s="1054"/>
      <c r="R278" s="1054"/>
      <c r="S278" s="1054"/>
      <c r="U278" s="42" t="s">
        <v>374</v>
      </c>
      <c r="V278" s="1319" t="s">
        <v>2334</v>
      </c>
      <c r="W278" s="1318"/>
      <c r="X278" s="5" t="s">
        <v>434</v>
      </c>
      <c r="AB278" s="1054">
        <v>95348</v>
      </c>
      <c r="AC278" s="1054"/>
      <c r="AD278" s="1054"/>
      <c r="AK278" s="41"/>
      <c r="AL278" s="41"/>
      <c r="BA278" s="43"/>
    </row>
    <row r="279" spans="1:53" ht="12.95" customHeight="1">
      <c r="D279" s="5" t="s">
        <v>375</v>
      </c>
      <c r="E279" s="5"/>
      <c r="F279" s="5"/>
      <c r="G279" s="5"/>
      <c r="H279" s="5"/>
      <c r="I279" s="5"/>
      <c r="J279" s="5"/>
      <c r="K279" s="28"/>
      <c r="L279" s="1317" t="s">
        <v>2330</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5" customHeight="1">
      <c r="D280" s="5" t="s">
        <v>376</v>
      </c>
      <c r="E280" s="5"/>
      <c r="F280" s="5"/>
      <c r="L280" s="1062" t="s">
        <v>2335</v>
      </c>
      <c r="M280" s="1059"/>
      <c r="N280" s="1059"/>
      <c r="O280" s="1059"/>
      <c r="P280" s="1059"/>
      <c r="Q280" s="1059"/>
      <c r="R280" s="5" t="s">
        <v>819</v>
      </c>
      <c r="S280" s="5"/>
      <c r="T280" s="1318">
        <v>302</v>
      </c>
      <c r="U280" s="1318"/>
      <c r="V280" s="1318"/>
      <c r="W280" s="5" t="s">
        <v>377</v>
      </c>
      <c r="Y280" s="1062" t="s">
        <v>2336</v>
      </c>
      <c r="Z280" s="1059"/>
      <c r="AA280" s="1059"/>
      <c r="AB280" s="1059"/>
      <c r="AC280" s="1059"/>
      <c r="AD280" s="1059"/>
      <c r="BA280" s="43"/>
    </row>
    <row r="281" spans="1:53" ht="12.95" customHeight="1">
      <c r="D281" s="5" t="s">
        <v>378</v>
      </c>
      <c r="E281" s="5"/>
      <c r="F281" s="5"/>
      <c r="L281" s="1061" t="s">
        <v>2337</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5" customHeight="1">
      <c r="D282" s="41" t="s">
        <v>186</v>
      </c>
      <c r="E282" s="41"/>
      <c r="F282" s="41"/>
      <c r="G282" s="41"/>
      <c r="H282" s="41"/>
      <c r="I282" s="41"/>
      <c r="L282" s="1319" t="s">
        <v>2341</v>
      </c>
      <c r="M282" s="1319"/>
      <c r="N282" s="1319"/>
      <c r="O282" s="1319"/>
      <c r="P282" s="1319"/>
      <c r="Q282" s="1319"/>
      <c r="R282" s="1319"/>
      <c r="S282" s="1319"/>
      <c r="T282" s="1319"/>
      <c r="U282" s="1319"/>
      <c r="V282" s="1319"/>
      <c r="W282" s="1319"/>
      <c r="X282" s="1319"/>
      <c r="Y282" s="1319"/>
      <c r="Z282" s="1319"/>
      <c r="AA282" s="1319"/>
      <c r="AB282" s="1319"/>
      <c r="AC282" s="1319"/>
      <c r="AD282" s="1319"/>
      <c r="AK282" s="41"/>
      <c r="AL282" s="41"/>
      <c r="BA282" s="43"/>
    </row>
    <row r="283" spans="1:53" ht="12.95" customHeight="1">
      <c r="L283" s="4" t="s">
        <v>187</v>
      </c>
      <c r="BA283" s="43"/>
    </row>
    <row r="284" spans="1:53" ht="12.95" customHeight="1">
      <c r="A284" s="1056" t="s">
        <v>497</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5"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7" t="s">
        <v>2342</v>
      </c>
      <c r="I289" s="1057"/>
      <c r="J289" s="1057"/>
      <c r="K289" s="1057"/>
      <c r="L289" s="1057"/>
      <c r="M289" s="1057"/>
      <c r="N289" s="1057"/>
      <c r="O289" s="1057"/>
      <c r="P289" s="1057"/>
      <c r="Q289" s="1057"/>
      <c r="R289" s="1057"/>
      <c r="T289" s="41" t="s">
        <v>746</v>
      </c>
      <c r="V289" s="41"/>
      <c r="W289" s="41"/>
      <c r="X289" s="41"/>
      <c r="Y289" s="41"/>
      <c r="AA289" s="1057" t="s">
        <v>2349</v>
      </c>
      <c r="AB289" s="1057"/>
      <c r="AC289" s="1057"/>
      <c r="AD289" s="1057"/>
      <c r="AE289" s="1057"/>
      <c r="AF289" s="1057"/>
      <c r="AG289" s="1057"/>
      <c r="AH289" s="1057"/>
      <c r="AI289" s="1057"/>
      <c r="AJ289" s="1057"/>
      <c r="AK289" s="1057"/>
      <c r="BA289" s="43"/>
    </row>
    <row r="290" spans="2:53" ht="12.95" customHeight="1">
      <c r="B290" s="41" t="s">
        <v>700</v>
      </c>
      <c r="C290" s="41"/>
      <c r="D290" s="41"/>
      <c r="E290" s="41"/>
      <c r="F290" s="41"/>
      <c r="H290" s="1055" t="s">
        <v>2343</v>
      </c>
      <c r="I290" s="1055"/>
      <c r="J290" s="1055"/>
      <c r="K290" s="1055"/>
      <c r="L290" s="1055"/>
      <c r="M290" s="1055"/>
      <c r="N290" s="1055"/>
      <c r="O290" s="1055"/>
      <c r="P290" s="1055"/>
      <c r="Q290" s="1055"/>
      <c r="R290" s="1055"/>
      <c r="T290" s="41" t="s">
        <v>700</v>
      </c>
      <c r="V290" s="41"/>
      <c r="W290" s="41"/>
      <c r="X290" s="41"/>
      <c r="Y290" s="41"/>
      <c r="AA290" s="1055" t="s">
        <v>2350</v>
      </c>
      <c r="AB290" s="1055"/>
      <c r="AC290" s="1055"/>
      <c r="AD290" s="1055"/>
      <c r="AE290" s="1055"/>
      <c r="AF290" s="1055"/>
      <c r="AG290" s="1055"/>
      <c r="AH290" s="1055"/>
      <c r="AI290" s="1055"/>
      <c r="AJ290" s="1055"/>
      <c r="AK290" s="1055"/>
      <c r="BA290" s="43"/>
    </row>
    <row r="291" spans="2:53" ht="12.95" customHeight="1">
      <c r="B291" s="41" t="s">
        <v>702</v>
      </c>
      <c r="C291" s="41"/>
      <c r="D291" s="41"/>
      <c r="E291" s="41"/>
      <c r="F291" s="41"/>
      <c r="H291" s="1055" t="s">
        <v>2344</v>
      </c>
      <c r="I291" s="1055"/>
      <c r="J291" s="1055"/>
      <c r="K291" s="1055"/>
      <c r="L291" s="1055"/>
      <c r="M291" s="1055"/>
      <c r="N291" s="1055"/>
      <c r="O291" s="1055"/>
      <c r="P291" s="1055"/>
      <c r="Q291" s="1055"/>
      <c r="R291" s="1055"/>
      <c r="T291" s="41" t="s">
        <v>701</v>
      </c>
      <c r="V291" s="41"/>
      <c r="W291" s="41"/>
      <c r="X291" s="41"/>
      <c r="Y291" s="41"/>
      <c r="AA291" s="1055" t="s">
        <v>2351</v>
      </c>
      <c r="AB291" s="1055"/>
      <c r="AC291" s="1055"/>
      <c r="AD291" s="1055"/>
      <c r="AE291" s="1055"/>
      <c r="AF291" s="1055"/>
      <c r="AG291" s="1055"/>
      <c r="AH291" s="1055"/>
      <c r="AI291" s="1055"/>
      <c r="AJ291" s="1055"/>
      <c r="AK291" s="1055"/>
      <c r="BA291" s="43"/>
    </row>
    <row r="292" spans="2:53" ht="12.95" customHeight="1">
      <c r="B292" s="41" t="s">
        <v>375</v>
      </c>
      <c r="C292" s="41"/>
      <c r="D292" s="41"/>
      <c r="E292" s="41"/>
      <c r="F292" s="41"/>
      <c r="H292" s="1055" t="s">
        <v>2345</v>
      </c>
      <c r="I292" s="1055"/>
      <c r="J292" s="1055"/>
      <c r="K292" s="1055"/>
      <c r="L292" s="1055"/>
      <c r="M292" s="1055"/>
      <c r="N292" s="1055"/>
      <c r="O292" s="1055"/>
      <c r="P292" s="1055"/>
      <c r="Q292" s="1055"/>
      <c r="R292" s="1055"/>
      <c r="T292" s="41" t="s">
        <v>375</v>
      </c>
      <c r="V292" s="41"/>
      <c r="W292" s="41"/>
      <c r="X292" s="41"/>
      <c r="Y292" s="41"/>
      <c r="AA292" s="1055" t="s">
        <v>2352</v>
      </c>
      <c r="AB292" s="1055"/>
      <c r="AC292" s="1055"/>
      <c r="AD292" s="1055"/>
      <c r="AE292" s="1055"/>
      <c r="AF292" s="1055"/>
      <c r="AG292" s="1055"/>
      <c r="AH292" s="1055"/>
      <c r="AI292" s="1055"/>
      <c r="AJ292" s="1055"/>
      <c r="AK292" s="1055"/>
      <c r="BA292" s="43"/>
    </row>
    <row r="293" spans="2:53" ht="12.95" customHeight="1">
      <c r="B293" s="41" t="s">
        <v>376</v>
      </c>
      <c r="C293" s="41"/>
      <c r="D293" s="41"/>
      <c r="E293" s="41"/>
      <c r="F293" s="41"/>
      <c r="G293" s="41"/>
      <c r="H293" s="1058" t="s">
        <v>2346</v>
      </c>
      <c r="I293" s="1058"/>
      <c r="J293" s="1058"/>
      <c r="K293" s="1058"/>
      <c r="L293" s="1058"/>
      <c r="M293" s="1058"/>
      <c r="N293" s="5" t="s">
        <v>819</v>
      </c>
      <c r="O293" s="5"/>
      <c r="P293" s="1054"/>
      <c r="Q293" s="1054"/>
      <c r="R293" s="1054"/>
      <c r="S293" s="41"/>
      <c r="T293" s="41" t="s">
        <v>376</v>
      </c>
      <c r="V293" s="41"/>
      <c r="W293" s="41"/>
      <c r="X293" s="41"/>
      <c r="Y293" s="41"/>
      <c r="AA293" s="1058" t="s">
        <v>2353</v>
      </c>
      <c r="AB293" s="1058"/>
      <c r="AC293" s="1058"/>
      <c r="AD293" s="1058"/>
      <c r="AE293" s="1058"/>
      <c r="AF293" s="1058"/>
      <c r="AG293" s="5" t="s">
        <v>819</v>
      </c>
      <c r="AH293" s="5"/>
      <c r="AI293" s="1054"/>
      <c r="AJ293" s="1054"/>
      <c r="AK293" s="1054"/>
      <c r="BA293" s="43"/>
    </row>
    <row r="294" spans="2:53" ht="12.95" customHeight="1">
      <c r="B294" s="41" t="s">
        <v>377</v>
      </c>
      <c r="C294" s="41"/>
      <c r="D294" s="41"/>
      <c r="E294" s="41"/>
      <c r="F294" s="41"/>
      <c r="G294" s="41"/>
      <c r="H294" s="1059" t="s">
        <v>2347</v>
      </c>
      <c r="I294" s="1059"/>
      <c r="J294" s="1059"/>
      <c r="K294" s="1059"/>
      <c r="L294" s="1059"/>
      <c r="M294" s="1059"/>
      <c r="N294" s="5"/>
      <c r="O294" s="5"/>
      <c r="P294" s="44"/>
      <c r="Q294" s="44"/>
      <c r="R294" s="44"/>
      <c r="S294" s="41"/>
      <c r="T294" s="41" t="s">
        <v>377</v>
      </c>
      <c r="V294" s="41"/>
      <c r="W294" s="41"/>
      <c r="X294" s="41"/>
      <c r="Y294" s="41"/>
      <c r="AA294" s="1059" t="s">
        <v>124</v>
      </c>
      <c r="AB294" s="1059"/>
      <c r="AC294" s="1059"/>
      <c r="AD294" s="1059"/>
      <c r="AE294" s="1059"/>
      <c r="AF294" s="1059"/>
      <c r="AG294" s="5"/>
      <c r="AH294" s="5"/>
      <c r="AI294" s="44"/>
      <c r="AJ294" s="44"/>
      <c r="AK294" s="44"/>
      <c r="BA294" s="43"/>
    </row>
    <row r="295" spans="2:53" ht="12.95" customHeight="1">
      <c r="B295" s="41" t="s">
        <v>703</v>
      </c>
      <c r="C295" s="41"/>
      <c r="D295" s="41"/>
      <c r="E295" s="41"/>
      <c r="F295" s="41"/>
      <c r="G295" s="41"/>
      <c r="H295" s="1055" t="s">
        <v>2348</v>
      </c>
      <c r="I295" s="1055"/>
      <c r="J295" s="1055"/>
      <c r="K295" s="1055"/>
      <c r="L295" s="1055"/>
      <c r="M295" s="1055"/>
      <c r="N295" s="1057"/>
      <c r="O295" s="1057"/>
      <c r="P295" s="1057"/>
      <c r="Q295" s="1057"/>
      <c r="R295" s="1057"/>
      <c r="S295" s="41"/>
      <c r="T295" s="41" t="s">
        <v>703</v>
      </c>
      <c r="V295" s="41"/>
      <c r="W295" s="41"/>
      <c r="X295" s="41"/>
      <c r="Y295" s="41"/>
      <c r="AA295" s="1055" t="s">
        <v>2354</v>
      </c>
      <c r="AB295" s="1055"/>
      <c r="AC295" s="1055"/>
      <c r="AD295" s="1055"/>
      <c r="AE295" s="1055"/>
      <c r="AF295" s="1055"/>
      <c r="AG295" s="1057"/>
      <c r="AH295" s="1057"/>
      <c r="AI295" s="1057"/>
      <c r="AJ295" s="1057"/>
      <c r="AK295" s="105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057" t="s">
        <v>2355</v>
      </c>
      <c r="I297" s="1057"/>
      <c r="J297" s="1057"/>
      <c r="K297" s="1057"/>
      <c r="L297" s="1057"/>
      <c r="M297" s="1057"/>
      <c r="N297" s="1057"/>
      <c r="O297" s="1057"/>
      <c r="P297" s="1057"/>
      <c r="Q297" s="1057"/>
      <c r="R297" s="1057"/>
      <c r="T297" s="41" t="s">
        <v>35</v>
      </c>
      <c r="V297" s="41"/>
      <c r="W297" s="41"/>
      <c r="X297" s="41"/>
      <c r="Y297" s="41"/>
      <c r="AA297" s="1057" t="s">
        <v>2362</v>
      </c>
      <c r="AB297" s="1057"/>
      <c r="AC297" s="1057"/>
      <c r="AD297" s="1057"/>
      <c r="AE297" s="1057"/>
      <c r="AF297" s="1057"/>
      <c r="AG297" s="1057"/>
      <c r="AH297" s="1057"/>
      <c r="AI297" s="1057"/>
      <c r="AJ297" s="1057"/>
      <c r="AK297" s="1057"/>
      <c r="BA297" s="43"/>
    </row>
    <row r="298" spans="2:53" ht="12.95" customHeight="1">
      <c r="B298" s="41" t="s">
        <v>700</v>
      </c>
      <c r="C298" s="41"/>
      <c r="D298" s="41"/>
      <c r="E298" s="41"/>
      <c r="F298" s="41"/>
      <c r="H298" s="1055" t="s">
        <v>2356</v>
      </c>
      <c r="I298" s="1055"/>
      <c r="J298" s="1055"/>
      <c r="K298" s="1055"/>
      <c r="L298" s="1055"/>
      <c r="M298" s="1055"/>
      <c r="N298" s="1055"/>
      <c r="O298" s="1055"/>
      <c r="P298" s="1055"/>
      <c r="Q298" s="1055"/>
      <c r="R298" s="1055"/>
      <c r="T298" s="41" t="s">
        <v>700</v>
      </c>
      <c r="V298" s="41"/>
      <c r="W298" s="41"/>
      <c r="X298" s="41"/>
      <c r="Y298" s="41"/>
      <c r="AA298" s="1055" t="s">
        <v>2343</v>
      </c>
      <c r="AB298" s="1055"/>
      <c r="AC298" s="1055"/>
      <c r="AD298" s="1055"/>
      <c r="AE298" s="1055"/>
      <c r="AF298" s="1055"/>
      <c r="AG298" s="1055"/>
      <c r="AH298" s="1055"/>
      <c r="AI298" s="1055"/>
      <c r="AJ298" s="1055"/>
      <c r="AK298" s="1055"/>
      <c r="BA298" s="43"/>
    </row>
    <row r="299" spans="2:53" ht="12.95" customHeight="1">
      <c r="B299" s="41" t="s">
        <v>702</v>
      </c>
      <c r="C299" s="41"/>
      <c r="D299" s="41"/>
      <c r="E299" s="41"/>
      <c r="F299" s="41"/>
      <c r="H299" s="1055" t="s">
        <v>2357</v>
      </c>
      <c r="I299" s="1055"/>
      <c r="J299" s="1055"/>
      <c r="K299" s="1055"/>
      <c r="L299" s="1055"/>
      <c r="M299" s="1055"/>
      <c r="N299" s="1055"/>
      <c r="O299" s="1055"/>
      <c r="P299" s="1055"/>
      <c r="Q299" s="1055"/>
      <c r="R299" s="1055"/>
      <c r="T299" s="41" t="s">
        <v>701</v>
      </c>
      <c r="V299" s="41"/>
      <c r="W299" s="41"/>
      <c r="X299" s="41"/>
      <c r="Y299" s="41"/>
      <c r="AA299" s="1055" t="s">
        <v>2344</v>
      </c>
      <c r="AB299" s="1055"/>
      <c r="AC299" s="1055"/>
      <c r="AD299" s="1055"/>
      <c r="AE299" s="1055"/>
      <c r="AF299" s="1055"/>
      <c r="AG299" s="1055"/>
      <c r="AH299" s="1055"/>
      <c r="AI299" s="1055"/>
      <c r="AJ299" s="1055"/>
      <c r="AK299" s="1055"/>
      <c r="BA299" s="43"/>
    </row>
    <row r="300" spans="2:53" ht="12.95" customHeight="1">
      <c r="B300" s="41" t="s">
        <v>375</v>
      </c>
      <c r="C300" s="41"/>
      <c r="D300" s="41"/>
      <c r="E300" s="41"/>
      <c r="F300" s="41"/>
      <c r="H300" s="1055" t="s">
        <v>2358</v>
      </c>
      <c r="I300" s="1055"/>
      <c r="J300" s="1055"/>
      <c r="K300" s="1055"/>
      <c r="L300" s="1055"/>
      <c r="M300" s="1055"/>
      <c r="N300" s="1055"/>
      <c r="O300" s="1055"/>
      <c r="P300" s="1055"/>
      <c r="Q300" s="1055"/>
      <c r="R300" s="1055"/>
      <c r="T300" s="41" t="s">
        <v>375</v>
      </c>
      <c r="V300" s="41"/>
      <c r="W300" s="41"/>
      <c r="X300" s="41"/>
      <c r="Y300" s="41"/>
      <c r="AA300" s="1055" t="s">
        <v>2345</v>
      </c>
      <c r="AB300" s="1055"/>
      <c r="AC300" s="1055"/>
      <c r="AD300" s="1055"/>
      <c r="AE300" s="1055"/>
      <c r="AF300" s="1055"/>
      <c r="AG300" s="1055"/>
      <c r="AH300" s="1055"/>
      <c r="AI300" s="1055"/>
      <c r="AJ300" s="1055"/>
      <c r="AK300" s="1055"/>
      <c r="BA300" s="43"/>
    </row>
    <row r="301" spans="2:53" ht="12.95" customHeight="1">
      <c r="B301" s="41" t="s">
        <v>376</v>
      </c>
      <c r="C301" s="41"/>
      <c r="D301" s="41"/>
      <c r="E301" s="41"/>
      <c r="F301" s="41"/>
      <c r="G301" s="41"/>
      <c r="H301" s="1058" t="s">
        <v>2359</v>
      </c>
      <c r="I301" s="1058"/>
      <c r="J301" s="1058"/>
      <c r="K301" s="1058"/>
      <c r="L301" s="1058"/>
      <c r="M301" s="1058"/>
      <c r="N301" s="5" t="s">
        <v>819</v>
      </c>
      <c r="O301" s="5"/>
      <c r="P301" s="1054"/>
      <c r="Q301" s="1054"/>
      <c r="R301" s="1054"/>
      <c r="S301" s="41"/>
      <c r="T301" s="41" t="s">
        <v>376</v>
      </c>
      <c r="V301" s="41"/>
      <c r="W301" s="41"/>
      <c r="X301" s="41"/>
      <c r="Y301" s="41"/>
      <c r="AA301" s="1058" t="s">
        <v>2346</v>
      </c>
      <c r="AB301" s="1058"/>
      <c r="AC301" s="1058"/>
      <c r="AD301" s="1058"/>
      <c r="AE301" s="1058"/>
      <c r="AF301" s="1058"/>
      <c r="AG301" s="5" t="s">
        <v>819</v>
      </c>
      <c r="AH301" s="5"/>
      <c r="AI301" s="1054"/>
      <c r="AJ301" s="1054"/>
      <c r="AK301" s="1054"/>
      <c r="BA301" s="43"/>
    </row>
    <row r="302" spans="2:53" ht="12.95" customHeight="1">
      <c r="B302" s="41" t="s">
        <v>377</v>
      </c>
      <c r="C302" s="41"/>
      <c r="D302" s="41"/>
      <c r="E302" s="41"/>
      <c r="F302" s="41"/>
      <c r="G302" s="41"/>
      <c r="H302" s="1059" t="s">
        <v>2360</v>
      </c>
      <c r="I302" s="1059"/>
      <c r="J302" s="1059"/>
      <c r="K302" s="1059"/>
      <c r="L302" s="1059"/>
      <c r="M302" s="1059"/>
      <c r="N302" s="5"/>
      <c r="O302" s="5"/>
      <c r="P302" s="44"/>
      <c r="Q302" s="44"/>
      <c r="R302" s="44"/>
      <c r="S302" s="41"/>
      <c r="T302" s="41" t="s">
        <v>377</v>
      </c>
      <c r="V302" s="41"/>
      <c r="W302" s="41"/>
      <c r="X302" s="41"/>
      <c r="Y302" s="41"/>
      <c r="AA302" s="1059" t="s">
        <v>2347</v>
      </c>
      <c r="AB302" s="1059"/>
      <c r="AC302" s="1059"/>
      <c r="AD302" s="1059"/>
      <c r="AE302" s="1059"/>
      <c r="AF302" s="1059"/>
      <c r="AG302" s="5"/>
      <c r="AH302" s="5"/>
      <c r="AI302" s="44"/>
      <c r="AJ302" s="44"/>
      <c r="AK302" s="44"/>
      <c r="BA302" s="43"/>
    </row>
    <row r="303" spans="2:53" ht="12.95" customHeight="1">
      <c r="B303" s="41" t="s">
        <v>703</v>
      </c>
      <c r="C303" s="41"/>
      <c r="D303" s="41"/>
      <c r="E303" s="41"/>
      <c r="F303" s="41"/>
      <c r="G303" s="41"/>
      <c r="H303" s="1055" t="s">
        <v>2361</v>
      </c>
      <c r="I303" s="1055"/>
      <c r="J303" s="1055"/>
      <c r="K303" s="1055"/>
      <c r="L303" s="1055"/>
      <c r="M303" s="1055"/>
      <c r="N303" s="1057"/>
      <c r="O303" s="1057"/>
      <c r="P303" s="1057"/>
      <c r="Q303" s="1057"/>
      <c r="R303" s="1057"/>
      <c r="S303" s="41"/>
      <c r="T303" s="41" t="s">
        <v>703</v>
      </c>
      <c r="V303" s="41"/>
      <c r="W303" s="41"/>
      <c r="X303" s="41"/>
      <c r="Y303" s="41"/>
      <c r="AA303" s="1055" t="s">
        <v>2363</v>
      </c>
      <c r="AB303" s="1055"/>
      <c r="AC303" s="1055"/>
      <c r="AD303" s="1055"/>
      <c r="AE303" s="1055"/>
      <c r="AF303" s="1055"/>
      <c r="AG303" s="1057"/>
      <c r="AH303" s="1057"/>
      <c r="AI303" s="1057"/>
      <c r="AJ303" s="1057"/>
      <c r="AK303" s="1057"/>
      <c r="BA303" s="43"/>
    </row>
    <row r="304" spans="2:53" ht="12.95" customHeight="1">
      <c r="BA304" s="43"/>
    </row>
    <row r="305" spans="2:53" ht="12.95" customHeight="1">
      <c r="B305" s="41" t="s">
        <v>704</v>
      </c>
      <c r="C305" s="41"/>
      <c r="D305" s="41"/>
      <c r="E305" s="41"/>
      <c r="F305" s="41"/>
      <c r="H305" s="1057" t="s">
        <v>2364</v>
      </c>
      <c r="I305" s="1057"/>
      <c r="J305" s="1057"/>
      <c r="K305" s="1057"/>
      <c r="L305" s="1057"/>
      <c r="M305" s="1057"/>
      <c r="N305" s="1057"/>
      <c r="O305" s="1057"/>
      <c r="P305" s="1057"/>
      <c r="Q305" s="1057"/>
      <c r="R305" s="1057"/>
      <c r="T305" s="5" t="s">
        <v>1106</v>
      </c>
      <c r="V305" s="41"/>
      <c r="W305" s="41"/>
      <c r="X305" s="41"/>
      <c r="Y305" s="41"/>
      <c r="AA305" s="1057" t="s">
        <v>2371</v>
      </c>
      <c r="AB305" s="1057"/>
      <c r="AC305" s="1057"/>
      <c r="AD305" s="1057"/>
      <c r="AE305" s="1057"/>
      <c r="AF305" s="1057"/>
      <c r="AG305" s="1057"/>
      <c r="AH305" s="1057"/>
      <c r="AI305" s="1057"/>
      <c r="AJ305" s="1057"/>
      <c r="AK305" s="1057"/>
      <c r="BA305" s="43"/>
    </row>
    <row r="306" spans="2:53" ht="12.95" customHeight="1">
      <c r="B306" s="41" t="s">
        <v>700</v>
      </c>
      <c r="C306" s="41"/>
      <c r="D306" s="41"/>
      <c r="E306" s="41"/>
      <c r="F306" s="41"/>
      <c r="H306" s="1055" t="s">
        <v>2365</v>
      </c>
      <c r="I306" s="1055"/>
      <c r="J306" s="1055"/>
      <c r="K306" s="1055"/>
      <c r="L306" s="1055"/>
      <c r="M306" s="1055"/>
      <c r="N306" s="1055"/>
      <c r="O306" s="1055"/>
      <c r="P306" s="1055"/>
      <c r="Q306" s="1055"/>
      <c r="R306" s="1055"/>
      <c r="T306" s="41" t="s">
        <v>700</v>
      </c>
      <c r="V306" s="41"/>
      <c r="W306" s="41"/>
      <c r="X306" s="41"/>
      <c r="Y306" s="41"/>
      <c r="AA306" s="1055" t="s">
        <v>2372</v>
      </c>
      <c r="AB306" s="1055"/>
      <c r="AC306" s="1055"/>
      <c r="AD306" s="1055"/>
      <c r="AE306" s="1055"/>
      <c r="AF306" s="1055"/>
      <c r="AG306" s="1055"/>
      <c r="AH306" s="1055"/>
      <c r="AI306" s="1055"/>
      <c r="AJ306" s="1055"/>
      <c r="AK306" s="1055"/>
      <c r="BA306" s="43"/>
    </row>
    <row r="307" spans="2:53" ht="12.95" customHeight="1">
      <c r="B307" s="41" t="s">
        <v>702</v>
      </c>
      <c r="C307" s="41"/>
      <c r="D307" s="41"/>
      <c r="E307" s="41"/>
      <c r="F307" s="41"/>
      <c r="H307" s="1055" t="s">
        <v>2366</v>
      </c>
      <c r="I307" s="1055"/>
      <c r="J307" s="1055"/>
      <c r="K307" s="1055"/>
      <c r="L307" s="1055"/>
      <c r="M307" s="1055"/>
      <c r="N307" s="1055"/>
      <c r="O307" s="1055"/>
      <c r="P307" s="1055"/>
      <c r="Q307" s="1055"/>
      <c r="R307" s="1055"/>
      <c r="T307" s="41" t="s">
        <v>701</v>
      </c>
      <c r="V307" s="41"/>
      <c r="W307" s="41"/>
      <c r="X307" s="41"/>
      <c r="Y307" s="41"/>
      <c r="AA307" s="1055" t="s">
        <v>2373</v>
      </c>
      <c r="AB307" s="1055"/>
      <c r="AC307" s="1055"/>
      <c r="AD307" s="1055"/>
      <c r="AE307" s="1055"/>
      <c r="AF307" s="1055"/>
      <c r="AG307" s="1055"/>
      <c r="AH307" s="1055"/>
      <c r="AI307" s="1055"/>
      <c r="AJ307" s="1055"/>
      <c r="AK307" s="1055"/>
      <c r="BA307" s="43"/>
    </row>
    <row r="308" spans="2:53" ht="12.95" customHeight="1">
      <c r="B308" s="41" t="s">
        <v>375</v>
      </c>
      <c r="C308" s="41"/>
      <c r="D308" s="41"/>
      <c r="E308" s="41"/>
      <c r="F308" s="41"/>
      <c r="H308" s="1055" t="s">
        <v>2367</v>
      </c>
      <c r="I308" s="1055"/>
      <c r="J308" s="1055"/>
      <c r="K308" s="1055"/>
      <c r="L308" s="1055"/>
      <c r="M308" s="1055"/>
      <c r="N308" s="1055"/>
      <c r="O308" s="1055"/>
      <c r="P308" s="1055"/>
      <c r="Q308" s="1055"/>
      <c r="R308" s="1055"/>
      <c r="T308" s="41" t="s">
        <v>375</v>
      </c>
      <c r="V308" s="41"/>
      <c r="W308" s="41"/>
      <c r="X308" s="41"/>
      <c r="Y308" s="41"/>
      <c r="AA308" s="1055" t="s">
        <v>2374</v>
      </c>
      <c r="AB308" s="1055"/>
      <c r="AC308" s="1055"/>
      <c r="AD308" s="1055"/>
      <c r="AE308" s="1055"/>
      <c r="AF308" s="1055"/>
      <c r="AG308" s="1055"/>
      <c r="AH308" s="1055"/>
      <c r="AI308" s="1055"/>
      <c r="AJ308" s="1055"/>
      <c r="AK308" s="1055"/>
      <c r="BA308" s="43"/>
    </row>
    <row r="309" spans="2:53" ht="12.95" customHeight="1">
      <c r="B309" s="41" t="s">
        <v>376</v>
      </c>
      <c r="C309" s="41"/>
      <c r="D309" s="41"/>
      <c r="E309" s="41"/>
      <c r="F309" s="41"/>
      <c r="G309" s="41"/>
      <c r="H309" s="1058" t="s">
        <v>2368</v>
      </c>
      <c r="I309" s="1058"/>
      <c r="J309" s="1058"/>
      <c r="K309" s="1058"/>
      <c r="L309" s="1058"/>
      <c r="M309" s="1058"/>
      <c r="N309" s="5" t="s">
        <v>819</v>
      </c>
      <c r="O309" s="5"/>
      <c r="P309" s="1054"/>
      <c r="Q309" s="1054"/>
      <c r="R309" s="1054"/>
      <c r="S309" s="41"/>
      <c r="T309" s="41" t="s">
        <v>376</v>
      </c>
      <c r="V309" s="41"/>
      <c r="W309" s="41"/>
      <c r="X309" s="41"/>
      <c r="Y309" s="41"/>
      <c r="AA309" s="1058" t="s">
        <v>2375</v>
      </c>
      <c r="AB309" s="1058"/>
      <c r="AC309" s="1058"/>
      <c r="AD309" s="1058"/>
      <c r="AE309" s="1058"/>
      <c r="AF309" s="1058"/>
      <c r="AG309" s="5" t="s">
        <v>819</v>
      </c>
      <c r="AH309" s="5"/>
      <c r="AI309" s="1054"/>
      <c r="AJ309" s="1054"/>
      <c r="AK309" s="1054"/>
      <c r="BA309" s="43"/>
    </row>
    <row r="310" spans="2:53" ht="12.95" customHeight="1">
      <c r="B310" s="41" t="s">
        <v>377</v>
      </c>
      <c r="C310" s="41"/>
      <c r="D310" s="41"/>
      <c r="E310" s="41"/>
      <c r="F310" s="41"/>
      <c r="G310" s="41"/>
      <c r="H310" s="1059" t="s">
        <v>2369</v>
      </c>
      <c r="I310" s="1059"/>
      <c r="J310" s="1059"/>
      <c r="K310" s="1059"/>
      <c r="L310" s="1059"/>
      <c r="M310" s="1059"/>
      <c r="N310" s="5"/>
      <c r="O310" s="5"/>
      <c r="P310" s="44"/>
      <c r="Q310" s="44"/>
      <c r="R310" s="44"/>
      <c r="S310" s="41"/>
      <c r="T310" s="41" t="s">
        <v>377</v>
      </c>
      <c r="V310" s="41"/>
      <c r="W310" s="41"/>
      <c r="X310" s="41"/>
      <c r="Y310" s="41"/>
      <c r="AA310" s="1059" t="s">
        <v>2376</v>
      </c>
      <c r="AB310" s="1059"/>
      <c r="AC310" s="1059"/>
      <c r="AD310" s="1059"/>
      <c r="AE310" s="1059"/>
      <c r="AF310" s="1059"/>
      <c r="AG310" s="5"/>
      <c r="AH310" s="5"/>
      <c r="AI310" s="44"/>
      <c r="AJ310" s="44"/>
      <c r="AK310" s="44"/>
      <c r="BA310" s="43"/>
    </row>
    <row r="311" spans="2:53" ht="12.95" customHeight="1">
      <c r="B311" s="41" t="s">
        <v>703</v>
      </c>
      <c r="C311" s="41"/>
      <c r="D311" s="41"/>
      <c r="E311" s="41"/>
      <c r="F311" s="41"/>
      <c r="G311" s="41"/>
      <c r="H311" s="1055" t="s">
        <v>2370</v>
      </c>
      <c r="I311" s="1055"/>
      <c r="J311" s="1055"/>
      <c r="K311" s="1055"/>
      <c r="L311" s="1055"/>
      <c r="M311" s="1055"/>
      <c r="N311" s="1057"/>
      <c r="O311" s="1057"/>
      <c r="P311" s="1057"/>
      <c r="Q311" s="1057"/>
      <c r="R311" s="1057"/>
      <c r="S311" s="41"/>
      <c r="T311" s="41" t="s">
        <v>703</v>
      </c>
      <c r="V311" s="41"/>
      <c r="W311" s="41"/>
      <c r="X311" s="41"/>
      <c r="Y311" s="41"/>
      <c r="AA311" s="1055" t="s">
        <v>2377</v>
      </c>
      <c r="AB311" s="1055"/>
      <c r="AC311" s="1055"/>
      <c r="AD311" s="1055"/>
      <c r="AE311" s="1055"/>
      <c r="AF311" s="1055"/>
      <c r="AG311" s="1057"/>
      <c r="AH311" s="1057"/>
      <c r="AI311" s="1057"/>
      <c r="AJ311" s="1057"/>
      <c r="AK311" s="1057"/>
      <c r="BA311" s="43"/>
    </row>
    <row r="312" spans="2:53" ht="12.95" customHeight="1">
      <c r="BA312" s="43"/>
    </row>
    <row r="313" spans="2:53" ht="12.95" customHeight="1">
      <c r="B313" s="5" t="s">
        <v>1147</v>
      </c>
      <c r="C313" s="41"/>
      <c r="D313" s="41"/>
      <c r="E313" s="41"/>
      <c r="F313" s="41"/>
      <c r="H313" s="1057" t="s">
        <v>2364</v>
      </c>
      <c r="I313" s="1057"/>
      <c r="J313" s="1057"/>
      <c r="K313" s="1057"/>
      <c r="L313" s="1057"/>
      <c r="M313" s="1057"/>
      <c r="N313" s="1057"/>
      <c r="O313" s="1057"/>
      <c r="P313" s="1057"/>
      <c r="Q313" s="1057"/>
      <c r="R313" s="1057"/>
      <c r="T313" s="41" t="s">
        <v>36</v>
      </c>
      <c r="V313" s="41"/>
      <c r="W313" s="41"/>
      <c r="X313" s="41"/>
      <c r="Y313" s="41"/>
      <c r="AA313" s="1057" t="s">
        <v>2378</v>
      </c>
      <c r="AB313" s="1057"/>
      <c r="AC313" s="1057"/>
      <c r="AD313" s="1057"/>
      <c r="AE313" s="1057"/>
      <c r="AF313" s="1057"/>
      <c r="AG313" s="1057"/>
      <c r="AH313" s="1057"/>
      <c r="AI313" s="1057"/>
      <c r="AJ313" s="1057"/>
      <c r="AK313" s="1057"/>
      <c r="BA313" s="43"/>
    </row>
    <row r="314" spans="2:53" ht="12.95" customHeight="1">
      <c r="B314" s="41" t="s">
        <v>700</v>
      </c>
      <c r="C314" s="41"/>
      <c r="D314" s="41"/>
      <c r="E314" s="41"/>
      <c r="F314" s="41"/>
      <c r="H314" s="1055" t="s">
        <v>2365</v>
      </c>
      <c r="I314" s="1055"/>
      <c r="J314" s="1055"/>
      <c r="K314" s="1055"/>
      <c r="L314" s="1055"/>
      <c r="M314" s="1055"/>
      <c r="N314" s="1055"/>
      <c r="O314" s="1055"/>
      <c r="P314" s="1055"/>
      <c r="Q314" s="1055"/>
      <c r="R314" s="1055"/>
      <c r="T314" s="41" t="s">
        <v>700</v>
      </c>
      <c r="V314" s="41"/>
      <c r="W314" s="41"/>
      <c r="X314" s="41"/>
      <c r="Y314" s="41"/>
      <c r="AA314" s="1055" t="s">
        <v>2379</v>
      </c>
      <c r="AB314" s="1055"/>
      <c r="AC314" s="1055"/>
      <c r="AD314" s="1055"/>
      <c r="AE314" s="1055"/>
      <c r="AF314" s="1055"/>
      <c r="AG314" s="1055"/>
      <c r="AH314" s="1055"/>
      <c r="AI314" s="1055"/>
      <c r="AJ314" s="1055"/>
      <c r="AK314" s="1055"/>
      <c r="BA314" s="43"/>
    </row>
    <row r="315" spans="2:53" ht="12.95" customHeight="1">
      <c r="B315" s="41" t="s">
        <v>702</v>
      </c>
      <c r="C315" s="41"/>
      <c r="D315" s="41"/>
      <c r="E315" s="41"/>
      <c r="F315" s="41"/>
      <c r="H315" s="1055" t="s">
        <v>2366</v>
      </c>
      <c r="I315" s="1055"/>
      <c r="J315" s="1055"/>
      <c r="K315" s="1055"/>
      <c r="L315" s="1055"/>
      <c r="M315" s="1055"/>
      <c r="N315" s="1055"/>
      <c r="O315" s="1055"/>
      <c r="P315" s="1055"/>
      <c r="Q315" s="1055"/>
      <c r="R315" s="1055"/>
      <c r="T315" s="41" t="s">
        <v>701</v>
      </c>
      <c r="V315" s="41"/>
      <c r="W315" s="41"/>
      <c r="X315" s="41"/>
      <c r="Y315" s="41"/>
      <c r="AA315" s="1055" t="s">
        <v>2380</v>
      </c>
      <c r="AB315" s="1055"/>
      <c r="AC315" s="1055"/>
      <c r="AD315" s="1055"/>
      <c r="AE315" s="1055"/>
      <c r="AF315" s="1055"/>
      <c r="AG315" s="1055"/>
      <c r="AH315" s="1055"/>
      <c r="AI315" s="1055"/>
      <c r="AJ315" s="1055"/>
      <c r="AK315" s="1055"/>
      <c r="BA315" s="43"/>
    </row>
    <row r="316" spans="2:53" ht="12.95" customHeight="1">
      <c r="B316" s="41" t="s">
        <v>375</v>
      </c>
      <c r="C316" s="41"/>
      <c r="D316" s="41"/>
      <c r="E316" s="41"/>
      <c r="F316" s="41"/>
      <c r="H316" s="1055" t="s">
        <v>2367</v>
      </c>
      <c r="I316" s="1055"/>
      <c r="J316" s="1055"/>
      <c r="K316" s="1055"/>
      <c r="L316" s="1055"/>
      <c r="M316" s="1055"/>
      <c r="N316" s="1055"/>
      <c r="O316" s="1055"/>
      <c r="P316" s="1055"/>
      <c r="Q316" s="1055"/>
      <c r="R316" s="1055"/>
      <c r="T316" s="41" t="s">
        <v>375</v>
      </c>
      <c r="V316" s="41"/>
      <c r="W316" s="41"/>
      <c r="X316" s="41"/>
      <c r="Y316" s="41"/>
      <c r="AA316" s="1055" t="s">
        <v>2381</v>
      </c>
      <c r="AB316" s="1055"/>
      <c r="AC316" s="1055"/>
      <c r="AD316" s="1055"/>
      <c r="AE316" s="1055"/>
      <c r="AF316" s="1055"/>
      <c r="AG316" s="1055"/>
      <c r="AH316" s="1055"/>
      <c r="AI316" s="1055"/>
      <c r="AJ316" s="1055"/>
      <c r="AK316" s="1055"/>
      <c r="BA316" s="43"/>
    </row>
    <row r="317" spans="2:53" ht="12.95" customHeight="1">
      <c r="B317" s="41" t="s">
        <v>376</v>
      </c>
      <c r="C317" s="41"/>
      <c r="D317" s="41"/>
      <c r="E317" s="41"/>
      <c r="F317" s="41"/>
      <c r="G317" s="41"/>
      <c r="H317" s="1058" t="s">
        <v>2368</v>
      </c>
      <c r="I317" s="1058"/>
      <c r="J317" s="1058"/>
      <c r="K317" s="1058"/>
      <c r="L317" s="1058"/>
      <c r="M317" s="1058"/>
      <c r="N317" s="5" t="s">
        <v>819</v>
      </c>
      <c r="O317" s="5"/>
      <c r="P317" s="1054"/>
      <c r="Q317" s="1054"/>
      <c r="R317" s="1054"/>
      <c r="S317" s="41"/>
      <c r="T317" s="41" t="s">
        <v>376</v>
      </c>
      <c r="V317" s="41"/>
      <c r="W317" s="41"/>
      <c r="X317" s="41"/>
      <c r="Y317" s="41"/>
      <c r="AA317" s="1058" t="s">
        <v>2382</v>
      </c>
      <c r="AB317" s="1058"/>
      <c r="AC317" s="1058"/>
      <c r="AD317" s="1058"/>
      <c r="AE317" s="1058"/>
      <c r="AF317" s="1058"/>
      <c r="AG317" s="5" t="s">
        <v>819</v>
      </c>
      <c r="AH317" s="5"/>
      <c r="AI317" s="1054"/>
      <c r="AJ317" s="1054"/>
      <c r="AK317" s="1054"/>
      <c r="BA317" s="43"/>
    </row>
    <row r="318" spans="2:53" ht="12.95" customHeight="1">
      <c r="B318" s="41" t="s">
        <v>377</v>
      </c>
      <c r="C318" s="41"/>
      <c r="D318" s="41"/>
      <c r="E318" s="41"/>
      <c r="F318" s="41"/>
      <c r="G318" s="41"/>
      <c r="H318" s="1059" t="s">
        <v>2369</v>
      </c>
      <c r="I318" s="1059"/>
      <c r="J318" s="1059"/>
      <c r="K318" s="1059"/>
      <c r="L318" s="1059"/>
      <c r="M318" s="1059"/>
      <c r="N318" s="5"/>
      <c r="O318" s="5"/>
      <c r="P318" s="44"/>
      <c r="Q318" s="44"/>
      <c r="R318" s="44"/>
      <c r="S318" s="41"/>
      <c r="T318" s="41" t="s">
        <v>377</v>
      </c>
      <c r="V318" s="41"/>
      <c r="W318" s="41"/>
      <c r="X318" s="41"/>
      <c r="Y318" s="41"/>
      <c r="AA318" s="1059" t="s">
        <v>2383</v>
      </c>
      <c r="AB318" s="1059"/>
      <c r="AC318" s="1059"/>
      <c r="AD318" s="1059"/>
      <c r="AE318" s="1059"/>
      <c r="AF318" s="1059"/>
      <c r="AG318" s="5"/>
      <c r="AH318" s="5"/>
      <c r="AI318" s="44"/>
      <c r="AJ318" s="44"/>
      <c r="AK318" s="44"/>
      <c r="BA318" s="43"/>
    </row>
    <row r="319" spans="2:53" ht="12.95" customHeight="1">
      <c r="B319" s="41" t="s">
        <v>703</v>
      </c>
      <c r="C319" s="41"/>
      <c r="D319" s="41"/>
      <c r="E319" s="41"/>
      <c r="F319" s="41"/>
      <c r="G319" s="41"/>
      <c r="H319" s="1055" t="s">
        <v>2370</v>
      </c>
      <c r="I319" s="1055"/>
      <c r="J319" s="1055"/>
      <c r="K319" s="1055"/>
      <c r="L319" s="1055"/>
      <c r="M319" s="1055"/>
      <c r="N319" s="1057"/>
      <c r="O319" s="1057"/>
      <c r="P319" s="1057"/>
      <c r="Q319" s="1057"/>
      <c r="R319" s="1057"/>
      <c r="S319" s="41"/>
      <c r="T319" s="41" t="s">
        <v>703</v>
      </c>
      <c r="V319" s="41"/>
      <c r="W319" s="41"/>
      <c r="X319" s="41"/>
      <c r="Y319" s="41"/>
      <c r="AA319" s="1055" t="s">
        <v>2384</v>
      </c>
      <c r="AB319" s="1055"/>
      <c r="AC319" s="1055"/>
      <c r="AD319" s="1055"/>
      <c r="AE319" s="1055"/>
      <c r="AF319" s="1055"/>
      <c r="AG319" s="1057"/>
      <c r="AH319" s="1057"/>
      <c r="AI319" s="1057"/>
      <c r="AJ319" s="1057"/>
      <c r="AK319" s="105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057" t="s">
        <v>2385</v>
      </c>
      <c r="I321" s="1057"/>
      <c r="J321" s="1057"/>
      <c r="K321" s="1057"/>
      <c r="L321" s="1057"/>
      <c r="M321" s="1057"/>
      <c r="N321" s="1057"/>
      <c r="O321" s="1057"/>
      <c r="P321" s="1057"/>
      <c r="Q321" s="1057"/>
      <c r="R321" s="1057"/>
      <c r="T321" s="41" t="s">
        <v>37</v>
      </c>
      <c r="V321" s="41"/>
      <c r="W321" s="41"/>
      <c r="X321" s="41"/>
      <c r="Y321" s="41"/>
      <c r="AA321" s="1057" t="s">
        <v>2391</v>
      </c>
      <c r="AB321" s="1057"/>
      <c r="AC321" s="1057"/>
      <c r="AD321" s="1057"/>
      <c r="AE321" s="1057"/>
      <c r="AF321" s="1057"/>
      <c r="AG321" s="1057"/>
      <c r="AH321" s="1057"/>
      <c r="AI321" s="1057"/>
      <c r="AJ321" s="1057"/>
      <c r="AK321" s="1057"/>
      <c r="BA321" s="43"/>
    </row>
    <row r="322" spans="2:53" ht="12.95" customHeight="1">
      <c r="B322" s="41" t="s">
        <v>700</v>
      </c>
      <c r="C322" s="41"/>
      <c r="D322" s="41"/>
      <c r="E322" s="41"/>
      <c r="F322" s="41"/>
      <c r="H322" s="1055" t="s">
        <v>2386</v>
      </c>
      <c r="I322" s="1055"/>
      <c r="J322" s="1055"/>
      <c r="K322" s="1055"/>
      <c r="L322" s="1055"/>
      <c r="M322" s="1055"/>
      <c r="N322" s="1055"/>
      <c r="O322" s="1055"/>
      <c r="P322" s="1055"/>
      <c r="Q322" s="1055"/>
      <c r="R322" s="1055"/>
      <c r="T322" s="41" t="s">
        <v>700</v>
      </c>
      <c r="V322" s="41"/>
      <c r="W322" s="41"/>
      <c r="X322" s="41"/>
      <c r="Y322" s="41"/>
      <c r="AA322" s="1055" t="s">
        <v>2392</v>
      </c>
      <c r="AB322" s="1055"/>
      <c r="AC322" s="1055"/>
      <c r="AD322" s="1055"/>
      <c r="AE322" s="1055"/>
      <c r="AF322" s="1055"/>
      <c r="AG322" s="1055"/>
      <c r="AH322" s="1055"/>
      <c r="AI322" s="1055"/>
      <c r="AJ322" s="1055"/>
      <c r="AK322" s="1055"/>
      <c r="BA322" s="43"/>
    </row>
    <row r="323" spans="2:53" ht="12.95" customHeight="1">
      <c r="B323" s="41" t="s">
        <v>702</v>
      </c>
      <c r="C323" s="41"/>
      <c r="D323" s="41"/>
      <c r="E323" s="41"/>
      <c r="F323" s="41"/>
      <c r="H323" s="1055" t="s">
        <v>2387</v>
      </c>
      <c r="I323" s="1055"/>
      <c r="J323" s="1055"/>
      <c r="K323" s="1055"/>
      <c r="L323" s="1055"/>
      <c r="M323" s="1055"/>
      <c r="N323" s="1055"/>
      <c r="O323" s="1055"/>
      <c r="P323" s="1055"/>
      <c r="Q323" s="1055"/>
      <c r="R323" s="1055"/>
      <c r="T323" s="41" t="s">
        <v>701</v>
      </c>
      <c r="V323" s="41"/>
      <c r="W323" s="41"/>
      <c r="X323" s="41"/>
      <c r="Y323" s="41"/>
      <c r="AA323" s="1055" t="s">
        <v>2393</v>
      </c>
      <c r="AB323" s="1055"/>
      <c r="AC323" s="1055"/>
      <c r="AD323" s="1055"/>
      <c r="AE323" s="1055"/>
      <c r="AF323" s="1055"/>
      <c r="AG323" s="1055"/>
      <c r="AH323" s="1055"/>
      <c r="AI323" s="1055"/>
      <c r="AJ323" s="1055"/>
      <c r="AK323" s="1055"/>
      <c r="BA323" s="43"/>
    </row>
    <row r="324" spans="2:53" ht="12.95" customHeight="1">
      <c r="B324" s="41" t="s">
        <v>375</v>
      </c>
      <c r="C324" s="41"/>
      <c r="D324" s="41"/>
      <c r="E324" s="41"/>
      <c r="F324" s="41"/>
      <c r="H324" s="1055" t="s">
        <v>2388</v>
      </c>
      <c r="I324" s="1055"/>
      <c r="J324" s="1055"/>
      <c r="K324" s="1055"/>
      <c r="L324" s="1055"/>
      <c r="M324" s="1055"/>
      <c r="N324" s="1055"/>
      <c r="O324" s="1055"/>
      <c r="P324" s="1055"/>
      <c r="Q324" s="1055"/>
      <c r="R324" s="1055"/>
      <c r="T324" s="41" t="s">
        <v>375</v>
      </c>
      <c r="V324" s="41"/>
      <c r="W324" s="41"/>
      <c r="X324" s="41"/>
      <c r="Y324" s="41"/>
      <c r="AA324" s="1055" t="s">
        <v>2394</v>
      </c>
      <c r="AB324" s="1055"/>
      <c r="AC324" s="1055"/>
      <c r="AD324" s="1055"/>
      <c r="AE324" s="1055"/>
      <c r="AF324" s="1055"/>
      <c r="AG324" s="1055"/>
      <c r="AH324" s="1055"/>
      <c r="AI324" s="1055"/>
      <c r="AJ324" s="1055"/>
      <c r="AK324" s="1055"/>
      <c r="BA324" s="43"/>
    </row>
    <row r="325" spans="2:53" ht="12.95" customHeight="1">
      <c r="B325" s="41" t="s">
        <v>376</v>
      </c>
      <c r="C325" s="41"/>
      <c r="D325" s="41"/>
      <c r="E325" s="41"/>
      <c r="F325" s="41"/>
      <c r="G325" s="41"/>
      <c r="H325" s="1058" t="s">
        <v>2389</v>
      </c>
      <c r="I325" s="1058"/>
      <c r="J325" s="1058"/>
      <c r="K325" s="1058"/>
      <c r="L325" s="1058"/>
      <c r="M325" s="1058"/>
      <c r="N325" s="5" t="s">
        <v>819</v>
      </c>
      <c r="O325" s="5"/>
      <c r="P325" s="1054"/>
      <c r="Q325" s="1054"/>
      <c r="R325" s="1054"/>
      <c r="S325" s="41"/>
      <c r="T325" s="41" t="s">
        <v>376</v>
      </c>
      <c r="V325" s="41"/>
      <c r="W325" s="41"/>
      <c r="X325" s="41"/>
      <c r="Y325" s="41"/>
      <c r="AA325" s="1058" t="s">
        <v>2395</v>
      </c>
      <c r="AB325" s="1058"/>
      <c r="AC325" s="1058"/>
      <c r="AD325" s="1058"/>
      <c r="AE325" s="1058"/>
      <c r="AF325" s="1058"/>
      <c r="AG325" s="5" t="s">
        <v>819</v>
      </c>
      <c r="AH325" s="5"/>
      <c r="AI325" s="1054"/>
      <c r="AJ325" s="1054"/>
      <c r="AK325" s="1054"/>
      <c r="BA325" s="43"/>
    </row>
    <row r="326" spans="2:53" ht="12.95" customHeight="1">
      <c r="B326" s="41" t="s">
        <v>377</v>
      </c>
      <c r="C326" s="41"/>
      <c r="D326" s="41"/>
      <c r="E326" s="41"/>
      <c r="F326" s="41"/>
      <c r="G326" s="41"/>
      <c r="H326" s="1059" t="s">
        <v>124</v>
      </c>
      <c r="I326" s="1059"/>
      <c r="J326" s="1059"/>
      <c r="K326" s="1059"/>
      <c r="L326" s="1059"/>
      <c r="M326" s="1059"/>
      <c r="N326" s="5"/>
      <c r="O326" s="5"/>
      <c r="P326" s="44"/>
      <c r="Q326" s="44"/>
      <c r="R326" s="44"/>
      <c r="S326" s="41"/>
      <c r="T326" s="41" t="s">
        <v>377</v>
      </c>
      <c r="V326" s="41"/>
      <c r="W326" s="41"/>
      <c r="X326" s="41"/>
      <c r="Y326" s="41"/>
      <c r="AA326" s="1059" t="s">
        <v>2396</v>
      </c>
      <c r="AB326" s="1059"/>
      <c r="AC326" s="1059"/>
      <c r="AD326" s="1059"/>
      <c r="AE326" s="1059"/>
      <c r="AF326" s="1059"/>
      <c r="AG326" s="5"/>
      <c r="AH326" s="5"/>
      <c r="AI326" s="44"/>
      <c r="AJ326" s="44"/>
      <c r="AK326" s="44"/>
      <c r="BA326" s="43"/>
    </row>
    <row r="327" spans="2:53" ht="12.95" customHeight="1">
      <c r="B327" s="41" t="s">
        <v>703</v>
      </c>
      <c r="C327" s="41"/>
      <c r="D327" s="41"/>
      <c r="E327" s="41"/>
      <c r="F327" s="41"/>
      <c r="G327" s="41"/>
      <c r="H327" s="1055" t="s">
        <v>2390</v>
      </c>
      <c r="I327" s="1055"/>
      <c r="J327" s="1055"/>
      <c r="K327" s="1055"/>
      <c r="L327" s="1055"/>
      <c r="M327" s="1055"/>
      <c r="N327" s="1057"/>
      <c r="O327" s="1057"/>
      <c r="P327" s="1057"/>
      <c r="Q327" s="1057"/>
      <c r="R327" s="1057"/>
      <c r="S327" s="41"/>
      <c r="T327" s="41" t="s">
        <v>703</v>
      </c>
      <c r="V327" s="41"/>
      <c r="W327" s="41"/>
      <c r="X327" s="41"/>
      <c r="Y327" s="41"/>
      <c r="AA327" s="1055" t="s">
        <v>2397</v>
      </c>
      <c r="AB327" s="1055"/>
      <c r="AC327" s="1055"/>
      <c r="AD327" s="1055"/>
      <c r="AE327" s="1055"/>
      <c r="AF327" s="1055"/>
      <c r="AG327" s="1057"/>
      <c r="AH327" s="1057"/>
      <c r="AI327" s="1057"/>
      <c r="AJ327" s="1057"/>
      <c r="AK327" s="105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7" t="s">
        <v>2391</v>
      </c>
      <c r="I329" s="1057"/>
      <c r="J329" s="1057"/>
      <c r="K329" s="1057"/>
      <c r="L329" s="1057"/>
      <c r="M329" s="1057"/>
      <c r="N329" s="1057"/>
      <c r="O329" s="1057"/>
      <c r="P329" s="1057"/>
      <c r="Q329" s="1057"/>
      <c r="R329" s="1057"/>
      <c r="T329" s="5" t="s">
        <v>1107</v>
      </c>
      <c r="V329" s="41"/>
      <c r="W329" s="41"/>
      <c r="X329" s="41"/>
      <c r="Y329" s="41"/>
      <c r="AA329" s="1057" t="s">
        <v>2398</v>
      </c>
      <c r="AB329" s="1057"/>
      <c r="AC329" s="1057"/>
      <c r="AD329" s="1057"/>
      <c r="AE329" s="1057"/>
      <c r="AF329" s="1057"/>
      <c r="AG329" s="1057"/>
      <c r="AH329" s="1057"/>
      <c r="AI329" s="1057"/>
      <c r="AJ329" s="1057"/>
      <c r="AK329" s="1057"/>
      <c r="BA329" s="43"/>
    </row>
    <row r="330" spans="2:53" ht="12.95" customHeight="1">
      <c r="B330" s="41" t="s">
        <v>700</v>
      </c>
      <c r="C330" s="41"/>
      <c r="D330" s="41"/>
      <c r="E330" s="41"/>
      <c r="F330" s="41"/>
      <c r="H330" s="1055" t="s">
        <v>2392</v>
      </c>
      <c r="I330" s="1055"/>
      <c r="J330" s="1055"/>
      <c r="K330" s="1055"/>
      <c r="L330" s="1055"/>
      <c r="M330" s="1055"/>
      <c r="N330" s="1055"/>
      <c r="O330" s="1055"/>
      <c r="P330" s="1055"/>
      <c r="Q330" s="1055"/>
      <c r="R330" s="1055"/>
      <c r="T330" s="41" t="s">
        <v>700</v>
      </c>
      <c r="V330" s="41"/>
      <c r="W330" s="41"/>
      <c r="X330" s="41"/>
      <c r="Y330" s="41"/>
      <c r="AA330" s="1055" t="s">
        <v>2399</v>
      </c>
      <c r="AB330" s="1055"/>
      <c r="AC330" s="1055"/>
      <c r="AD330" s="1055"/>
      <c r="AE330" s="1055"/>
      <c r="AF330" s="1055"/>
      <c r="AG330" s="1055"/>
      <c r="AH330" s="1055"/>
      <c r="AI330" s="1055"/>
      <c r="AJ330" s="1055"/>
      <c r="AK330" s="1055"/>
      <c r="BA330" s="43"/>
    </row>
    <row r="331" spans="2:53" ht="12.95" customHeight="1">
      <c r="B331" s="41" t="s">
        <v>702</v>
      </c>
      <c r="C331" s="41"/>
      <c r="D331" s="41"/>
      <c r="E331" s="41"/>
      <c r="F331" s="41"/>
      <c r="G331" s="41"/>
      <c r="H331" s="1055" t="s">
        <v>2393</v>
      </c>
      <c r="I331" s="1055"/>
      <c r="J331" s="1055"/>
      <c r="K331" s="1055"/>
      <c r="L331" s="1055"/>
      <c r="M331" s="1055"/>
      <c r="N331" s="1055"/>
      <c r="O331" s="1055"/>
      <c r="P331" s="1055"/>
      <c r="Q331" s="1055"/>
      <c r="R331" s="1055"/>
      <c r="T331" s="41" t="s">
        <v>701</v>
      </c>
      <c r="V331" s="41"/>
      <c r="W331" s="41"/>
      <c r="X331" s="41"/>
      <c r="Y331" s="41"/>
      <c r="AA331" s="1055" t="s">
        <v>2400</v>
      </c>
      <c r="AB331" s="1055"/>
      <c r="AC331" s="1055"/>
      <c r="AD331" s="1055"/>
      <c r="AE331" s="1055"/>
      <c r="AF331" s="1055"/>
      <c r="AG331" s="1055"/>
      <c r="AH331" s="1055"/>
      <c r="AI331" s="1055"/>
      <c r="AJ331" s="1055"/>
      <c r="AK331" s="1055"/>
      <c r="BA331" s="43"/>
    </row>
    <row r="332" spans="2:53" ht="12.95" customHeight="1">
      <c r="B332" s="41" t="s">
        <v>375</v>
      </c>
      <c r="C332" s="41"/>
      <c r="D332" s="41"/>
      <c r="E332" s="41"/>
      <c r="F332" s="41"/>
      <c r="H332" s="1055" t="s">
        <v>2394</v>
      </c>
      <c r="I332" s="1055"/>
      <c r="J332" s="1055"/>
      <c r="K332" s="1055"/>
      <c r="L332" s="1055"/>
      <c r="M332" s="1055"/>
      <c r="N332" s="1055"/>
      <c r="O332" s="1055"/>
      <c r="P332" s="1055"/>
      <c r="Q332" s="1055"/>
      <c r="R332" s="1055"/>
      <c r="T332" s="41" t="s">
        <v>375</v>
      </c>
      <c r="V332" s="41"/>
      <c r="W332" s="41"/>
      <c r="X332" s="41"/>
      <c r="Y332" s="41"/>
      <c r="AA332" s="1055" t="s">
        <v>2401</v>
      </c>
      <c r="AB332" s="1055"/>
      <c r="AC332" s="1055"/>
      <c r="AD332" s="1055"/>
      <c r="AE332" s="1055"/>
      <c r="AF332" s="1055"/>
      <c r="AG332" s="1055"/>
      <c r="AH332" s="1055"/>
      <c r="AI332" s="1055"/>
      <c r="AJ332" s="1055"/>
      <c r="AK332" s="1055"/>
      <c r="BA332" s="43"/>
    </row>
    <row r="333" spans="2:53" ht="12.95" customHeight="1">
      <c r="B333" s="41" t="s">
        <v>376</v>
      </c>
      <c r="C333" s="41"/>
      <c r="D333" s="41"/>
      <c r="E333" s="41"/>
      <c r="F333" s="41"/>
      <c r="G333" s="41"/>
      <c r="H333" s="1058" t="s">
        <v>2395</v>
      </c>
      <c r="I333" s="1058"/>
      <c r="J333" s="1058"/>
      <c r="K333" s="1058"/>
      <c r="L333" s="1058"/>
      <c r="M333" s="1058"/>
      <c r="N333" s="5" t="s">
        <v>819</v>
      </c>
      <c r="O333" s="5"/>
      <c r="P333" s="1054"/>
      <c r="Q333" s="1054"/>
      <c r="R333" s="1054"/>
      <c r="T333" s="41" t="s">
        <v>376</v>
      </c>
      <c r="V333" s="41"/>
      <c r="W333" s="41"/>
      <c r="X333" s="41"/>
      <c r="Y333" s="41"/>
      <c r="AA333" s="1058" t="s">
        <v>2402</v>
      </c>
      <c r="AB333" s="1058"/>
      <c r="AC333" s="1058"/>
      <c r="AD333" s="1058"/>
      <c r="AE333" s="1058"/>
      <c r="AF333" s="1058"/>
      <c r="AG333" s="5" t="s">
        <v>819</v>
      </c>
      <c r="AH333" s="5"/>
      <c r="AI333" s="1054"/>
      <c r="AJ333" s="1054"/>
      <c r="AK333" s="1054"/>
      <c r="BA333" s="43"/>
    </row>
    <row r="334" spans="2:53" ht="12.95" customHeight="1">
      <c r="B334" s="41" t="s">
        <v>377</v>
      </c>
      <c r="C334" s="41"/>
      <c r="D334" s="41"/>
      <c r="E334" s="41"/>
      <c r="F334" s="41"/>
      <c r="G334" s="41"/>
      <c r="H334" s="1059" t="s">
        <v>2396</v>
      </c>
      <c r="I334" s="1059"/>
      <c r="J334" s="1059"/>
      <c r="K334" s="1059"/>
      <c r="L334" s="1059"/>
      <c r="M334" s="1059"/>
      <c r="N334" s="5"/>
      <c r="O334" s="5"/>
      <c r="P334" s="44"/>
      <c r="Q334" s="44"/>
      <c r="R334" s="44"/>
      <c r="T334" s="41" t="s">
        <v>377</v>
      </c>
      <c r="V334" s="41"/>
      <c r="W334" s="41"/>
      <c r="X334" s="41"/>
      <c r="Y334" s="41"/>
      <c r="AA334" s="1059" t="s">
        <v>2403</v>
      </c>
      <c r="AB334" s="1059"/>
      <c r="AC334" s="1059"/>
      <c r="AD334" s="1059"/>
      <c r="AE334" s="1059"/>
      <c r="AF334" s="1059"/>
      <c r="AG334" s="5"/>
      <c r="AH334" s="5"/>
      <c r="AI334" s="44"/>
      <c r="AJ334" s="44"/>
      <c r="AK334" s="44"/>
      <c r="BA334" s="43"/>
    </row>
    <row r="335" spans="2:53" ht="12.95" customHeight="1">
      <c r="B335" s="41" t="s">
        <v>703</v>
      </c>
      <c r="C335" s="41"/>
      <c r="D335" s="41"/>
      <c r="E335" s="41"/>
      <c r="F335" s="41"/>
      <c r="G335" s="41"/>
      <c r="H335" s="1055" t="s">
        <v>2397</v>
      </c>
      <c r="I335" s="1055"/>
      <c r="J335" s="1055"/>
      <c r="K335" s="1055"/>
      <c r="L335" s="1055"/>
      <c r="M335" s="1055"/>
      <c r="N335" s="1057"/>
      <c r="O335" s="1057"/>
      <c r="P335" s="1057"/>
      <c r="Q335" s="1057"/>
      <c r="R335" s="1057"/>
      <c r="T335" s="41" t="s">
        <v>703</v>
      </c>
      <c r="V335" s="41"/>
      <c r="W335" s="41"/>
      <c r="X335" s="41"/>
      <c r="Y335" s="41"/>
      <c r="AA335" s="1055" t="s">
        <v>2404</v>
      </c>
      <c r="AB335" s="1055"/>
      <c r="AC335" s="1055"/>
      <c r="AD335" s="1055"/>
      <c r="AE335" s="1055"/>
      <c r="AF335" s="1055"/>
      <c r="AG335" s="1057"/>
      <c r="AH335" s="1057"/>
      <c r="AI335" s="1057"/>
      <c r="AJ335" s="1057"/>
      <c r="AK335" s="105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7" t="s">
        <v>2405</v>
      </c>
      <c r="I337" s="1057"/>
      <c r="J337" s="1057"/>
      <c r="K337" s="1057"/>
      <c r="L337" s="1057"/>
      <c r="M337" s="1057"/>
      <c r="N337" s="1057"/>
      <c r="O337" s="1057"/>
      <c r="P337" s="1057"/>
      <c r="Q337" s="1057"/>
      <c r="R337" s="1057"/>
      <c r="T337" s="361" t="s">
        <v>1146</v>
      </c>
      <c r="AA337" s="1057"/>
      <c r="AB337" s="1057"/>
      <c r="AC337" s="1057"/>
      <c r="AD337" s="1057"/>
      <c r="AE337" s="1057"/>
      <c r="AF337" s="1057"/>
      <c r="AG337" s="1057"/>
      <c r="AH337" s="1057"/>
      <c r="AI337" s="1057"/>
      <c r="AJ337" s="1057"/>
      <c r="AK337" s="1057"/>
      <c r="BA337" s="43"/>
    </row>
    <row r="338" spans="1:53" ht="12.95" customHeight="1">
      <c r="B338" s="361" t="s">
        <v>700</v>
      </c>
      <c r="C338" s="361"/>
      <c r="D338" s="361"/>
      <c r="E338" s="361"/>
      <c r="F338" s="361"/>
      <c r="G338" s="361"/>
      <c r="H338" s="1055" t="s">
        <v>2406</v>
      </c>
      <c r="I338" s="1055"/>
      <c r="J338" s="1055"/>
      <c r="K338" s="1055"/>
      <c r="L338" s="1055"/>
      <c r="M338" s="1055"/>
      <c r="N338" s="1055"/>
      <c r="O338" s="1055"/>
      <c r="P338" s="1055"/>
      <c r="Q338" s="1055"/>
      <c r="R338" s="1055"/>
      <c r="T338" s="41" t="s">
        <v>700</v>
      </c>
      <c r="AA338" s="1055"/>
      <c r="AB338" s="1055"/>
      <c r="AC338" s="1055"/>
      <c r="AD338" s="1055"/>
      <c r="AE338" s="1055"/>
      <c r="AF338" s="1055"/>
      <c r="AG338" s="1055"/>
      <c r="AH338" s="1055"/>
      <c r="AI338" s="1055"/>
      <c r="AJ338" s="1055"/>
      <c r="AK338" s="1055"/>
      <c r="BA338" s="43"/>
    </row>
    <row r="339" spans="1:53" ht="12.95" customHeight="1">
      <c r="B339" s="361" t="s">
        <v>702</v>
      </c>
      <c r="C339" s="361"/>
      <c r="D339" s="361"/>
      <c r="E339" s="361"/>
      <c r="F339" s="361"/>
      <c r="G339" s="361"/>
      <c r="H339" s="1055" t="s">
        <v>2407</v>
      </c>
      <c r="I339" s="1055"/>
      <c r="J339" s="1055"/>
      <c r="K339" s="1055"/>
      <c r="L339" s="1055"/>
      <c r="M339" s="1055"/>
      <c r="N339" s="1055"/>
      <c r="O339" s="1055"/>
      <c r="P339" s="1055"/>
      <c r="Q339" s="1055"/>
      <c r="R339" s="1055"/>
      <c r="T339" s="41" t="s">
        <v>701</v>
      </c>
      <c r="AA339" s="1055"/>
      <c r="AB339" s="1055"/>
      <c r="AC339" s="1055"/>
      <c r="AD339" s="1055"/>
      <c r="AE339" s="1055"/>
      <c r="AF339" s="1055"/>
      <c r="AG339" s="1055"/>
      <c r="AH339" s="1055"/>
      <c r="AI339" s="1055"/>
      <c r="AJ339" s="1055"/>
      <c r="AK339" s="1055"/>
    </row>
    <row r="340" spans="1:53" ht="12.95" customHeight="1">
      <c r="B340" s="361" t="s">
        <v>375</v>
      </c>
      <c r="C340" s="361"/>
      <c r="D340" s="361"/>
      <c r="E340" s="361"/>
      <c r="F340" s="361"/>
      <c r="G340" s="361"/>
      <c r="H340" s="1055" t="s">
        <v>2408</v>
      </c>
      <c r="I340" s="1055"/>
      <c r="J340" s="1055"/>
      <c r="K340" s="1055"/>
      <c r="L340" s="1055"/>
      <c r="M340" s="1055"/>
      <c r="N340" s="1055"/>
      <c r="O340" s="1055"/>
      <c r="P340" s="1055"/>
      <c r="Q340" s="1055"/>
      <c r="R340" s="1055"/>
      <c r="T340" s="41" t="s">
        <v>375</v>
      </c>
      <c r="AA340" s="1055"/>
      <c r="AB340" s="1055"/>
      <c r="AC340" s="1055"/>
      <c r="AD340" s="1055"/>
      <c r="AE340" s="1055"/>
      <c r="AF340" s="1055"/>
      <c r="AG340" s="1055"/>
      <c r="AH340" s="1055"/>
      <c r="AI340" s="1055"/>
      <c r="AJ340" s="1055"/>
      <c r="AK340" s="1055"/>
    </row>
    <row r="341" spans="1:53" ht="12.95" customHeight="1">
      <c r="B341" s="361" t="s">
        <v>376</v>
      </c>
      <c r="C341" s="361"/>
      <c r="D341" s="361"/>
      <c r="E341" s="361"/>
      <c r="F341" s="361"/>
      <c r="G341" s="361"/>
      <c r="H341" s="1058" t="s">
        <v>2409</v>
      </c>
      <c r="I341" s="1058"/>
      <c r="J341" s="1058"/>
      <c r="K341" s="1058"/>
      <c r="L341" s="1058"/>
      <c r="M341" s="1058"/>
      <c r="N341" s="5" t="s">
        <v>819</v>
      </c>
      <c r="O341" s="5"/>
      <c r="P341" s="1054"/>
      <c r="Q341" s="1054"/>
      <c r="R341" s="1054"/>
      <c r="T341" s="41" t="s">
        <v>376</v>
      </c>
      <c r="AA341" s="1058"/>
      <c r="AB341" s="1058"/>
      <c r="AC341" s="1058"/>
      <c r="AD341" s="1058"/>
      <c r="AE341" s="1058"/>
      <c r="AF341" s="1058"/>
      <c r="AG341" s="5" t="s">
        <v>819</v>
      </c>
      <c r="AH341" s="5"/>
      <c r="AI341" s="1054"/>
      <c r="AJ341" s="1054"/>
      <c r="AK341" s="1054"/>
    </row>
    <row r="342" spans="1:53" ht="12.95" customHeight="1">
      <c r="B342" s="361" t="s">
        <v>377</v>
      </c>
      <c r="C342" s="361"/>
      <c r="D342" s="361"/>
      <c r="E342" s="361"/>
      <c r="F342" s="361"/>
      <c r="G342" s="361"/>
      <c r="H342" s="1059" t="s">
        <v>2410</v>
      </c>
      <c r="I342" s="1059"/>
      <c r="J342" s="1059"/>
      <c r="K342" s="1059"/>
      <c r="L342" s="1059"/>
      <c r="M342" s="1059"/>
      <c r="N342" s="5"/>
      <c r="O342" s="5"/>
      <c r="P342" s="44"/>
      <c r="Q342" s="44"/>
      <c r="R342" s="44"/>
      <c r="T342" s="41" t="s">
        <v>377</v>
      </c>
      <c r="AA342" s="1059"/>
      <c r="AB342" s="1059"/>
      <c r="AC342" s="1059"/>
      <c r="AD342" s="1059"/>
      <c r="AE342" s="1059"/>
      <c r="AF342" s="1059"/>
      <c r="AG342" s="5"/>
      <c r="AH342" s="5"/>
      <c r="AI342" s="44"/>
      <c r="AJ342" s="44"/>
      <c r="AK342" s="44"/>
    </row>
    <row r="343" spans="1:53" ht="12.95" customHeight="1">
      <c r="B343" s="361" t="s">
        <v>703</v>
      </c>
      <c r="C343" s="361"/>
      <c r="D343" s="361"/>
      <c r="E343" s="361"/>
      <c r="F343" s="361"/>
      <c r="G343" s="361"/>
      <c r="H343" s="1055" t="s">
        <v>2411</v>
      </c>
      <c r="I343" s="1055"/>
      <c r="J343" s="1055"/>
      <c r="K343" s="1055"/>
      <c r="L343" s="1055"/>
      <c r="M343" s="1055"/>
      <c r="N343" s="1057"/>
      <c r="O343" s="1057"/>
      <c r="P343" s="1057"/>
      <c r="Q343" s="1057"/>
      <c r="R343" s="1057"/>
      <c r="T343" s="41" t="s">
        <v>703</v>
      </c>
      <c r="AA343" s="1055"/>
      <c r="AB343" s="1055"/>
      <c r="AC343" s="1055"/>
      <c r="AD343" s="1055"/>
      <c r="AE343" s="1055"/>
      <c r="AF343" s="1055"/>
      <c r="AG343" s="1057"/>
      <c r="AH343" s="1057"/>
      <c r="AI343" s="1057"/>
      <c r="AJ343" s="1057"/>
      <c r="AK343" s="105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6" t="s">
        <v>498</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5"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17" t="s">
        <v>124</v>
      </c>
      <c r="N349" s="1117"/>
      <c r="P349" t="s">
        <v>1965</v>
      </c>
      <c r="AJ349" s="1117" t="s">
        <v>124</v>
      </c>
      <c r="AK349" s="1117"/>
    </row>
    <row r="350" spans="1:53" ht="12.95" customHeight="1">
      <c r="D350" s="41" t="s">
        <v>1891</v>
      </c>
      <c r="M350" s="1117" t="s">
        <v>124</v>
      </c>
      <c r="N350" s="1117"/>
      <c r="P350" s="41" t="s">
        <v>1966</v>
      </c>
      <c r="AJ350" s="1146"/>
      <c r="AK350" s="1146"/>
    </row>
    <row r="351" spans="1:53" ht="12.95" customHeight="1">
      <c r="D351" t="s">
        <v>314</v>
      </c>
      <c r="M351" s="1117" t="s">
        <v>124</v>
      </c>
      <c r="N351" s="1117"/>
      <c r="P351" t="s">
        <v>1967</v>
      </c>
      <c r="AJ351" s="1117" t="s">
        <v>108</v>
      </c>
      <c r="AK351" s="1117"/>
    </row>
    <row r="352" spans="1:53" ht="12.95" customHeight="1">
      <c r="D352" t="s">
        <v>315</v>
      </c>
      <c r="M352" s="1117" t="s">
        <v>108</v>
      </c>
      <c r="N352" s="1117"/>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17" t="s">
        <v>108</v>
      </c>
      <c r="O357" s="1117"/>
      <c r="P357" s="49"/>
      <c r="Q357" s="49"/>
      <c r="R357" s="49"/>
      <c r="S357" s="49"/>
      <c r="T357" s="49"/>
      <c r="U357" s="49"/>
      <c r="V357" s="49"/>
      <c r="W357" s="49"/>
      <c r="X357" s="49"/>
      <c r="Y357" s="49"/>
      <c r="Z357" s="49"/>
      <c r="AC357" s="49"/>
      <c r="AD357" s="49"/>
      <c r="AE357" s="49"/>
    </row>
    <row r="358" spans="1:57" ht="12.95" customHeight="1">
      <c r="E358" t="s">
        <v>734</v>
      </c>
      <c r="Y358" s="1117" t="s">
        <v>124</v>
      </c>
      <c r="Z358" s="1117"/>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17" t="s">
        <v>108</v>
      </c>
      <c r="K360" s="1117"/>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483</v>
      </c>
    </row>
    <row r="363" spans="1:57" ht="12.95" customHeight="1">
      <c r="E363" s="5" t="s">
        <v>591</v>
      </c>
      <c r="F363" s="5"/>
      <c r="G363" s="5"/>
      <c r="H363" s="5"/>
      <c r="I363" s="5"/>
      <c r="J363" s="5"/>
      <c r="K363" s="5"/>
      <c r="L363" s="5"/>
      <c r="N363" s="1147" t="s">
        <v>2439</v>
      </c>
      <c r="O363" s="1115"/>
      <c r="P363" s="1115"/>
      <c r="Q363" s="1115"/>
      <c r="R363" s="5"/>
      <c r="U363" s="5" t="s">
        <v>592</v>
      </c>
      <c r="V363" s="5"/>
      <c r="W363" s="5"/>
      <c r="X363" s="5"/>
      <c r="Y363" s="5"/>
      <c r="Z363" s="5"/>
      <c r="AA363" s="5"/>
      <c r="AB363" s="5"/>
      <c r="AC363" s="1115">
        <v>12</v>
      </c>
      <c r="AD363" s="1115"/>
      <c r="AE363" s="1115"/>
      <c r="AF363" s="1115"/>
      <c r="BE363" t="s">
        <v>108</v>
      </c>
    </row>
    <row r="364" spans="1:57" ht="12.95" customHeight="1">
      <c r="E364" s="5" t="s">
        <v>593</v>
      </c>
      <c r="F364" s="5"/>
      <c r="G364" s="5"/>
      <c r="H364" s="5"/>
      <c r="I364" s="5"/>
      <c r="J364" s="5"/>
      <c r="K364" s="5"/>
      <c r="L364" s="5"/>
      <c r="N364" s="1115">
        <v>11</v>
      </c>
      <c r="O364" s="1115"/>
      <c r="P364" s="1115"/>
      <c r="Q364" s="1115"/>
      <c r="R364" s="5"/>
      <c r="U364" s="5" t="s">
        <v>594</v>
      </c>
      <c r="V364" s="5"/>
      <c r="W364" s="5"/>
      <c r="X364" s="5"/>
      <c r="Y364" s="5"/>
      <c r="Z364" s="5"/>
      <c r="AA364" s="5"/>
      <c r="AB364" s="5"/>
      <c r="AC364" s="1115">
        <v>44</v>
      </c>
      <c r="AD364" s="1115"/>
      <c r="AE364" s="1115"/>
      <c r="AF364" s="1115"/>
    </row>
    <row r="365" spans="1:57" ht="12.95" customHeight="1">
      <c r="E365" s="5" t="s">
        <v>64</v>
      </c>
      <c r="F365" s="5"/>
      <c r="G365" s="5"/>
      <c r="H365" s="5"/>
      <c r="I365" s="5"/>
      <c r="J365" s="5"/>
      <c r="K365" s="5"/>
      <c r="L365" s="5"/>
      <c r="N365" s="1115">
        <v>1</v>
      </c>
      <c r="O365" s="1115"/>
      <c r="P365" s="1115"/>
      <c r="Q365" s="1115"/>
      <c r="R365" s="5"/>
      <c r="V365" s="5"/>
      <c r="W365" s="5"/>
      <c r="X365" s="5"/>
      <c r="Y365" s="5"/>
      <c r="Z365" s="5"/>
      <c r="AA365" s="5"/>
      <c r="AB365" s="5"/>
    </row>
    <row r="366" spans="1:57" ht="12.95" customHeight="1">
      <c r="E366" s="5" t="s">
        <v>65</v>
      </c>
      <c r="F366" s="5"/>
      <c r="G366" s="5"/>
      <c r="H366" s="5"/>
      <c r="I366" s="5"/>
      <c r="J366" s="5"/>
      <c r="K366" s="5"/>
      <c r="L366" s="5"/>
      <c r="N366" s="1352" t="s">
        <v>2412</v>
      </c>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2.95" customHeight="1">
      <c r="E367" s="5"/>
      <c r="F367" s="5"/>
      <c r="G367" s="5"/>
      <c r="H367" s="5"/>
      <c r="I367" s="5"/>
      <c r="J367" s="5"/>
      <c r="K367" s="5"/>
      <c r="L367" s="5"/>
      <c r="N367" s="1354"/>
      <c r="O367" s="1354"/>
      <c r="P367" s="1354"/>
      <c r="Q367" s="1354"/>
      <c r="R367" s="1354"/>
      <c r="S367" s="1354"/>
      <c r="T367" s="1354"/>
      <c r="U367" s="1354"/>
      <c r="V367" s="1354"/>
      <c r="W367" s="1354"/>
      <c r="X367" s="1354"/>
      <c r="Y367" s="1354"/>
      <c r="Z367" s="1354"/>
      <c r="AA367" s="1354"/>
      <c r="AB367" s="1354"/>
      <c r="AC367" s="1354"/>
      <c r="AD367" s="1354"/>
      <c r="AE367" s="1354"/>
      <c r="AF367" s="1354"/>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47"/>
      <c r="T370" s="1347"/>
      <c r="U370" s="370" t="s">
        <v>232</v>
      </c>
      <c r="V370" s="1347"/>
      <c r="W370" s="1347"/>
      <c r="X370" s="361"/>
      <c r="Z370" s="361"/>
      <c r="AA370" s="940" t="s">
        <v>2108</v>
      </c>
      <c r="AB370" s="361" t="s">
        <v>231</v>
      </c>
      <c r="AC370" s="361"/>
      <c r="AD370" s="1347"/>
      <c r="AE370" s="1347"/>
      <c r="AF370" s="370" t="s">
        <v>232</v>
      </c>
      <c r="AG370" s="1347"/>
      <c r="AH370" s="1347"/>
    </row>
    <row r="371" spans="1:36" ht="12.95" customHeight="1">
      <c r="D371" s="361"/>
      <c r="E371" s="361" t="s">
        <v>1236</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114" t="s">
        <v>124</v>
      </c>
      <c r="W374" s="1114"/>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7" t="s">
        <v>2413</v>
      </c>
      <c r="K378" s="1057"/>
      <c r="L378" s="1057"/>
      <c r="M378" s="1057"/>
      <c r="N378" s="1057"/>
      <c r="O378" s="1057"/>
      <c r="P378" s="1057"/>
      <c r="Q378" s="1057"/>
      <c r="R378" s="1057"/>
      <c r="S378" s="1057"/>
      <c r="T378" s="1057"/>
      <c r="U378" s="1057"/>
      <c r="V378" s="12" t="s">
        <v>711</v>
      </c>
      <c r="W378" s="12"/>
      <c r="X378" s="12"/>
      <c r="Y378" s="12"/>
      <c r="Z378" s="12"/>
      <c r="AA378" s="12"/>
      <c r="AB378" s="12"/>
      <c r="AC378" s="1057" t="s">
        <v>2345</v>
      </c>
      <c r="AD378" s="1057"/>
      <c r="AE378" s="1057"/>
      <c r="AF378" s="1057"/>
      <c r="AG378" s="1057"/>
      <c r="AH378" s="1057"/>
      <c r="AI378" s="1057"/>
      <c r="AJ378" s="1057"/>
    </row>
    <row r="379" spans="1:36" ht="12.95" customHeight="1">
      <c r="D379" s="41" t="s">
        <v>1968</v>
      </c>
      <c r="J379" s="1055" t="s">
        <v>2414</v>
      </c>
      <c r="K379" s="1055"/>
      <c r="L379" s="1055"/>
      <c r="M379" s="1055"/>
      <c r="N379" s="1055"/>
      <c r="O379" s="1055"/>
      <c r="P379" s="1055"/>
      <c r="Q379" s="1055"/>
      <c r="R379" s="1055"/>
      <c r="S379" s="1055"/>
      <c r="T379" s="1055"/>
      <c r="U379" s="1055"/>
      <c r="V379" s="41" t="s">
        <v>1968</v>
      </c>
      <c r="W379" s="12"/>
      <c r="X379" s="12"/>
      <c r="Y379" s="12"/>
      <c r="Z379" s="12"/>
      <c r="AA379" s="12"/>
      <c r="AB379" s="12"/>
      <c r="AC379" s="1057"/>
      <c r="AD379" s="1057"/>
      <c r="AE379" s="1057"/>
      <c r="AF379" s="1057"/>
      <c r="AG379" s="1057"/>
      <c r="AH379" s="1057"/>
      <c r="AI379" s="1057"/>
      <c r="AJ379" s="1057"/>
    </row>
    <row r="380" spans="1:36" ht="12.95" customHeight="1">
      <c r="D380" s="41" t="s">
        <v>545</v>
      </c>
      <c r="J380" s="1055" t="s">
        <v>2415</v>
      </c>
      <c r="K380" s="1055"/>
      <c r="L380" s="1055"/>
      <c r="M380" s="1055"/>
      <c r="N380" s="1055"/>
      <c r="O380" s="1055"/>
      <c r="P380" s="1055"/>
      <c r="Q380" s="1055"/>
      <c r="R380" s="1055"/>
      <c r="S380" s="1055"/>
      <c r="T380" s="1055"/>
      <c r="U380" s="1055"/>
      <c r="V380" s="41" t="s">
        <v>545</v>
      </c>
      <c r="W380" s="12"/>
      <c r="X380" s="12"/>
      <c r="Y380" s="12"/>
      <c r="Z380" s="12"/>
      <c r="AA380" s="12"/>
      <c r="AB380" s="12"/>
      <c r="AC380" s="1057"/>
      <c r="AD380" s="1057"/>
      <c r="AE380" s="1057"/>
      <c r="AF380" s="1057"/>
      <c r="AG380" s="1057"/>
      <c r="AH380" s="1057"/>
      <c r="AI380" s="1057"/>
      <c r="AJ380" s="1057"/>
    </row>
    <row r="381" spans="1:36" ht="12.95" customHeight="1">
      <c r="D381" t="s">
        <v>1969</v>
      </c>
      <c r="J381" s="1144" t="s">
        <v>2343</v>
      </c>
      <c r="K381" s="1144"/>
      <c r="L381" s="1144"/>
      <c r="M381" s="1144"/>
      <c r="N381" s="1144"/>
      <c r="O381" s="1144"/>
      <c r="P381" s="1144"/>
      <c r="Q381" s="1144"/>
      <c r="R381" s="1144"/>
      <c r="S381" s="1144"/>
      <c r="T381" s="1144"/>
      <c r="U381" s="1144"/>
      <c r="V381" s="1057" t="s">
        <v>2344</v>
      </c>
      <c r="W381" s="1057"/>
      <c r="X381" s="1057"/>
      <c r="Y381" s="1057"/>
      <c r="Z381" s="1057"/>
      <c r="AA381" s="1057"/>
      <c r="AB381" s="1057"/>
      <c r="AC381" s="1057"/>
      <c r="AD381" s="1057"/>
      <c r="AE381" s="1057"/>
      <c r="AF381" s="1057"/>
      <c r="AG381" s="1057"/>
      <c r="AH381" s="1057"/>
      <c r="AI381" s="1057"/>
      <c r="AJ381" s="1057"/>
    </row>
    <row r="382" spans="1:36" ht="12.95" customHeight="1">
      <c r="D382" t="s">
        <v>555</v>
      </c>
      <c r="Q382" s="1476">
        <v>45293</v>
      </c>
      <c r="R382" s="1476"/>
      <c r="S382" s="1476"/>
      <c r="T382" s="1476"/>
      <c r="U382" s="1476"/>
      <c r="V382" t="s">
        <v>168</v>
      </c>
      <c r="AI382" s="1117" t="s">
        <v>108</v>
      </c>
      <c r="AJ382" s="1117"/>
    </row>
    <row r="383" spans="1:36" ht="12.95" customHeight="1">
      <c r="D383" t="s">
        <v>556</v>
      </c>
      <c r="Q383" s="1262">
        <v>45731</v>
      </c>
      <c r="R383" s="1355"/>
      <c r="S383" s="1355"/>
      <c r="T383" s="1355"/>
      <c r="U383" s="1355"/>
      <c r="W383" s="29" t="s">
        <v>20</v>
      </c>
      <c r="AG383" s="1132">
        <v>0</v>
      </c>
      <c r="AH383" s="1132"/>
      <c r="AI383" s="1132"/>
      <c r="AJ383" s="1132"/>
    </row>
    <row r="384" spans="1:36" ht="12.95" customHeight="1">
      <c r="D384" t="s">
        <v>274</v>
      </c>
      <c r="Q384" s="1116">
        <v>2200000</v>
      </c>
      <c r="R384" s="1116"/>
      <c r="S384" s="1116"/>
      <c r="T384" s="1116"/>
      <c r="U384" s="1116"/>
      <c r="V384" s="41" t="s">
        <v>1970</v>
      </c>
      <c r="AG384" s="1280">
        <v>45597</v>
      </c>
      <c r="AH384" s="1280"/>
      <c r="AI384" s="1280"/>
      <c r="AJ384" s="1280"/>
    </row>
    <row r="385" spans="4:36" ht="12.95" customHeight="1">
      <c r="D385" t="s">
        <v>376</v>
      </c>
      <c r="I385" s="1149" t="s">
        <v>2416</v>
      </c>
      <c r="J385" s="1149"/>
      <c r="K385" s="1149"/>
      <c r="L385" s="1149"/>
      <c r="M385" s="1149"/>
      <c r="N385" s="1149"/>
      <c r="Q385" s="41" t="s">
        <v>819</v>
      </c>
      <c r="S385" s="1150"/>
      <c r="T385" s="1150"/>
      <c r="U385" s="1150"/>
      <c r="V385" t="s">
        <v>19</v>
      </c>
      <c r="AI385" s="1117" t="s">
        <v>483</v>
      </c>
      <c r="AJ385" s="1117"/>
    </row>
    <row r="386" spans="4:36" ht="12.95" customHeight="1">
      <c r="D386" t="s">
        <v>169</v>
      </c>
      <c r="Q386" s="1176">
        <v>0</v>
      </c>
      <c r="R386" s="1176"/>
      <c r="S386" s="1176"/>
      <c r="T386" s="1176"/>
      <c r="U386" s="1176"/>
      <c r="V386" t="s">
        <v>170</v>
      </c>
      <c r="AG386" s="1132">
        <v>0</v>
      </c>
      <c r="AH386" s="1132"/>
      <c r="AI386" s="1132"/>
      <c r="AJ386" s="1132"/>
    </row>
    <row r="387" spans="4:36" ht="12.95" customHeight="1">
      <c r="D387" t="s">
        <v>25</v>
      </c>
      <c r="Q387" s="1418">
        <v>0.01</v>
      </c>
      <c r="R387" s="1418"/>
      <c r="S387" s="1418"/>
      <c r="T387" s="1418"/>
      <c r="U387" s="1418"/>
      <c r="V387" t="s">
        <v>1683</v>
      </c>
      <c r="AG387" s="1132">
        <v>0</v>
      </c>
      <c r="AH387" s="1132"/>
      <c r="AI387" s="1132"/>
      <c r="AJ387" s="1132"/>
    </row>
    <row r="388" spans="4:36" ht="12.95" customHeight="1">
      <c r="D388" t="s">
        <v>1971</v>
      </c>
      <c r="AG388" s="1132">
        <v>0</v>
      </c>
      <c r="AH388" s="1132"/>
      <c r="AI388" s="1132"/>
      <c r="AJ388" s="1132"/>
    </row>
    <row r="389" spans="4:36" ht="12.95" customHeight="1">
      <c r="AG389" s="832"/>
      <c r="AH389" s="832"/>
      <c r="AI389" s="832"/>
      <c r="AJ389" s="832"/>
    </row>
    <row r="390" spans="4:36" ht="12.95" customHeight="1">
      <c r="D390" s="41" t="s">
        <v>2210</v>
      </c>
      <c r="AG390" s="832"/>
      <c r="AH390" s="832"/>
      <c r="AI390" s="1117" t="s">
        <v>483</v>
      </c>
      <c r="AJ390" s="1117"/>
    </row>
    <row r="391" spans="4:36" ht="12.95" customHeight="1">
      <c r="D391" s="41" t="s">
        <v>1972</v>
      </c>
      <c r="T391" s="1130"/>
      <c r="U391" s="1130"/>
      <c r="V391" s="1130"/>
      <c r="W391" s="1130"/>
      <c r="X391" s="1130"/>
      <c r="Y391" s="1130"/>
      <c r="Z391" s="1130"/>
      <c r="AA391" s="1130"/>
      <c r="AB391" s="1130"/>
      <c r="AC391" s="1130"/>
      <c r="AD391" s="1130"/>
      <c r="AE391" s="1130"/>
      <c r="AF391" s="1130"/>
      <c r="AG391" s="1130"/>
      <c r="AH391" s="1130"/>
      <c r="AI391" s="1130"/>
      <c r="AJ391" s="1130"/>
    </row>
    <row r="392" spans="4:36" ht="12.95" customHeight="1">
      <c r="D392" s="41" t="s">
        <v>1973</v>
      </c>
      <c r="T392" s="1130"/>
      <c r="U392" s="1130"/>
      <c r="V392" s="1130"/>
      <c r="W392" s="1130"/>
      <c r="X392" s="1130"/>
      <c r="Y392" s="1130"/>
      <c r="Z392" s="1130"/>
      <c r="AA392" s="1130"/>
      <c r="AB392" s="1130"/>
      <c r="AC392" s="1130"/>
      <c r="AD392" s="1130"/>
      <c r="AE392" s="1130"/>
      <c r="AF392" s="1130"/>
      <c r="AG392" s="1130"/>
      <c r="AH392" s="1130"/>
      <c r="AI392" s="1130"/>
      <c r="AJ392" s="1130"/>
    </row>
    <row r="393" spans="4:36" ht="12.95" customHeight="1">
      <c r="AG393" s="832"/>
      <c r="AH393" s="832"/>
      <c r="AI393" s="832"/>
      <c r="AJ393" s="832"/>
    </row>
    <row r="394" spans="4:36" ht="12.95" customHeight="1">
      <c r="D394" s="41" t="s">
        <v>1974</v>
      </c>
      <c r="S394" s="1130" t="s">
        <v>483</v>
      </c>
      <c r="T394" s="1130"/>
      <c r="U394" s="1130"/>
      <c r="V394" t="s">
        <v>1975</v>
      </c>
      <c r="AG394" s="1475"/>
      <c r="AH394" s="1475"/>
      <c r="AI394" s="1475"/>
      <c r="AJ394" s="1475"/>
    </row>
    <row r="395" spans="4:36" ht="12.95" customHeight="1">
      <c r="D395" s="41" t="s">
        <v>1976</v>
      </c>
      <c r="S395" s="1130" t="s">
        <v>124</v>
      </c>
      <c r="T395" s="1130"/>
      <c r="U395" s="1130"/>
      <c r="V395" t="s">
        <v>1977</v>
      </c>
      <c r="AE395" s="1131"/>
      <c r="AF395" s="1131"/>
      <c r="AG395" s="1131"/>
      <c r="AH395" s="1131"/>
      <c r="AI395" s="1131"/>
      <c r="AJ395" s="1131"/>
    </row>
    <row r="396" spans="4:36" ht="12.95" customHeight="1">
      <c r="D396" s="41" t="s">
        <v>1978</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2.95" customHeight="1">
      <c r="D397" s="41" t="s">
        <v>1979</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2.95" customHeight="1">
      <c r="D398" s="41" t="s">
        <v>1980</v>
      </c>
      <c r="E398" s="813"/>
      <c r="F398" s="813"/>
      <c r="G398" s="813"/>
      <c r="H398" s="813"/>
      <c r="I398" s="813"/>
      <c r="J398" s="813"/>
      <c r="K398" s="813"/>
      <c r="L398" s="813"/>
      <c r="M398" s="813"/>
      <c r="N398" s="813"/>
      <c r="O398" s="813"/>
      <c r="P398" s="813"/>
      <c r="Q398" s="813"/>
      <c r="R398" s="813"/>
      <c r="S398" s="1477" t="s">
        <v>1981</v>
      </c>
      <c r="T398" s="1477"/>
      <c r="U398" s="1477"/>
      <c r="V398" s="1477"/>
      <c r="W398" s="1477"/>
      <c r="X398" s="1477"/>
      <c r="Y398" s="1477"/>
      <c r="Z398" s="1477"/>
      <c r="AA398" s="1477"/>
      <c r="AB398" s="1477"/>
      <c r="AC398" s="1477"/>
      <c r="AD398" s="1477"/>
      <c r="AE398" s="1477"/>
      <c r="AF398" s="1477"/>
      <c r="AG398" s="1477"/>
      <c r="AH398" s="1477"/>
      <c r="AI398" s="1477"/>
      <c r="AJ398" s="1477"/>
    </row>
    <row r="399" spans="4:36" ht="12.95" customHeight="1">
      <c r="D399" s="976" t="s">
        <v>1982</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2"/>
      <c r="AH401" s="832"/>
      <c r="AI401" s="832"/>
      <c r="AJ401" s="832"/>
    </row>
    <row r="402" spans="1:36" ht="12.95" customHeight="1">
      <c r="A402" s="3" t="s">
        <v>122</v>
      </c>
      <c r="B402" s="3"/>
      <c r="C402" s="3" t="s">
        <v>900</v>
      </c>
    </row>
    <row r="403" spans="1:36" ht="12.95" customHeight="1">
      <c r="D403" s="3" t="s">
        <v>1737</v>
      </c>
      <c r="I403" s="1317" t="s">
        <v>2417</v>
      </c>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row>
    <row r="404" spans="1:36" ht="12.95" customHeight="1">
      <c r="E404" t="s">
        <v>856</v>
      </c>
      <c r="R404" s="1117" t="s">
        <v>124</v>
      </c>
      <c r="S404" s="1117"/>
      <c r="T404" t="s">
        <v>291</v>
      </c>
      <c r="AD404" s="1115">
        <v>0</v>
      </c>
      <c r="AE404" s="1115"/>
    </row>
    <row r="405" spans="1:36" ht="12.95" customHeight="1">
      <c r="E405" t="s">
        <v>857</v>
      </c>
      <c r="R405" s="1117" t="s">
        <v>124</v>
      </c>
      <c r="S405" s="1117"/>
      <c r="T405" t="s">
        <v>291</v>
      </c>
      <c r="AD405" s="1115">
        <v>0</v>
      </c>
      <c r="AE405" s="1115"/>
    </row>
    <row r="406" spans="1:36" ht="12.95" customHeight="1">
      <c r="E406" t="s">
        <v>858</v>
      </c>
      <c r="S406" s="1117" t="s">
        <v>124</v>
      </c>
      <c r="T406" s="1117"/>
    </row>
    <row r="407" spans="1:36" ht="12.95" customHeight="1">
      <c r="E407" t="s">
        <v>283</v>
      </c>
      <c r="H407" s="1569" t="s">
        <v>563</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2.95"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95" customHeight="1"/>
    <row r="410" spans="1:36" ht="12.95" customHeight="1">
      <c r="A410" s="3" t="s">
        <v>123</v>
      </c>
      <c r="B410" s="3"/>
      <c r="C410" s="3"/>
      <c r="D410" s="3" t="s">
        <v>903</v>
      </c>
      <c r="AE410" s="5"/>
      <c r="AF410" s="3" t="s">
        <v>1215</v>
      </c>
    </row>
    <row r="411" spans="1:36" ht="12.95" customHeight="1">
      <c r="E411" s="1432"/>
      <c r="F411" s="1432"/>
      <c r="G411" s="1432"/>
      <c r="H411" s="18" t="s">
        <v>904</v>
      </c>
      <c r="I411" s="1432"/>
      <c r="J411" s="1432"/>
      <c r="K411" s="1432"/>
      <c r="L411" t="s">
        <v>905</v>
      </c>
      <c r="N411" s="34" t="s">
        <v>852</v>
      </c>
      <c r="P411" s="1434">
        <v>3.7699954099999999</v>
      </c>
      <c r="Q411" s="1434"/>
      <c r="R411" s="1434"/>
      <c r="S411" t="s">
        <v>906</v>
      </c>
      <c r="W411" s="1435">
        <f>IF(E411&gt;0,(E411*I411),(P411*43560))</f>
        <v>164221.00005959999</v>
      </c>
      <c r="X411" s="1435"/>
      <c r="Y411" s="1435"/>
      <c r="Z411" t="s">
        <v>907</v>
      </c>
      <c r="AF411" s="1492" cm="1">
        <f t="array" ref="AF411">_xlfn.IFS(P411&gt;0,(AG430/P411),W411&gt;0,(AG430/(W411/43560)),TRUE,0)</f>
        <v>11.671101742800266</v>
      </c>
      <c r="AG411" s="1492"/>
      <c r="AH411" s="1492"/>
    </row>
    <row r="412" spans="1:36" ht="12.95" customHeight="1">
      <c r="E412" t="s">
        <v>203</v>
      </c>
    </row>
    <row r="413" spans="1:36" ht="12.95"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2.95" customHeight="1">
      <c r="E414" s="270" t="s">
        <v>1983</v>
      </c>
      <c r="F414" s="29"/>
      <c r="G414" s="29"/>
      <c r="H414" s="29"/>
      <c r="I414" s="1470">
        <v>3.77</v>
      </c>
      <c r="J414" s="1470"/>
      <c r="K414" s="1470"/>
      <c r="L414" s="29"/>
      <c r="M414" s="270"/>
      <c r="N414" s="29"/>
      <c r="O414" s="29"/>
      <c r="P414" s="1491">
        <f>(CQ628+CS633+CQ647)/I414</f>
        <v>11.671087533156498</v>
      </c>
      <c r="Q414" s="1491"/>
      <c r="R414" s="1491"/>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117">
        <v>12</v>
      </c>
      <c r="Q417" s="1117"/>
      <c r="S417" t="s">
        <v>134</v>
      </c>
      <c r="AE417" s="1117">
        <v>1</v>
      </c>
      <c r="AF417" s="1117"/>
    </row>
    <row r="418" spans="1:36" ht="12.95" customHeight="1">
      <c r="E418" t="s">
        <v>135</v>
      </c>
      <c r="P418" s="1117">
        <v>1</v>
      </c>
      <c r="Q418" s="1117"/>
      <c r="S418" t="s">
        <v>727</v>
      </c>
      <c r="AE418" s="1117" t="s">
        <v>124</v>
      </c>
      <c r="AF418" s="1117"/>
    </row>
    <row r="419" spans="1:36" ht="12.95" customHeight="1">
      <c r="F419" s="36" t="s">
        <v>221</v>
      </c>
    </row>
    <row r="420" spans="1:36" ht="12.95"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2.95"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2.95" customHeight="1">
      <c r="E422" t="s">
        <v>859</v>
      </c>
      <c r="P422" s="1"/>
      <c r="Q422" s="1117" t="s">
        <v>108</v>
      </c>
      <c r="R422" s="1117"/>
      <c r="AE422" s="1"/>
      <c r="AF422" s="1"/>
    </row>
    <row r="423" spans="1:36" ht="12.95" customHeight="1">
      <c r="F423" t="s">
        <v>860</v>
      </c>
      <c r="P423" s="1"/>
      <c r="Q423" s="1"/>
      <c r="AE423" s="1117" t="s">
        <v>124</v>
      </c>
      <c r="AF423" s="1343"/>
    </row>
    <row r="424" spans="1:36" ht="12.95" customHeight="1"/>
    <row r="425" spans="1:36" ht="12.95" customHeight="1">
      <c r="A425" s="3"/>
      <c r="B425" s="3"/>
      <c r="C425" s="3"/>
      <c r="E425" s="5" t="s">
        <v>80</v>
      </c>
      <c r="Z425" s="1117" t="s">
        <v>108</v>
      </c>
      <c r="AA425" s="1117"/>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7" t="s">
        <v>483</v>
      </c>
      <c r="AA427" s="1117"/>
    </row>
    <row r="428" spans="1:36" ht="12.95" customHeight="1"/>
    <row r="429" spans="1:36" ht="12.95" customHeight="1">
      <c r="A429" s="3" t="s">
        <v>368</v>
      </c>
      <c r="B429" s="3"/>
      <c r="C429" s="3"/>
      <c r="D429" s="3" t="s">
        <v>172</v>
      </c>
      <c r="AF429" s="54"/>
    </row>
    <row r="430" spans="1:36" ht="12.95" customHeight="1">
      <c r="D430" s="1184" t="s">
        <v>357</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3"/>
      <c r="AG430" s="1468">
        <v>44</v>
      </c>
      <c r="AH430" s="1468"/>
      <c r="AI430" s="1468"/>
      <c r="AJ430" s="1468"/>
    </row>
    <row r="431" spans="1:36" ht="12.95" customHeight="1">
      <c r="D431" s="1433" t="s">
        <v>2277</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7">
        <v>0</v>
      </c>
      <c r="AH431" s="1158"/>
      <c r="AI431" s="1158"/>
      <c r="AJ431" s="1158"/>
    </row>
    <row r="432" spans="1:36" ht="12.95" customHeight="1">
      <c r="D432" s="1122" t="s">
        <v>1370</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8">
        <v>43</v>
      </c>
      <c r="AH432" s="1468"/>
      <c r="AI432" s="1468"/>
      <c r="AJ432" s="1468"/>
    </row>
    <row r="433" spans="4:36" ht="12.95" customHeight="1">
      <c r="D433" s="1122" t="s">
        <v>1367</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8">
        <v>43</v>
      </c>
      <c r="AH433" s="1468"/>
      <c r="AI433" s="1468"/>
      <c r="AJ433" s="1468"/>
    </row>
    <row r="434" spans="4:36" ht="12.95" customHeight="1">
      <c r="D434" s="1122" t="s">
        <v>1371</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51">
        <f>IF(ISERROR(AG433/AG432),"",AG433/AG432)</f>
        <v>1</v>
      </c>
      <c r="AH434" s="1151"/>
      <c r="AI434" s="1151"/>
      <c r="AJ434" s="1151"/>
    </row>
    <row r="435" spans="4:36" ht="12.95" customHeight="1">
      <c r="D435" s="1122" t="s">
        <v>1369</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7">
        <v>24019</v>
      </c>
      <c r="AH435" s="1427"/>
      <c r="AI435" s="1427"/>
      <c r="AJ435" s="1427"/>
    </row>
    <row r="436" spans="4:36" ht="12.95" customHeight="1">
      <c r="D436" s="1122" t="s">
        <v>1368</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7">
        <v>24019</v>
      </c>
      <c r="AH436" s="1427"/>
      <c r="AI436" s="1427"/>
      <c r="AJ436" s="1427"/>
    </row>
    <row r="437" spans="4:36" ht="12.95" customHeight="1">
      <c r="D437" s="1122" t="s">
        <v>1374</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51">
        <f>IF(ISERROR(AG436/AG435),"",AG436/AG435)</f>
        <v>1</v>
      </c>
      <c r="AH437" s="1151"/>
      <c r="AI437" s="1151"/>
      <c r="AJ437" s="1151"/>
    </row>
    <row r="438" spans="4:36" ht="12.95" customHeight="1">
      <c r="D438" s="1122" t="s">
        <v>1372</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51">
        <f>MIN(IF(AG434&gt;AG437,AG437,AG434),1)</f>
        <v>1</v>
      </c>
      <c r="AH438" s="1151"/>
      <c r="AI438" s="1151"/>
      <c r="AJ438" s="1151"/>
    </row>
    <row r="439" spans="4:36" ht="12.95" customHeight="1">
      <c r="D439" s="1433" t="s">
        <v>2115</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3"/>
      <c r="AG439" s="1427">
        <v>1956</v>
      </c>
      <c r="AH439" s="1427"/>
      <c r="AI439" s="1427"/>
      <c r="AJ439" s="1427"/>
    </row>
    <row r="440" spans="4:36" ht="12.95"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7">
        <v>0</v>
      </c>
      <c r="AH440" s="1427"/>
      <c r="AI440" s="1427"/>
      <c r="AJ440" s="1427"/>
    </row>
    <row r="441" spans="4:36" ht="12.95" customHeight="1">
      <c r="D441" s="1433" t="s">
        <v>1738</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7">
        <v>4248</v>
      </c>
      <c r="AH441" s="1427"/>
      <c r="AI441" s="1427"/>
      <c r="AJ441" s="1427"/>
    </row>
    <row r="442" spans="4:36" ht="12.95" customHeight="1">
      <c r="D442" s="1122" t="s">
        <v>1373</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7">
        <v>0</v>
      </c>
      <c r="AH442" s="1427"/>
      <c r="AI442" s="1427"/>
      <c r="AJ442" s="1427"/>
    </row>
    <row r="443" spans="4:36" ht="12.95" customHeight="1">
      <c r="D443" s="1122" t="s">
        <v>1375</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9">
        <f>AG435+AG439+AG441+AG442</f>
        <v>30223</v>
      </c>
      <c r="AH443" s="1469"/>
      <c r="AI443" s="1469"/>
      <c r="AJ443" s="1469"/>
    </row>
    <row r="444" spans="4:36" ht="12.95" customHeight="1">
      <c r="D444" s="1471" t="s">
        <v>1739</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2.95"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2.95"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247671.97727272726</v>
      </c>
      <c r="AD447" s="1159"/>
      <c r="AE447" s="1159"/>
      <c r="AF447" s="1159"/>
      <c r="AG447" s="1478"/>
      <c r="AH447" s="1478"/>
      <c r="AI447" s="1478"/>
      <c r="AJ447" s="1478"/>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247671.97727272726</v>
      </c>
      <c r="AD448" s="1159"/>
      <c r="AE448" s="1159"/>
      <c r="AF448" s="1159"/>
      <c r="AG448" s="1478"/>
      <c r="AH448" s="1478"/>
      <c r="AI448" s="1478"/>
      <c r="AJ448" s="1478"/>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212935.04545454544</v>
      </c>
      <c r="AD449" s="1159"/>
      <c r="AE449" s="1159"/>
      <c r="AF449" s="1159"/>
      <c r="AG449" s="362"/>
      <c r="AH449" s="362"/>
      <c r="AI449" s="362"/>
      <c r="AJ449" s="362"/>
    </row>
    <row r="450" spans="1:38" ht="12.95" customHeight="1">
      <c r="D450" s="373"/>
      <c r="E450" s="307"/>
      <c r="F450" s="1571" t="str">
        <f>IF(AG430=0,"",IF(AC447&gt;650000,"Please provide a justification of cost per unit in Tab 12 for all projects with per unit costs of greater than $650,000.",""))</f>
        <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2.95"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9" t="s">
        <v>2107</v>
      </c>
      <c r="E460" s="1120"/>
      <c r="F460" s="1120"/>
      <c r="G460" s="1120"/>
      <c r="H460" s="1120"/>
      <c r="I460" s="1120"/>
      <c r="J460" s="1120"/>
      <c r="K460" s="1120"/>
      <c r="L460" s="1120"/>
      <c r="M460" s="1120"/>
      <c r="N460" s="1120"/>
      <c r="O460" s="1120"/>
      <c r="P460" s="1120"/>
      <c r="Q460" s="1120"/>
      <c r="R460" s="1120"/>
      <c r="S460" s="1120"/>
      <c r="T460" s="1120"/>
      <c r="U460" s="1120"/>
      <c r="V460" s="1121"/>
      <c r="W460" s="1125">
        <v>0</v>
      </c>
      <c r="X460" s="1126"/>
      <c r="Y460" s="1127"/>
      <c r="Z460" s="310"/>
      <c r="AA460" s="310"/>
      <c r="AB460" s="310"/>
      <c r="AC460" s="310"/>
      <c r="AD460" s="310"/>
      <c r="AE460" s="310"/>
      <c r="AF460" s="310"/>
      <c r="AG460" s="310"/>
      <c r="AH460" s="310"/>
      <c r="AI460" s="310"/>
      <c r="AJ460" s="41"/>
      <c r="AK460" s="41"/>
      <c r="AL460" s="41"/>
    </row>
    <row r="461" spans="1:38" ht="12.95"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2.95"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v>0</v>
      </c>
      <c r="X462" s="1126"/>
      <c r="Y462" s="1127"/>
      <c r="Z462" s="310"/>
      <c r="AA462" s="310"/>
      <c r="AB462" s="310"/>
      <c r="AC462" s="310"/>
      <c r="AD462" s="310"/>
      <c r="AE462" s="310"/>
      <c r="AF462" s="310"/>
      <c r="AG462" s="310"/>
      <c r="AH462" s="310"/>
      <c r="AI462" s="310"/>
      <c r="AJ462" s="41"/>
      <c r="AK462" s="41"/>
      <c r="AL462" s="41"/>
    </row>
    <row r="463" spans="1:38" ht="12.95"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v>0</v>
      </c>
      <c r="X463" s="1126"/>
      <c r="Y463" s="1127"/>
      <c r="Z463" s="310"/>
      <c r="AA463" s="310"/>
      <c r="AB463" s="310"/>
      <c r="AC463" s="310"/>
      <c r="AD463" s="310"/>
      <c r="AE463" s="310"/>
      <c r="AF463" s="310"/>
      <c r="AG463" s="310"/>
      <c r="AH463" s="310"/>
      <c r="AI463" s="310"/>
      <c r="AJ463" s="41"/>
      <c r="AK463" s="41"/>
      <c r="AL463" s="41"/>
    </row>
    <row r="464" spans="1:38" ht="12.95" customHeight="1">
      <c r="A464" s="41"/>
      <c r="B464" s="41"/>
      <c r="C464" s="41"/>
      <c r="D464" s="1485" t="s">
        <v>1110</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2.95"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2.95" customHeight="1">
      <c r="A466" s="557"/>
      <c r="B466" s="557"/>
      <c r="C466" s="557"/>
      <c r="D466" s="1485" t="s">
        <v>1309</v>
      </c>
      <c r="E466" s="1489"/>
      <c r="F466" s="1489"/>
      <c r="G466" s="1489"/>
      <c r="H466" s="1489"/>
      <c r="I466" s="1489"/>
      <c r="J466" s="1489"/>
      <c r="K466" s="1489"/>
      <c r="L466" s="1489"/>
      <c r="M466" s="1489"/>
      <c r="N466" s="1489"/>
      <c r="O466" s="1489"/>
      <c r="P466" s="1489"/>
      <c r="Q466" s="1489"/>
      <c r="R466" s="1489"/>
      <c r="S466" s="1489"/>
      <c r="T466" s="1489"/>
      <c r="U466" s="1489"/>
      <c r="V466" s="1490"/>
      <c r="W466" s="1465">
        <v>0</v>
      </c>
      <c r="X466" s="1466"/>
      <c r="Y466" s="1467"/>
      <c r="Z466" s="558"/>
      <c r="AA466" s="558"/>
      <c r="AB466" s="558"/>
      <c r="AC466" s="558"/>
      <c r="AD466" s="559"/>
      <c r="AE466" s="559"/>
      <c r="AF466" s="559"/>
      <c r="AG466" s="559"/>
      <c r="AH466" s="559"/>
      <c r="AI466" s="559"/>
      <c r="AJ466" s="362"/>
    </row>
    <row r="467" spans="1:97" ht="12.95" customHeight="1">
      <c r="A467" s="557"/>
      <c r="B467" s="557"/>
      <c r="C467" s="557"/>
      <c r="D467" s="1119" t="s">
        <v>2286</v>
      </c>
      <c r="E467" s="1120"/>
      <c r="F467" s="1120"/>
      <c r="G467" s="1120"/>
      <c r="H467" s="1120"/>
      <c r="I467" s="1120"/>
      <c r="J467" s="1120"/>
      <c r="K467" s="1120"/>
      <c r="L467" s="1120"/>
      <c r="M467" s="1120"/>
      <c r="N467" s="1120"/>
      <c r="O467" s="1120"/>
      <c r="P467" s="1120"/>
      <c r="Q467" s="1120"/>
      <c r="R467" s="1120"/>
      <c r="S467" s="1120"/>
      <c r="T467" s="1120"/>
      <c r="U467" s="1120"/>
      <c r="V467" s="1121"/>
      <c r="W467" s="1465">
        <v>0</v>
      </c>
      <c r="X467" s="1466"/>
      <c r="Y467" s="1467"/>
      <c r="Z467" s="558"/>
      <c r="AA467" s="558"/>
      <c r="AB467" s="558"/>
      <c r="AC467" s="558"/>
      <c r="AD467" s="559"/>
      <c r="AE467" s="559"/>
      <c r="AF467" s="559"/>
      <c r="AG467" s="559"/>
      <c r="AH467" s="559"/>
      <c r="AI467" s="559"/>
      <c r="AJ467" s="362"/>
    </row>
    <row r="468" spans="1:97" ht="12.95" customHeight="1">
      <c r="A468" s="41"/>
      <c r="B468" s="41"/>
      <c r="C468" s="41"/>
      <c r="D468" s="1119" t="s">
        <v>2220</v>
      </c>
      <c r="E468" s="1489"/>
      <c r="F468" s="1489"/>
      <c r="G468" s="1489"/>
      <c r="H468" s="1489"/>
      <c r="I468" s="1489"/>
      <c r="J468" s="1489"/>
      <c r="K468" s="1489"/>
      <c r="L468" s="1489"/>
      <c r="M468" s="1489"/>
      <c r="N468" s="1489"/>
      <c r="O468" s="1489"/>
      <c r="P468" s="1489"/>
      <c r="Q468" s="1489"/>
      <c r="R468" s="1489"/>
      <c r="S468" s="1489"/>
      <c r="T468" s="1489"/>
      <c r="U468" s="1489"/>
      <c r="V468" s="1490"/>
      <c r="W468" s="1465">
        <v>0</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4"/>
      <c r="H469" s="1155"/>
      <c r="I469" s="1155"/>
      <c r="J469" s="1155"/>
      <c r="K469" s="1155"/>
      <c r="L469" s="1155"/>
      <c r="M469" s="1155"/>
      <c r="N469" s="1155"/>
      <c r="O469" s="1155"/>
      <c r="P469" s="1155"/>
      <c r="Q469" s="1155"/>
      <c r="R469" s="1155"/>
      <c r="S469" s="1155"/>
      <c r="T469" s="1155"/>
      <c r="U469" s="1155"/>
      <c r="V469" s="1156"/>
      <c r="W469" s="1125">
        <v>0</v>
      </c>
      <c r="X469" s="1126"/>
      <c r="Y469" s="1127"/>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6" t="s">
        <v>1029</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8" t="s">
        <v>2440</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8" t="s">
        <v>2441</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8" t="s">
        <v>2441</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9" t="s">
        <v>242</v>
      </c>
      <c r="C485" s="1480"/>
      <c r="D485" s="1480"/>
      <c r="E485" s="1480"/>
      <c r="F485" s="1480"/>
      <c r="G485" s="1480"/>
      <c r="H485" s="1480"/>
      <c r="I485" s="1480"/>
      <c r="J485" s="1480"/>
      <c r="K485" s="1480"/>
      <c r="L485" s="1480"/>
      <c r="M485" s="1480"/>
      <c r="N485" s="1480"/>
      <c r="O485" s="1480"/>
      <c r="P485" s="1481"/>
      <c r="Q485" s="1493" t="s">
        <v>483</v>
      </c>
      <c r="R485" s="1494"/>
      <c r="S485" s="1497" t="s">
        <v>53</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503" t="s">
        <v>483</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8" t="s">
        <v>2442</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8" t="s">
        <v>2443</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128">
        <v>70</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40"/>
      <c r="N491" s="1146"/>
      <c r="O491" s="1146"/>
      <c r="P491" s="1341"/>
      <c r="Q491" s="214" t="s">
        <v>1988</v>
      </c>
      <c r="R491" s="9"/>
      <c r="S491" s="9"/>
      <c r="T491" s="9"/>
      <c r="U491" s="9"/>
      <c r="V491" s="9"/>
      <c r="W491" s="9"/>
      <c r="X491" s="9"/>
      <c r="Y491" s="9"/>
      <c r="Z491" s="9"/>
      <c r="AA491" s="9"/>
      <c r="AB491" s="9"/>
      <c r="AC491" s="9"/>
      <c r="AD491" s="9"/>
      <c r="AE491" s="9"/>
      <c r="AF491" s="9"/>
      <c r="AG491" s="9"/>
      <c r="AH491" s="1340">
        <v>70</v>
      </c>
      <c r="AI491" s="1146"/>
      <c r="AJ491" s="1146"/>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3" t="s">
        <v>250</v>
      </c>
      <c r="C497" s="1134"/>
      <c r="D497" s="1134"/>
      <c r="E497" s="1134"/>
      <c r="F497" s="1134"/>
      <c r="G497" s="1134"/>
      <c r="H497" s="1135"/>
      <c r="I497" s="7" t="s">
        <v>672</v>
      </c>
      <c r="J497" s="7"/>
      <c r="K497" s="7"/>
      <c r="L497" s="7"/>
      <c r="M497" s="7"/>
      <c r="N497" s="7"/>
      <c r="O497" s="7"/>
      <c r="P497" s="7"/>
      <c r="Q497" s="7"/>
      <c r="R497" s="7"/>
      <c r="S497" s="7"/>
      <c r="T497" s="7"/>
      <c r="U497" s="7"/>
      <c r="V497" s="7"/>
      <c r="W497" s="7"/>
      <c r="AC497" s="1118" t="s">
        <v>124</v>
      </c>
      <c r="AD497" s="1115"/>
      <c r="AE497" s="1115"/>
      <c r="AF497" s="1115"/>
      <c r="AG497" s="18" t="s">
        <v>248</v>
      </c>
      <c r="AH497" s="1144" t="s">
        <v>124</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6"/>
      <c r="C498" s="1137"/>
      <c r="D498" s="1137"/>
      <c r="E498" s="1137"/>
      <c r="F498" s="1137"/>
      <c r="G498" s="1137"/>
      <c r="H498" s="1138"/>
      <c r="I498" s="54" t="s">
        <v>673</v>
      </c>
      <c r="J498" s="54"/>
      <c r="K498" s="54"/>
      <c r="L498" s="54"/>
      <c r="M498" s="54"/>
      <c r="N498" s="54"/>
      <c r="O498" s="54"/>
      <c r="P498" s="54"/>
      <c r="Q498" s="54"/>
      <c r="R498" s="54"/>
      <c r="S498" s="54"/>
      <c r="T498" s="54"/>
      <c r="U498" s="54"/>
      <c r="V498" s="54"/>
      <c r="W498" s="54"/>
      <c r="X498" s="54"/>
      <c r="Y498" s="54"/>
      <c r="Z498" s="54"/>
      <c r="AA498" s="54"/>
      <c r="AB498" s="54"/>
      <c r="AC498" s="1118">
        <v>11</v>
      </c>
      <c r="AD498" s="1115"/>
      <c r="AE498" s="1115"/>
      <c r="AF498" s="1115"/>
      <c r="AG498" s="47" t="s">
        <v>248</v>
      </c>
      <c r="AH498" s="1144">
        <v>2024</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3" t="s">
        <v>674</v>
      </c>
      <c r="C499" s="1134"/>
      <c r="D499" s="1134"/>
      <c r="E499" s="1134"/>
      <c r="F499" s="1134"/>
      <c r="G499" s="1134"/>
      <c r="H499" s="1135"/>
      <c r="I499" s="7" t="s">
        <v>675</v>
      </c>
      <c r="J499" s="7"/>
      <c r="K499" s="7"/>
      <c r="L499" s="7"/>
      <c r="M499" s="7"/>
      <c r="N499" s="7"/>
      <c r="O499" s="7"/>
      <c r="P499" s="7"/>
      <c r="Q499" s="7"/>
      <c r="R499" s="7"/>
      <c r="S499" s="7"/>
      <c r="T499" s="7"/>
      <c r="U499" s="7"/>
      <c r="V499" s="7"/>
      <c r="W499" s="7"/>
      <c r="AC499" s="1118" t="s">
        <v>124</v>
      </c>
      <c r="AD499" s="1115"/>
      <c r="AE499" s="1115"/>
      <c r="AF499" s="1115"/>
      <c r="AG499" s="18" t="s">
        <v>248</v>
      </c>
      <c r="AH499" s="1144" t="s">
        <v>124</v>
      </c>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6"/>
      <c r="C500" s="1137"/>
      <c r="D500" s="1137"/>
      <c r="E500" s="1137"/>
      <c r="F500" s="1137"/>
      <c r="G500" s="1137"/>
      <c r="H500" s="1138"/>
      <c r="I500" t="s">
        <v>676</v>
      </c>
      <c r="AC500" s="1118" t="s">
        <v>124</v>
      </c>
      <c r="AD500" s="1115"/>
      <c r="AE500" s="1115"/>
      <c r="AF500" s="1115"/>
      <c r="AG500" s="18" t="s">
        <v>248</v>
      </c>
      <c r="AH500" s="1144" t="s">
        <v>124</v>
      </c>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6"/>
      <c r="C501" s="1137"/>
      <c r="D501" s="1137"/>
      <c r="E501" s="1137"/>
      <c r="F501" s="1137"/>
      <c r="G501" s="1137"/>
      <c r="H501" s="1138"/>
      <c r="I501" t="s">
        <v>677</v>
      </c>
      <c r="AC501" s="1118" t="s">
        <v>124</v>
      </c>
      <c r="AD501" s="1115"/>
      <c r="AE501" s="1115"/>
      <c r="AF501" s="1115"/>
      <c r="AG501" s="18" t="s">
        <v>248</v>
      </c>
      <c r="AH501" s="1144" t="s">
        <v>124</v>
      </c>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6"/>
      <c r="C502" s="1137"/>
      <c r="D502" s="1137"/>
      <c r="E502" s="1137"/>
      <c r="F502" s="1137"/>
      <c r="G502" s="1137"/>
      <c r="H502" s="1138"/>
      <c r="I502" t="s">
        <v>678</v>
      </c>
      <c r="AC502" s="1118" t="s">
        <v>124</v>
      </c>
      <c r="AD502" s="1115"/>
      <c r="AE502" s="1115"/>
      <c r="AF502" s="1115"/>
      <c r="AG502" s="18" t="s">
        <v>248</v>
      </c>
      <c r="AH502" s="1144" t="s">
        <v>124</v>
      </c>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6"/>
      <c r="C503" s="1137"/>
      <c r="D503" s="1137"/>
      <c r="E503" s="1137"/>
      <c r="F503" s="1137"/>
      <c r="G503" s="1137"/>
      <c r="H503" s="1138"/>
      <c r="I503" s="41" t="s">
        <v>679</v>
      </c>
      <c r="AC503" s="1081">
        <v>11</v>
      </c>
      <c r="AD503" s="1082"/>
      <c r="AE503" s="1082"/>
      <c r="AF503" s="1082"/>
      <c r="AG503" s="18" t="s">
        <v>248</v>
      </c>
      <c r="AH503" s="1144">
        <v>2024</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6"/>
      <c r="C504" s="1137"/>
      <c r="D504" s="1137"/>
      <c r="E504" s="1137"/>
      <c r="F504" s="1137"/>
      <c r="G504" s="1137"/>
      <c r="H504" s="1138"/>
      <c r="I504" s="410" t="s">
        <v>283</v>
      </c>
      <c r="J504" s="54"/>
      <c r="K504" s="54"/>
      <c r="L504" s="1152" t="s">
        <v>563</v>
      </c>
      <c r="M504" s="1130"/>
      <c r="N504" s="1130"/>
      <c r="O504" s="1130"/>
      <c r="P504" s="1130"/>
      <c r="Q504" s="1130"/>
      <c r="R504" s="1130"/>
      <c r="S504" s="1130"/>
      <c r="T504" s="1130"/>
      <c r="U504" s="1130"/>
      <c r="V504" s="1130"/>
      <c r="W504" s="1130"/>
      <c r="X504" s="1130"/>
      <c r="Y504" s="1130"/>
      <c r="Z504" s="1130"/>
      <c r="AA504" s="1130"/>
      <c r="AB504" s="1153"/>
      <c r="AC504" s="1431" t="s">
        <v>124</v>
      </c>
      <c r="AD504" s="1147"/>
      <c r="AE504" s="1147"/>
      <c r="AF504" s="1147"/>
      <c r="AG504" s="47" t="s">
        <v>248</v>
      </c>
      <c r="AH504" s="1144" t="s">
        <v>124</v>
      </c>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6"/>
      <c r="C505" s="1137"/>
      <c r="D505" s="1137"/>
      <c r="E505" s="1137"/>
      <c r="F505" s="1137"/>
      <c r="G505" s="1137"/>
      <c r="H505" s="1138"/>
      <c r="I505" s="41" t="s">
        <v>1989</v>
      </c>
      <c r="AC505" s="1428" t="s">
        <v>483</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6"/>
      <c r="C506" s="1137"/>
      <c r="D506" s="1137"/>
      <c r="E506" s="1137"/>
      <c r="F506" s="1137"/>
      <c r="G506" s="1137"/>
      <c r="H506" s="1138"/>
      <c r="I506" t="s">
        <v>1990</v>
      </c>
      <c r="AC506" s="1081"/>
      <c r="AD506" s="1082"/>
      <c r="AE506" s="1082"/>
      <c r="AF506" s="1083"/>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6"/>
      <c r="C507" s="1137"/>
      <c r="D507" s="1137"/>
      <c r="E507" s="1137"/>
      <c r="F507" s="1137"/>
      <c r="G507" s="1137"/>
      <c r="H507" s="1138"/>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6"/>
      <c r="C508" s="1137"/>
      <c r="D508" s="1137"/>
      <c r="E508" s="1137"/>
      <c r="F508" s="1137"/>
      <c r="G508" s="1137"/>
      <c r="H508" s="1138"/>
      <c r="I508" s="838" t="s">
        <v>1992</v>
      </c>
      <c r="J508" s="54"/>
      <c r="K508" s="54"/>
      <c r="L508" s="54"/>
      <c r="M508" s="54"/>
      <c r="N508" s="54"/>
      <c r="O508" s="54"/>
      <c r="P508" s="54"/>
      <c r="Q508" s="54"/>
      <c r="R508" s="54"/>
      <c r="S508" s="54"/>
      <c r="T508" s="54"/>
      <c r="U508" s="54"/>
      <c r="V508" s="54"/>
      <c r="W508" s="54"/>
      <c r="X508" s="54"/>
      <c r="Y508" s="54"/>
      <c r="Z508" s="54"/>
      <c r="AA508" s="54"/>
      <c r="AB508" s="54"/>
      <c r="AC508" s="1486" t="s">
        <v>124</v>
      </c>
      <c r="AD508" s="1487"/>
      <c r="AE508" s="1487"/>
      <c r="AF508" s="1488"/>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3" t="s">
        <v>680</v>
      </c>
      <c r="C509" s="1134"/>
      <c r="D509" s="1134"/>
      <c r="E509" s="1134"/>
      <c r="F509" s="1134"/>
      <c r="G509" s="1134"/>
      <c r="H509" s="1135"/>
      <c r="I509" s="7" t="s">
        <v>681</v>
      </c>
      <c r="J509" s="7"/>
      <c r="K509" s="7"/>
      <c r="L509" s="7"/>
      <c r="M509" s="7"/>
      <c r="N509" s="7"/>
      <c r="O509" s="7"/>
      <c r="P509" s="7"/>
      <c r="Q509" s="7"/>
      <c r="R509" s="7"/>
      <c r="S509" s="7"/>
      <c r="T509" s="7"/>
      <c r="U509" s="7"/>
      <c r="V509" s="7"/>
      <c r="W509" s="7"/>
      <c r="AC509" s="1118">
        <v>2</v>
      </c>
      <c r="AD509" s="1115"/>
      <c r="AE509" s="1115"/>
      <c r="AF509" s="1115"/>
      <c r="AG509" s="18" t="s">
        <v>248</v>
      </c>
      <c r="AH509" s="1144">
        <v>2024</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6"/>
      <c r="C510" s="1137"/>
      <c r="D510" s="1137"/>
      <c r="E510" s="1137"/>
      <c r="F510" s="1137"/>
      <c r="G510" s="1137"/>
      <c r="H510" s="1138"/>
      <c r="I510" t="s">
        <v>682</v>
      </c>
      <c r="AC510" s="1118">
        <v>2</v>
      </c>
      <c r="AD510" s="1115"/>
      <c r="AE510" s="1115"/>
      <c r="AF510" s="1115"/>
      <c r="AG510" s="18" t="s">
        <v>248</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6"/>
      <c r="C511" s="1137"/>
      <c r="D511" s="1137"/>
      <c r="E511" s="1137"/>
      <c r="F511" s="1137"/>
      <c r="G511" s="1137"/>
      <c r="H511" s="1138"/>
      <c r="I511" s="54" t="s">
        <v>683</v>
      </c>
      <c r="J511" s="54"/>
      <c r="K511" s="54"/>
      <c r="L511" s="54"/>
      <c r="M511" s="54"/>
      <c r="N511" s="54"/>
      <c r="O511" s="54"/>
      <c r="P511" s="54"/>
      <c r="Q511" s="54"/>
      <c r="R511" s="54"/>
      <c r="S511" s="54"/>
      <c r="T511" s="54"/>
      <c r="U511" s="54"/>
      <c r="V511" s="54"/>
      <c r="W511" s="54"/>
      <c r="X511" s="54"/>
      <c r="Y511" s="54"/>
      <c r="Z511" s="54"/>
      <c r="AA511" s="54"/>
      <c r="AB511" s="54"/>
      <c r="AC511" s="1118">
        <v>11</v>
      </c>
      <c r="AD511" s="1115"/>
      <c r="AE511" s="1115"/>
      <c r="AF511" s="1115"/>
      <c r="AG511" s="47" t="s">
        <v>248</v>
      </c>
      <c r="AH511" s="1144">
        <v>2024</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3" t="s">
        <v>684</v>
      </c>
      <c r="C512" s="1134"/>
      <c r="D512" s="1134"/>
      <c r="E512" s="1134"/>
      <c r="F512" s="1134"/>
      <c r="G512" s="1134"/>
      <c r="H512" s="1135"/>
      <c r="I512" s="7" t="s">
        <v>681</v>
      </c>
      <c r="J512" s="7"/>
      <c r="K512" s="7"/>
      <c r="L512" s="7"/>
      <c r="M512" s="7"/>
      <c r="N512" s="7"/>
      <c r="O512" s="7"/>
      <c r="P512" s="7"/>
      <c r="Q512" s="7"/>
      <c r="R512" s="7"/>
      <c r="S512" s="7"/>
      <c r="T512" s="7"/>
      <c r="U512" s="7"/>
      <c r="V512" s="7"/>
      <c r="W512" s="7"/>
      <c r="X512" s="7"/>
      <c r="Y512" s="7"/>
      <c r="Z512" s="7"/>
      <c r="AA512" s="7"/>
      <c r="AB512" s="7"/>
      <c r="AC512" s="1311" t="s">
        <v>124</v>
      </c>
      <c r="AD512" s="1312"/>
      <c r="AE512" s="1312"/>
      <c r="AF512" s="1312"/>
      <c r="AG512" s="230" t="s">
        <v>248</v>
      </c>
      <c r="AH512" s="1144" t="s">
        <v>124</v>
      </c>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6"/>
      <c r="C513" s="1137"/>
      <c r="D513" s="1137"/>
      <c r="E513" s="1137"/>
      <c r="F513" s="1137"/>
      <c r="G513" s="1137"/>
      <c r="H513" s="1138"/>
      <c r="I513" t="s">
        <v>682</v>
      </c>
      <c r="AC513" s="1118" t="s">
        <v>124</v>
      </c>
      <c r="AD513" s="1115"/>
      <c r="AE513" s="1115"/>
      <c r="AF513" s="1115"/>
      <c r="AG513" s="18" t="s">
        <v>248</v>
      </c>
      <c r="AH513" s="1144" t="s">
        <v>124</v>
      </c>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9"/>
      <c r="C514" s="1140"/>
      <c r="D514" s="1140"/>
      <c r="E514" s="1140"/>
      <c r="F514" s="1140"/>
      <c r="G514" s="1140"/>
      <c r="H514" s="1141"/>
      <c r="I514" s="54" t="s">
        <v>683</v>
      </c>
      <c r="J514" s="54"/>
      <c r="K514" s="54"/>
      <c r="L514" s="54"/>
      <c r="M514" s="54"/>
      <c r="N514" s="54"/>
      <c r="O514" s="54"/>
      <c r="P514" s="54"/>
      <c r="Q514" s="54"/>
      <c r="R514" s="54"/>
      <c r="S514" s="54"/>
      <c r="T514" s="54"/>
      <c r="U514" s="54"/>
      <c r="V514" s="54"/>
      <c r="W514" s="54"/>
      <c r="X514" s="54"/>
      <c r="Y514" s="54"/>
      <c r="Z514" s="54"/>
      <c r="AA514" s="54"/>
      <c r="AB514" s="54"/>
      <c r="AC514" s="1118" t="s">
        <v>124</v>
      </c>
      <c r="AD514" s="1115"/>
      <c r="AE514" s="1115"/>
      <c r="AF514" s="1115"/>
      <c r="AG514" s="47" t="s">
        <v>248</v>
      </c>
      <c r="AH514" s="1144" t="s">
        <v>124</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3" t="s">
        <v>685</v>
      </c>
      <c r="C515" s="1134"/>
      <c r="D515" s="1134"/>
      <c r="E515" s="1134"/>
      <c r="F515" s="1134"/>
      <c r="G515" s="1134"/>
      <c r="H515" s="1135"/>
      <c r="I515" s="6" t="s">
        <v>686</v>
      </c>
      <c r="J515" s="7"/>
      <c r="K515" s="7"/>
      <c r="L515" s="7"/>
      <c r="M515" s="7"/>
      <c r="N515" s="7"/>
      <c r="O515" s="1152" t="s">
        <v>2432</v>
      </c>
      <c r="P515" s="1130"/>
      <c r="Q515" s="1130"/>
      <c r="R515" s="1130"/>
      <c r="S515" s="1130"/>
      <c r="T515" s="1130"/>
      <c r="U515" s="1130"/>
      <c r="V515" s="1130"/>
      <c r="W515" s="1130"/>
      <c r="X515" s="1130"/>
      <c r="Y515" s="1130"/>
      <c r="Z515" s="1130"/>
      <c r="AA515" s="1130"/>
      <c r="AB515" s="64"/>
      <c r="AC515" s="1311" t="s">
        <v>124</v>
      </c>
      <c r="AD515" s="1312"/>
      <c r="AE515" s="1312"/>
      <c r="AF515" s="1312"/>
      <c r="AG515" s="230" t="s">
        <v>248</v>
      </c>
      <c r="AH515" s="1144" t="s">
        <v>124</v>
      </c>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6"/>
      <c r="C516" s="1137"/>
      <c r="D516" s="1137"/>
      <c r="E516" s="1137"/>
      <c r="F516" s="1137"/>
      <c r="G516" s="1137"/>
      <c r="H516" s="1138"/>
      <c r="I516" s="204" t="s">
        <v>687</v>
      </c>
      <c r="AB516" s="71"/>
      <c r="AC516" s="1118">
        <v>1</v>
      </c>
      <c r="AD516" s="1115"/>
      <c r="AE516" s="1115"/>
      <c r="AF516" s="1115"/>
      <c r="AG516" s="18" t="s">
        <v>248</v>
      </c>
      <c r="AH516" s="1144">
        <v>2024</v>
      </c>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6"/>
      <c r="C517" s="1137"/>
      <c r="D517" s="1137"/>
      <c r="E517" s="1137"/>
      <c r="F517" s="1137"/>
      <c r="G517" s="1137"/>
      <c r="H517" s="1138"/>
      <c r="I517" s="53" t="s">
        <v>688</v>
      </c>
      <c r="J517" s="54"/>
      <c r="K517" s="54"/>
      <c r="L517" s="54"/>
      <c r="M517" s="54"/>
      <c r="N517" s="54"/>
      <c r="O517" s="54"/>
      <c r="P517" s="54"/>
      <c r="Q517" s="54"/>
      <c r="R517" s="54"/>
      <c r="S517" s="54"/>
      <c r="T517" s="54"/>
      <c r="U517" s="54"/>
      <c r="V517" s="54"/>
      <c r="W517" s="54"/>
      <c r="X517" s="54"/>
      <c r="Y517" s="54"/>
      <c r="Z517" s="54"/>
      <c r="AA517" s="54"/>
      <c r="AB517" s="55"/>
      <c r="AC517" s="1118">
        <v>11</v>
      </c>
      <c r="AD517" s="1115"/>
      <c r="AE517" s="1115"/>
      <c r="AF517" s="1115"/>
      <c r="AG517" s="47" t="s">
        <v>248</v>
      </c>
      <c r="AH517" s="1144">
        <v>2024</v>
      </c>
      <c r="AI517" s="1144"/>
      <c r="AJ517" s="1144"/>
      <c r="AK517" s="1145"/>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6"/>
      <c r="C518" s="1137"/>
      <c r="D518" s="1137"/>
      <c r="E518" s="1137"/>
      <c r="F518" s="1137"/>
      <c r="G518" s="1137"/>
      <c r="H518" s="1138"/>
      <c r="I518" s="7" t="s">
        <v>689</v>
      </c>
      <c r="J518" s="7"/>
      <c r="K518" s="7"/>
      <c r="L518" s="7"/>
      <c r="M518" s="7"/>
      <c r="N518" s="7"/>
      <c r="O518" s="1152" t="s">
        <v>563</v>
      </c>
      <c r="P518" s="1130"/>
      <c r="Q518" s="1130"/>
      <c r="R518" s="1130"/>
      <c r="S518" s="1130"/>
      <c r="T518" s="1130"/>
      <c r="U518" s="1130"/>
      <c r="V518" s="1130"/>
      <c r="W518" s="1130"/>
      <c r="X518" s="1130"/>
      <c r="Y518" s="1130"/>
      <c r="Z518" s="1130"/>
      <c r="AA518" s="1130"/>
      <c r="AC518" s="1118" t="s">
        <v>124</v>
      </c>
      <c r="AD518" s="1115"/>
      <c r="AE518" s="1115"/>
      <c r="AF518" s="1115"/>
      <c r="AG518" s="18" t="s">
        <v>248</v>
      </c>
      <c r="AH518" s="1144" t="s">
        <v>124</v>
      </c>
      <c r="AI518" s="1144"/>
      <c r="AJ518" s="1144"/>
      <c r="AK518" s="1145"/>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6"/>
      <c r="C519" s="1137"/>
      <c r="D519" s="1137"/>
      <c r="E519" s="1137"/>
      <c r="F519" s="1137"/>
      <c r="G519" s="1137"/>
      <c r="H519" s="1138"/>
      <c r="I519" t="s">
        <v>687</v>
      </c>
      <c r="AC519" s="1118" t="s">
        <v>124</v>
      </c>
      <c r="AD519" s="1115"/>
      <c r="AE519" s="1115"/>
      <c r="AF519" s="1115"/>
      <c r="AG519" s="18" t="s">
        <v>248</v>
      </c>
      <c r="AH519" s="1144" t="s">
        <v>124</v>
      </c>
      <c r="AI519" s="1144"/>
      <c r="AJ519" s="1144"/>
      <c r="AK519" s="1145"/>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6"/>
      <c r="C520" s="1137"/>
      <c r="D520" s="1137"/>
      <c r="E520" s="1137"/>
      <c r="F520" s="1137"/>
      <c r="G520" s="1137"/>
      <c r="H520" s="1138"/>
      <c r="I520" s="54" t="s">
        <v>688</v>
      </c>
      <c r="J520" s="54"/>
      <c r="K520" s="54"/>
      <c r="L520" s="54"/>
      <c r="M520" s="54"/>
      <c r="N520" s="54"/>
      <c r="O520" s="54"/>
      <c r="P520" s="54"/>
      <c r="Q520" s="54"/>
      <c r="R520" s="54"/>
      <c r="S520" s="54"/>
      <c r="T520" s="54"/>
      <c r="U520" s="54"/>
      <c r="V520" s="54"/>
      <c r="W520" s="54"/>
      <c r="X520" s="54"/>
      <c r="Y520" s="54"/>
      <c r="Z520" s="54"/>
      <c r="AA520" s="54"/>
      <c r="AB520" s="54"/>
      <c r="AC520" s="1118" t="s">
        <v>124</v>
      </c>
      <c r="AD520" s="1115"/>
      <c r="AE520" s="1115"/>
      <c r="AF520" s="1115"/>
      <c r="AG520" s="47" t="s">
        <v>248</v>
      </c>
      <c r="AH520" s="1144" t="s">
        <v>124</v>
      </c>
      <c r="AI520" s="1144"/>
      <c r="AJ520" s="1144"/>
      <c r="AK520" s="1145"/>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6"/>
      <c r="C521" s="1137"/>
      <c r="D521" s="1137"/>
      <c r="E521" s="1137"/>
      <c r="F521" s="1137"/>
      <c r="G521" s="1137"/>
      <c r="H521" s="1138"/>
      <c r="I521" s="7" t="s">
        <v>689</v>
      </c>
      <c r="J521" s="7"/>
      <c r="K521" s="7"/>
      <c r="L521" s="7"/>
      <c r="M521" s="7"/>
      <c r="N521" s="7"/>
      <c r="O521" s="1152" t="s">
        <v>563</v>
      </c>
      <c r="P521" s="1130"/>
      <c r="Q521" s="1130"/>
      <c r="R521" s="1130"/>
      <c r="S521" s="1130"/>
      <c r="T521" s="1130"/>
      <c r="U521" s="1130"/>
      <c r="V521" s="1130"/>
      <c r="W521" s="1130"/>
      <c r="X521" s="1130"/>
      <c r="Y521" s="1130"/>
      <c r="Z521" s="1130"/>
      <c r="AA521" s="1130"/>
      <c r="AC521" s="1118" t="s">
        <v>124</v>
      </c>
      <c r="AD521" s="1115"/>
      <c r="AE521" s="1115"/>
      <c r="AF521" s="1115"/>
      <c r="AG521" s="18" t="s">
        <v>248</v>
      </c>
      <c r="AH521" s="1144" t="s">
        <v>124</v>
      </c>
      <c r="AI521" s="1144"/>
      <c r="AJ521" s="1144"/>
      <c r="AK521" s="1145"/>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6"/>
      <c r="C522" s="1137"/>
      <c r="D522" s="1137"/>
      <c r="E522" s="1137"/>
      <c r="F522" s="1137"/>
      <c r="G522" s="1137"/>
      <c r="H522" s="1138"/>
      <c r="I522" t="s">
        <v>687</v>
      </c>
      <c r="AC522" s="1118" t="s">
        <v>124</v>
      </c>
      <c r="AD522" s="1115"/>
      <c r="AE522" s="1115"/>
      <c r="AF522" s="1115"/>
      <c r="AG522" s="18" t="s">
        <v>248</v>
      </c>
      <c r="AH522" s="1144" t="s">
        <v>124</v>
      </c>
      <c r="AI522" s="1144"/>
      <c r="AJ522" s="1144"/>
      <c r="AK522" s="1145"/>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6"/>
      <c r="C523" s="1137"/>
      <c r="D523" s="1137"/>
      <c r="E523" s="1137"/>
      <c r="F523" s="1137"/>
      <c r="G523" s="1137"/>
      <c r="H523" s="1138"/>
      <c r="I523" s="54" t="s">
        <v>688</v>
      </c>
      <c r="J523" s="54"/>
      <c r="K523" s="54"/>
      <c r="L523" s="54"/>
      <c r="M523" s="54"/>
      <c r="N523" s="54"/>
      <c r="O523" s="54"/>
      <c r="P523" s="54"/>
      <c r="Q523" s="54"/>
      <c r="R523" s="54"/>
      <c r="S523" s="54"/>
      <c r="T523" s="54"/>
      <c r="U523" s="54"/>
      <c r="V523" s="54"/>
      <c r="W523" s="54"/>
      <c r="X523" s="54"/>
      <c r="Y523" s="54"/>
      <c r="Z523" s="54"/>
      <c r="AA523" s="54"/>
      <c r="AB523" s="54"/>
      <c r="AC523" s="1118" t="s">
        <v>124</v>
      </c>
      <c r="AD523" s="1115"/>
      <c r="AE523" s="1115"/>
      <c r="AF523" s="1115"/>
      <c r="AG523" s="47" t="s">
        <v>248</v>
      </c>
      <c r="AH523" s="1144" t="s">
        <v>124</v>
      </c>
      <c r="AI523" s="1144"/>
      <c r="AJ523" s="1144"/>
      <c r="AK523" s="1145"/>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6"/>
      <c r="C524" s="1137"/>
      <c r="D524" s="1137"/>
      <c r="E524" s="1137"/>
      <c r="F524" s="1137"/>
      <c r="G524" s="1137"/>
      <c r="H524" s="1138"/>
      <c r="I524" s="7" t="s">
        <v>689</v>
      </c>
      <c r="J524" s="7"/>
      <c r="K524" s="7"/>
      <c r="L524" s="7"/>
      <c r="M524" s="7"/>
      <c r="N524" s="7"/>
      <c r="O524" s="1152" t="s">
        <v>563</v>
      </c>
      <c r="P524" s="1130"/>
      <c r="Q524" s="1130"/>
      <c r="R524" s="1130"/>
      <c r="S524" s="1130"/>
      <c r="T524" s="1130"/>
      <c r="U524" s="1130"/>
      <c r="V524" s="1130"/>
      <c r="W524" s="1130"/>
      <c r="X524" s="1130"/>
      <c r="Y524" s="1130"/>
      <c r="Z524" s="1130"/>
      <c r="AA524" s="1130"/>
      <c r="AC524" s="1118" t="s">
        <v>124</v>
      </c>
      <c r="AD524" s="1115"/>
      <c r="AE524" s="1115"/>
      <c r="AF524" s="1115"/>
      <c r="AG524" s="18" t="s">
        <v>248</v>
      </c>
      <c r="AH524" s="1144" t="s">
        <v>124</v>
      </c>
      <c r="AI524" s="1144"/>
      <c r="AJ524" s="1144"/>
      <c r="AK524" s="1145"/>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6"/>
      <c r="C525" s="1137"/>
      <c r="D525" s="1137"/>
      <c r="E525" s="1137"/>
      <c r="F525" s="1137"/>
      <c r="G525" s="1137"/>
      <c r="H525" s="1138"/>
      <c r="I525" t="s">
        <v>687</v>
      </c>
      <c r="AC525" s="1118" t="s">
        <v>124</v>
      </c>
      <c r="AD525" s="1115"/>
      <c r="AE525" s="1115"/>
      <c r="AF525" s="1115"/>
      <c r="AG525" s="18" t="s">
        <v>248</v>
      </c>
      <c r="AH525" s="1144" t="s">
        <v>124</v>
      </c>
      <c r="AI525" s="1144"/>
      <c r="AJ525" s="1144"/>
      <c r="AK525" s="1145"/>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6"/>
      <c r="C526" s="1137"/>
      <c r="D526" s="1137"/>
      <c r="E526" s="1137"/>
      <c r="F526" s="1137"/>
      <c r="G526" s="1137"/>
      <c r="H526" s="1138"/>
      <c r="I526" s="54" t="s">
        <v>688</v>
      </c>
      <c r="J526" s="54"/>
      <c r="K526" s="54"/>
      <c r="L526" s="54"/>
      <c r="M526" s="54"/>
      <c r="N526" s="54"/>
      <c r="O526" s="54"/>
      <c r="P526" s="54"/>
      <c r="Q526" s="54"/>
      <c r="R526" s="54"/>
      <c r="S526" s="54"/>
      <c r="T526" s="54"/>
      <c r="U526" s="54"/>
      <c r="V526" s="54"/>
      <c r="W526" s="54"/>
      <c r="X526" s="54"/>
      <c r="Y526" s="54"/>
      <c r="Z526" s="54"/>
      <c r="AA526" s="54"/>
      <c r="AB526" s="54"/>
      <c r="AC526" s="1118" t="s">
        <v>124</v>
      </c>
      <c r="AD526" s="1115"/>
      <c r="AE526" s="1115"/>
      <c r="AF526" s="1115"/>
      <c r="AG526" s="47" t="s">
        <v>248</v>
      </c>
      <c r="AH526" s="1144" t="s">
        <v>124</v>
      </c>
      <c r="AI526" s="1144"/>
      <c r="AJ526" s="1144"/>
      <c r="AK526" s="1145"/>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6"/>
      <c r="C527" s="1137"/>
      <c r="D527" s="1137"/>
      <c r="E527" s="1137"/>
      <c r="F527" s="1137"/>
      <c r="G527" s="1137"/>
      <c r="H527" s="1138"/>
      <c r="I527" s="7" t="s">
        <v>689</v>
      </c>
      <c r="J527" s="7"/>
      <c r="K527" s="7"/>
      <c r="L527" s="7"/>
      <c r="M527" s="7"/>
      <c r="N527" s="7"/>
      <c r="O527" s="1152" t="s">
        <v>563</v>
      </c>
      <c r="P527" s="1130"/>
      <c r="Q527" s="1130"/>
      <c r="R527" s="1130"/>
      <c r="S527" s="1130"/>
      <c r="T527" s="1130"/>
      <c r="U527" s="1130"/>
      <c r="V527" s="1130"/>
      <c r="W527" s="1130"/>
      <c r="X527" s="1130"/>
      <c r="Y527" s="1130"/>
      <c r="Z527" s="1130"/>
      <c r="AA527" s="1130"/>
      <c r="AC527" s="1118" t="s">
        <v>124</v>
      </c>
      <c r="AD527" s="1115"/>
      <c r="AE527" s="1115"/>
      <c r="AF527" s="1115"/>
      <c r="AG527" s="18" t="s">
        <v>248</v>
      </c>
      <c r="AH527" s="1144" t="s">
        <v>124</v>
      </c>
      <c r="AI527" s="1144"/>
      <c r="AJ527" s="1144"/>
      <c r="AK527" s="1145"/>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6"/>
      <c r="C528" s="1137"/>
      <c r="D528" s="1137"/>
      <c r="E528" s="1137"/>
      <c r="F528" s="1137"/>
      <c r="G528" s="1137"/>
      <c r="H528" s="1138"/>
      <c r="I528" t="s">
        <v>687</v>
      </c>
      <c r="AC528" s="1118" t="s">
        <v>124</v>
      </c>
      <c r="AD528" s="1115"/>
      <c r="AE528" s="1115"/>
      <c r="AF528" s="1115"/>
      <c r="AG528" s="47" t="s">
        <v>248</v>
      </c>
      <c r="AH528" s="1144" t="s">
        <v>124</v>
      </c>
      <c r="AI528" s="1144"/>
      <c r="AJ528" s="1144"/>
      <c r="AK528" s="1145"/>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6"/>
      <c r="C529" s="1137"/>
      <c r="D529" s="1137"/>
      <c r="E529" s="1137"/>
      <c r="F529" s="1137"/>
      <c r="G529" s="1137"/>
      <c r="H529" s="1138"/>
      <c r="I529" s="54" t="s">
        <v>688</v>
      </c>
      <c r="J529" s="54"/>
      <c r="K529" s="54"/>
      <c r="L529" s="54"/>
      <c r="M529" s="54"/>
      <c r="N529" s="54"/>
      <c r="O529" s="54"/>
      <c r="P529" s="54"/>
      <c r="Q529" s="54"/>
      <c r="R529" s="54"/>
      <c r="S529" s="54"/>
      <c r="T529" s="54"/>
      <c r="U529" s="54"/>
      <c r="V529" s="54"/>
      <c r="W529" s="54"/>
      <c r="X529" s="54"/>
      <c r="Y529" s="54"/>
      <c r="Z529" s="54"/>
      <c r="AA529" s="54"/>
      <c r="AB529" s="54"/>
      <c r="AC529" s="1118" t="s">
        <v>124</v>
      </c>
      <c r="AD529" s="1115"/>
      <c r="AE529" s="1115"/>
      <c r="AF529" s="1115"/>
      <c r="AG529" s="18" t="s">
        <v>248</v>
      </c>
      <c r="AH529" s="1144" t="s">
        <v>124</v>
      </c>
      <c r="AI529" s="1144"/>
      <c r="AJ529" s="1144"/>
      <c r="AK529" s="1145"/>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6"/>
      <c r="C530" s="1137"/>
      <c r="D530" s="1137"/>
      <c r="E530" s="1137"/>
      <c r="F530" s="1137"/>
      <c r="G530" s="1137"/>
      <c r="H530" s="1138"/>
      <c r="I530" s="7" t="s">
        <v>689</v>
      </c>
      <c r="J530" s="7"/>
      <c r="K530" s="7"/>
      <c r="L530" s="7"/>
      <c r="M530" s="7"/>
      <c r="N530" s="7"/>
      <c r="O530" s="1152" t="s">
        <v>563</v>
      </c>
      <c r="P530" s="1130"/>
      <c r="Q530" s="1130"/>
      <c r="R530" s="1130"/>
      <c r="S530" s="1130"/>
      <c r="T530" s="1130"/>
      <c r="U530" s="1130"/>
      <c r="V530" s="1130"/>
      <c r="W530" s="1130"/>
      <c r="X530" s="1130"/>
      <c r="Y530" s="1130"/>
      <c r="Z530" s="1130"/>
      <c r="AA530" s="1130"/>
      <c r="AC530" s="1118" t="s">
        <v>124</v>
      </c>
      <c r="AD530" s="1115"/>
      <c r="AE530" s="1115"/>
      <c r="AF530" s="1115"/>
      <c r="AG530" s="47" t="s">
        <v>248</v>
      </c>
      <c r="AH530" s="1144" t="s">
        <v>124</v>
      </c>
      <c r="AI530" s="1144"/>
      <c r="AJ530" s="1144"/>
      <c r="AK530" s="1145"/>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6"/>
      <c r="C531" s="1137"/>
      <c r="D531" s="1137"/>
      <c r="E531" s="1137"/>
      <c r="F531" s="1137"/>
      <c r="G531" s="1137"/>
      <c r="H531" s="1138"/>
      <c r="I531" t="s">
        <v>687</v>
      </c>
      <c r="AC531" s="1118" t="s">
        <v>124</v>
      </c>
      <c r="AD531" s="1115"/>
      <c r="AE531" s="1115"/>
      <c r="AF531" s="1115"/>
      <c r="AG531" s="18" t="s">
        <v>248</v>
      </c>
      <c r="AH531" s="1144" t="s">
        <v>124</v>
      </c>
      <c r="AI531" s="1144"/>
      <c r="AJ531" s="1144"/>
      <c r="AK531" s="1145"/>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6"/>
      <c r="C532" s="1137"/>
      <c r="D532" s="1137"/>
      <c r="E532" s="1137"/>
      <c r="F532" s="1137"/>
      <c r="G532" s="1137"/>
      <c r="H532" s="1138"/>
      <c r="I532" s="54" t="s">
        <v>688</v>
      </c>
      <c r="J532" s="54"/>
      <c r="K532" s="54"/>
      <c r="L532" s="54"/>
      <c r="M532" s="54"/>
      <c r="N532" s="54"/>
      <c r="O532" s="54"/>
      <c r="P532" s="54"/>
      <c r="Q532" s="54"/>
      <c r="R532" s="54"/>
      <c r="S532" s="54"/>
      <c r="T532" s="54"/>
      <c r="U532" s="54"/>
      <c r="V532" s="54"/>
      <c r="W532" s="54"/>
      <c r="X532" s="54"/>
      <c r="Y532" s="54"/>
      <c r="Z532" s="54"/>
      <c r="AA532" s="54"/>
      <c r="AB532" s="54"/>
      <c r="AC532" s="1118" t="s">
        <v>124</v>
      </c>
      <c r="AD532" s="1115"/>
      <c r="AE532" s="1115"/>
      <c r="AF532" s="1115"/>
      <c r="AG532" s="47" t="s">
        <v>248</v>
      </c>
      <c r="AH532" s="1144" t="s">
        <v>124</v>
      </c>
      <c r="AI532" s="1144"/>
      <c r="AJ532" s="1144"/>
      <c r="AK532" s="1145"/>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6"/>
      <c r="C533" s="1137"/>
      <c r="D533" s="1137"/>
      <c r="E533" s="1137"/>
      <c r="F533" s="1137"/>
      <c r="G533" s="1137"/>
      <c r="H533" s="1138"/>
      <c r="I533" s="7" t="s">
        <v>736</v>
      </c>
      <c r="J533" s="7"/>
      <c r="K533" s="7"/>
      <c r="L533" s="7"/>
      <c r="M533" s="7"/>
      <c r="N533" s="7"/>
      <c r="O533" s="7"/>
      <c r="P533" s="7"/>
      <c r="Q533" s="7"/>
      <c r="R533" s="7"/>
      <c r="S533" s="7"/>
      <c r="T533" s="7"/>
      <c r="U533" s="7"/>
      <c r="V533" s="7"/>
      <c r="W533" s="7"/>
      <c r="AC533" s="1118">
        <v>11</v>
      </c>
      <c r="AD533" s="1115"/>
      <c r="AE533" s="1115"/>
      <c r="AF533" s="1115"/>
      <c r="AG533" s="47" t="s">
        <v>248</v>
      </c>
      <c r="AH533" s="1144">
        <v>2024</v>
      </c>
      <c r="AI533" s="1144"/>
      <c r="AJ533" s="1144"/>
      <c r="AK533" s="1145"/>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6"/>
      <c r="C534" s="1137"/>
      <c r="D534" s="1137"/>
      <c r="E534" s="1137"/>
      <c r="F534" s="1137"/>
      <c r="G534" s="1137"/>
      <c r="H534" s="1138"/>
      <c r="I534" t="s">
        <v>737</v>
      </c>
      <c r="AC534" s="1118">
        <v>11</v>
      </c>
      <c r="AD534" s="1115"/>
      <c r="AE534" s="1115"/>
      <c r="AF534" s="1115"/>
      <c r="AG534" s="18" t="s">
        <v>248</v>
      </c>
      <c r="AH534" s="1144">
        <v>2024</v>
      </c>
      <c r="AI534" s="1144"/>
      <c r="AJ534" s="1144"/>
      <c r="AK534" s="1145"/>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6"/>
      <c r="C535" s="1137"/>
      <c r="D535" s="1137"/>
      <c r="E535" s="1137"/>
      <c r="F535" s="1137"/>
      <c r="G535" s="1137"/>
      <c r="H535" s="1138"/>
      <c r="I535" t="s">
        <v>738</v>
      </c>
      <c r="AC535" s="1118">
        <v>11</v>
      </c>
      <c r="AD535" s="1115"/>
      <c r="AE535" s="1115"/>
      <c r="AF535" s="1115"/>
      <c r="AG535" s="47" t="s">
        <v>248</v>
      </c>
      <c r="AH535" s="1144">
        <v>2025</v>
      </c>
      <c r="AI535" s="1144"/>
      <c r="AJ535" s="1144"/>
      <c r="AK535" s="1145"/>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6"/>
      <c r="C536" s="1137"/>
      <c r="D536" s="1137"/>
      <c r="E536" s="1137"/>
      <c r="F536" s="1137"/>
      <c r="G536" s="1137"/>
      <c r="H536" s="1138"/>
      <c r="I536" t="s">
        <v>739</v>
      </c>
      <c r="AC536" s="1118">
        <v>11</v>
      </c>
      <c r="AD536" s="1115"/>
      <c r="AE536" s="1115"/>
      <c r="AF536" s="1115"/>
      <c r="AG536" s="47" t="s">
        <v>248</v>
      </c>
      <c r="AH536" s="1144">
        <v>2025</v>
      </c>
      <c r="AI536" s="1144"/>
      <c r="AJ536" s="1144"/>
      <c r="AK536" s="1145"/>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9"/>
      <c r="C537" s="1140"/>
      <c r="D537" s="1140"/>
      <c r="E537" s="1140"/>
      <c r="F537" s="1140"/>
      <c r="G537" s="1140"/>
      <c r="H537" s="1141"/>
      <c r="I537" s="54" t="s">
        <v>1366</v>
      </c>
      <c r="J537" s="54"/>
      <c r="K537" s="54"/>
      <c r="L537" s="54"/>
      <c r="M537" s="54"/>
      <c r="N537" s="54"/>
      <c r="O537" s="54"/>
      <c r="P537" s="54"/>
      <c r="Q537" s="54"/>
      <c r="R537" s="54"/>
      <c r="S537" s="54"/>
      <c r="T537" s="54"/>
      <c r="U537" s="54"/>
      <c r="V537" s="54"/>
      <c r="W537" s="54"/>
      <c r="X537" s="54"/>
      <c r="Y537" s="54"/>
      <c r="Z537" s="54"/>
      <c r="AA537" s="54"/>
      <c r="AB537" s="54"/>
      <c r="AC537" s="1118">
        <v>12</v>
      </c>
      <c r="AD537" s="1115"/>
      <c r="AE537" s="1115"/>
      <c r="AF537" s="1115"/>
      <c r="AG537" s="47" t="s">
        <v>248</v>
      </c>
      <c r="AH537" s="1144">
        <v>2025</v>
      </c>
      <c r="AI537" s="1144"/>
      <c r="AJ537" s="1144"/>
      <c r="AK537" s="1145"/>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9" t="s">
        <v>499</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3" t="s">
        <v>2198</v>
      </c>
      <c r="C546" s="1134"/>
      <c r="D546" s="1134"/>
      <c r="E546" s="1134"/>
      <c r="F546" s="1134"/>
      <c r="G546" s="1134"/>
      <c r="H546" s="1134"/>
      <c r="I546" s="1134"/>
      <c r="J546" s="1134"/>
      <c r="K546" s="1134"/>
      <c r="L546" s="1134"/>
      <c r="M546" s="1148" t="s">
        <v>2172</v>
      </c>
      <c r="N546" s="1148"/>
      <c r="O546" s="1148"/>
      <c r="P546" s="1148"/>
      <c r="Q546" s="1133" t="s">
        <v>441</v>
      </c>
      <c r="R546" s="1134"/>
      <c r="S546" s="1135"/>
      <c r="T546" s="1133" t="s">
        <v>1993</v>
      </c>
      <c r="U546" s="1134"/>
      <c r="V546" s="1135"/>
      <c r="W546" s="1133" t="s">
        <v>741</v>
      </c>
      <c r="X546" s="1134"/>
      <c r="Y546" s="1135"/>
      <c r="Z546" s="1133" t="s">
        <v>1995</v>
      </c>
      <c r="AA546" s="1134"/>
      <c r="AB546" s="1134"/>
      <c r="AC546" s="1134"/>
      <c r="AD546" s="1135"/>
      <c r="AE546" s="1133" t="s">
        <v>1994</v>
      </c>
      <c r="AF546" s="1134"/>
      <c r="AG546" s="1134"/>
      <c r="AH546" s="1135"/>
      <c r="AI546" s="1133" t="s">
        <v>1996</v>
      </c>
      <c r="AJ546" s="1134"/>
      <c r="AK546" s="1134"/>
      <c r="AL546" s="1135"/>
      <c r="AM546" s="1133" t="s">
        <v>742</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6"/>
      <c r="C547" s="1137"/>
      <c r="D547" s="1137"/>
      <c r="E547" s="1137"/>
      <c r="F547" s="1137"/>
      <c r="G547" s="1137"/>
      <c r="H547" s="1137"/>
      <c r="I547" s="1137"/>
      <c r="J547" s="1137"/>
      <c r="K547" s="1137"/>
      <c r="L547" s="1137"/>
      <c r="M547" s="1148"/>
      <c r="N547" s="1148"/>
      <c r="O547" s="1148"/>
      <c r="P547" s="1148"/>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9"/>
      <c r="C548" s="1140"/>
      <c r="D548" s="1140"/>
      <c r="E548" s="1140"/>
      <c r="F548" s="1140"/>
      <c r="G548" s="1140"/>
      <c r="H548" s="1140"/>
      <c r="I548" s="1140"/>
      <c r="J548" s="1140"/>
      <c r="K548" s="1140"/>
      <c r="L548" s="1140"/>
      <c r="M548" s="1148"/>
      <c r="N548" s="1148"/>
      <c r="O548" s="1148"/>
      <c r="P548" s="1148"/>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100" t="s">
        <v>2461</v>
      </c>
      <c r="D549" s="1100"/>
      <c r="E549" s="1100"/>
      <c r="F549" s="1100"/>
      <c r="G549" s="1100"/>
      <c r="H549" s="1100"/>
      <c r="I549" s="1100"/>
      <c r="J549" s="1100"/>
      <c r="K549" s="1100"/>
      <c r="L549" s="1100"/>
      <c r="M549" s="1099" t="s">
        <v>2182</v>
      </c>
      <c r="N549" s="1099"/>
      <c r="O549" s="1099"/>
      <c r="P549" s="1099"/>
      <c r="Q549" s="1102">
        <v>24</v>
      </c>
      <c r="R549" s="1102"/>
      <c r="S549" s="1103"/>
      <c r="T549" s="1101"/>
      <c r="U549" s="1102"/>
      <c r="V549" s="1103"/>
      <c r="W549" s="1439">
        <v>0.08</v>
      </c>
      <c r="X549" s="1440"/>
      <c r="Y549" s="1441"/>
      <c r="Z549" s="1442" t="s">
        <v>2455</v>
      </c>
      <c r="AA549" s="1442"/>
      <c r="AB549" s="1442"/>
      <c r="AC549" s="1442"/>
      <c r="AD549" s="1442"/>
      <c r="AE549" s="1443">
        <v>1</v>
      </c>
      <c r="AF549" s="1444"/>
      <c r="AG549" s="1444"/>
      <c r="AH549" s="1445"/>
      <c r="AI549" s="1436"/>
      <c r="AJ549" s="1437"/>
      <c r="AK549" s="1437"/>
      <c r="AL549" s="1438"/>
      <c r="AM549" s="1218">
        <v>3875447</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100" t="s">
        <v>2422</v>
      </c>
      <c r="D550" s="1100"/>
      <c r="E550" s="1100"/>
      <c r="F550" s="1100"/>
      <c r="G550" s="1100"/>
      <c r="H550" s="1100"/>
      <c r="I550" s="1100"/>
      <c r="J550" s="1100"/>
      <c r="K550" s="1100"/>
      <c r="L550" s="1100"/>
      <c r="M550" s="1099" t="s">
        <v>2182</v>
      </c>
      <c r="N550" s="1099"/>
      <c r="O550" s="1099"/>
      <c r="P550" s="1099"/>
      <c r="Q550" s="1101">
        <v>360</v>
      </c>
      <c r="R550" s="1102"/>
      <c r="S550" s="1103"/>
      <c r="T550" s="1101">
        <v>600</v>
      </c>
      <c r="U550" s="1102"/>
      <c r="V550" s="1103"/>
      <c r="W550" s="1439">
        <v>0.01</v>
      </c>
      <c r="X550" s="1440"/>
      <c r="Y550" s="1441"/>
      <c r="Z550" s="1442" t="s">
        <v>2455</v>
      </c>
      <c r="AA550" s="1442"/>
      <c r="AB550" s="1442"/>
      <c r="AC550" s="1442"/>
      <c r="AD550" s="1442"/>
      <c r="AE550" s="1443">
        <v>2</v>
      </c>
      <c r="AF550" s="1444"/>
      <c r="AG550" s="1444"/>
      <c r="AH550" s="1445"/>
      <c r="AI550" s="1436"/>
      <c r="AJ550" s="1437"/>
      <c r="AK550" s="1437"/>
      <c r="AL550" s="1438"/>
      <c r="AM550" s="1218">
        <v>2952132</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100" t="s">
        <v>2423</v>
      </c>
      <c r="D551" s="1100"/>
      <c r="E551" s="1100"/>
      <c r="F551" s="1100"/>
      <c r="G551" s="1100"/>
      <c r="H551" s="1100"/>
      <c r="I551" s="1100"/>
      <c r="J551" s="1100"/>
      <c r="K551" s="1100"/>
      <c r="L551" s="1100"/>
      <c r="M551" s="1099" t="s">
        <v>2179</v>
      </c>
      <c r="N551" s="1099"/>
      <c r="O551" s="1099"/>
      <c r="P551" s="1099"/>
      <c r="Q551" s="1101"/>
      <c r="R551" s="1102"/>
      <c r="S551" s="1103"/>
      <c r="T551" s="1101"/>
      <c r="U551" s="1102"/>
      <c r="V551" s="1103"/>
      <c r="W551" s="1439"/>
      <c r="X551" s="1440"/>
      <c r="Y551" s="1441"/>
      <c r="Z551" s="1442" t="s">
        <v>1981</v>
      </c>
      <c r="AA551" s="1442"/>
      <c r="AB551" s="1442"/>
      <c r="AC551" s="1442"/>
      <c r="AD551" s="1442"/>
      <c r="AE551" s="1443"/>
      <c r="AF551" s="1444"/>
      <c r="AG551" s="1444"/>
      <c r="AH551" s="1445"/>
      <c r="AI551" s="1436"/>
      <c r="AJ551" s="1437"/>
      <c r="AK551" s="1437"/>
      <c r="AL551" s="1438"/>
      <c r="AM551" s="1218">
        <v>3171758</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100" t="s">
        <v>2424</v>
      </c>
      <c r="D552" s="1100"/>
      <c r="E552" s="1100"/>
      <c r="F552" s="1100"/>
      <c r="G552" s="1100"/>
      <c r="H552" s="1100"/>
      <c r="I552" s="1100"/>
      <c r="J552" s="1100"/>
      <c r="K552" s="1100"/>
      <c r="L552" s="1100"/>
      <c r="M552" s="1099" t="s">
        <v>2174</v>
      </c>
      <c r="N552" s="1099"/>
      <c r="O552" s="1099"/>
      <c r="P552" s="1099"/>
      <c r="Q552" s="1101"/>
      <c r="R552" s="1102"/>
      <c r="S552" s="1103"/>
      <c r="T552" s="1101"/>
      <c r="U552" s="1102"/>
      <c r="V552" s="1103"/>
      <c r="W552" s="1439"/>
      <c r="X552" s="1440"/>
      <c r="Y552" s="1441"/>
      <c r="Z552" s="1442" t="s">
        <v>1981</v>
      </c>
      <c r="AA552" s="1442"/>
      <c r="AB552" s="1442"/>
      <c r="AC552" s="1442"/>
      <c r="AD552" s="1442"/>
      <c r="AE552" s="1443"/>
      <c r="AF552" s="1444"/>
      <c r="AG552" s="1444"/>
      <c r="AH552" s="1445"/>
      <c r="AI552" s="1436"/>
      <c r="AJ552" s="1437"/>
      <c r="AK552" s="1437"/>
      <c r="AL552" s="1438"/>
      <c r="AM552" s="1218">
        <v>113314</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0" t="s">
        <v>2425</v>
      </c>
      <c r="D553" s="1100"/>
      <c r="E553" s="1100"/>
      <c r="F553" s="1100"/>
      <c r="G553" s="1100"/>
      <c r="H553" s="1100"/>
      <c r="I553" s="1100"/>
      <c r="J553" s="1100"/>
      <c r="K553" s="1100"/>
      <c r="L553" s="1100"/>
      <c r="M553" s="1099" t="s">
        <v>2175</v>
      </c>
      <c r="N553" s="1099"/>
      <c r="O553" s="1099"/>
      <c r="P553" s="1099"/>
      <c r="Q553" s="1101"/>
      <c r="R553" s="1102"/>
      <c r="S553" s="1103"/>
      <c r="T553" s="1101"/>
      <c r="U553" s="1102"/>
      <c r="V553" s="1103"/>
      <c r="W553" s="1439"/>
      <c r="X553" s="1440"/>
      <c r="Y553" s="1441"/>
      <c r="Z553" s="1442" t="s">
        <v>1981</v>
      </c>
      <c r="AA553" s="1442"/>
      <c r="AB553" s="1442"/>
      <c r="AC553" s="1442"/>
      <c r="AD553" s="1442"/>
      <c r="AE553" s="1443"/>
      <c r="AF553" s="1444"/>
      <c r="AG553" s="1444"/>
      <c r="AH553" s="1445"/>
      <c r="AI553" s="1436"/>
      <c r="AJ553" s="1437"/>
      <c r="AK553" s="1437"/>
      <c r="AL553" s="1438"/>
      <c r="AM553" s="1218">
        <v>784916</v>
      </c>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100"/>
      <c r="D554" s="1100"/>
      <c r="E554" s="1100"/>
      <c r="F554" s="1100"/>
      <c r="G554" s="1100"/>
      <c r="H554" s="1100"/>
      <c r="I554" s="1100"/>
      <c r="J554" s="1100"/>
      <c r="K554" s="1100"/>
      <c r="L554" s="1100"/>
      <c r="M554" s="1099" t="s">
        <v>1981</v>
      </c>
      <c r="N554" s="1099"/>
      <c r="O554" s="1099"/>
      <c r="P554" s="1099"/>
      <c r="Q554" s="1101"/>
      <c r="R554" s="1102"/>
      <c r="S554" s="1103"/>
      <c r="T554" s="1101"/>
      <c r="U554" s="1102"/>
      <c r="V554" s="1103"/>
      <c r="W554" s="1439"/>
      <c r="X554" s="1440"/>
      <c r="Y554" s="1441"/>
      <c r="Z554" s="1442" t="s">
        <v>1981</v>
      </c>
      <c r="AA554" s="1442"/>
      <c r="AB554" s="1442"/>
      <c r="AC554" s="1442"/>
      <c r="AD554" s="1442"/>
      <c r="AE554" s="1443"/>
      <c r="AF554" s="1444"/>
      <c r="AG554" s="1444"/>
      <c r="AH554" s="1445"/>
      <c r="AI554" s="1436"/>
      <c r="AJ554" s="1437"/>
      <c r="AK554" s="1437"/>
      <c r="AL554" s="1438"/>
      <c r="AM554" s="1218"/>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100"/>
      <c r="D555" s="1100"/>
      <c r="E555" s="1100"/>
      <c r="F555" s="1100"/>
      <c r="G555" s="1100"/>
      <c r="H555" s="1100"/>
      <c r="I555" s="1100"/>
      <c r="J555" s="1100"/>
      <c r="K555" s="1100"/>
      <c r="L555" s="1100"/>
      <c r="M555" s="1099" t="s">
        <v>1981</v>
      </c>
      <c r="N555" s="1099"/>
      <c r="O555" s="1099"/>
      <c r="P555" s="1099"/>
      <c r="Q555" s="1101"/>
      <c r="R555" s="1102"/>
      <c r="S555" s="1103"/>
      <c r="T555" s="1101"/>
      <c r="U555" s="1102"/>
      <c r="V555" s="1103"/>
      <c r="W555" s="1439"/>
      <c r="X555" s="1440"/>
      <c r="Y555" s="1441"/>
      <c r="Z555" s="1442" t="s">
        <v>1981</v>
      </c>
      <c r="AA555" s="1442"/>
      <c r="AB555" s="1442"/>
      <c r="AC555" s="1442"/>
      <c r="AD555" s="1442"/>
      <c r="AE555" s="1443"/>
      <c r="AF555" s="1444"/>
      <c r="AG555" s="1444"/>
      <c r="AH555" s="1445"/>
      <c r="AI555" s="1436"/>
      <c r="AJ555" s="1437"/>
      <c r="AK555" s="1437"/>
      <c r="AL555" s="1438"/>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100"/>
      <c r="D556" s="1100"/>
      <c r="E556" s="1100"/>
      <c r="F556" s="1100"/>
      <c r="G556" s="1100"/>
      <c r="H556" s="1100"/>
      <c r="I556" s="1100"/>
      <c r="J556" s="1100"/>
      <c r="K556" s="1100"/>
      <c r="L556" s="1100"/>
      <c r="M556" s="1099" t="s">
        <v>1981</v>
      </c>
      <c r="N556" s="1099"/>
      <c r="O556" s="1099"/>
      <c r="P556" s="1099"/>
      <c r="Q556" s="1101"/>
      <c r="R556" s="1102"/>
      <c r="S556" s="1103"/>
      <c r="T556" s="1101"/>
      <c r="U556" s="1102"/>
      <c r="V556" s="1103"/>
      <c r="W556" s="1439"/>
      <c r="X556" s="1440"/>
      <c r="Y556" s="1441"/>
      <c r="Z556" s="1442" t="s">
        <v>1981</v>
      </c>
      <c r="AA556" s="1442"/>
      <c r="AB556" s="1442"/>
      <c r="AC556" s="1442"/>
      <c r="AD556" s="1442"/>
      <c r="AE556" s="1443"/>
      <c r="AF556" s="1444"/>
      <c r="AG556" s="1444"/>
      <c r="AH556" s="1445"/>
      <c r="AI556" s="1436"/>
      <c r="AJ556" s="1437"/>
      <c r="AK556" s="1437"/>
      <c r="AL556" s="1438"/>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100"/>
      <c r="D557" s="1100"/>
      <c r="E557" s="1100"/>
      <c r="F557" s="1100"/>
      <c r="G557" s="1100"/>
      <c r="H557" s="1100"/>
      <c r="I557" s="1100"/>
      <c r="J557" s="1100"/>
      <c r="K557" s="1100"/>
      <c r="L557" s="1100"/>
      <c r="M557" s="1099" t="s">
        <v>1981</v>
      </c>
      <c r="N557" s="1099"/>
      <c r="O557" s="1099"/>
      <c r="P557" s="1099"/>
      <c r="Q557" s="1101"/>
      <c r="R557" s="1102"/>
      <c r="S557" s="1103"/>
      <c r="T557" s="1101"/>
      <c r="U557" s="1102"/>
      <c r="V557" s="1103"/>
      <c r="W557" s="1439"/>
      <c r="X557" s="1440"/>
      <c r="Y557" s="1441"/>
      <c r="Z557" s="1442" t="s">
        <v>1981</v>
      </c>
      <c r="AA557" s="1442"/>
      <c r="AB557" s="1442"/>
      <c r="AC557" s="1442"/>
      <c r="AD557" s="1442"/>
      <c r="AE557" s="1443"/>
      <c r="AF557" s="1444"/>
      <c r="AG557" s="1444"/>
      <c r="AH557" s="1445"/>
      <c r="AI557" s="1436"/>
      <c r="AJ557" s="1437"/>
      <c r="AK557" s="1437"/>
      <c r="AL557" s="1438"/>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0"/>
      <c r="D558" s="1100"/>
      <c r="E558" s="1100"/>
      <c r="F558" s="1100"/>
      <c r="G558" s="1100"/>
      <c r="H558" s="1100"/>
      <c r="I558" s="1100"/>
      <c r="J558" s="1100"/>
      <c r="K558" s="1100"/>
      <c r="L558" s="1100"/>
      <c r="M558" s="1099" t="s">
        <v>1981</v>
      </c>
      <c r="N558" s="1099"/>
      <c r="O558" s="1099"/>
      <c r="P558" s="1099"/>
      <c r="Q558" s="1101"/>
      <c r="R558" s="1102"/>
      <c r="S558" s="1103"/>
      <c r="T558" s="1101"/>
      <c r="U558" s="1102"/>
      <c r="V558" s="1103"/>
      <c r="W558" s="1439"/>
      <c r="X558" s="1440"/>
      <c r="Y558" s="1441"/>
      <c r="Z558" s="1442" t="s">
        <v>1981</v>
      </c>
      <c r="AA558" s="1442"/>
      <c r="AB558" s="1442"/>
      <c r="AC558" s="1442"/>
      <c r="AD558" s="1442"/>
      <c r="AE558" s="1443"/>
      <c r="AF558" s="1444"/>
      <c r="AG558" s="1444"/>
      <c r="AH558" s="1445"/>
      <c r="AI558" s="1436"/>
      <c r="AJ558" s="1437"/>
      <c r="AK558" s="1437"/>
      <c r="AL558" s="1438"/>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0"/>
      <c r="D559" s="1100"/>
      <c r="E559" s="1100"/>
      <c r="F559" s="1100"/>
      <c r="G559" s="1100"/>
      <c r="H559" s="1100"/>
      <c r="I559" s="1100"/>
      <c r="J559" s="1100"/>
      <c r="K559" s="1100"/>
      <c r="L559" s="1100"/>
      <c r="M559" s="1099" t="s">
        <v>1981</v>
      </c>
      <c r="N559" s="1099"/>
      <c r="O559" s="1099"/>
      <c r="P559" s="1099"/>
      <c r="Q559" s="1101"/>
      <c r="R559" s="1102"/>
      <c r="S559" s="1103"/>
      <c r="T559" s="1101"/>
      <c r="U559" s="1102"/>
      <c r="V559" s="1103"/>
      <c r="W559" s="1439"/>
      <c r="X559" s="1440"/>
      <c r="Y559" s="1441"/>
      <c r="Z559" s="1442" t="s">
        <v>1981</v>
      </c>
      <c r="AA559" s="1442"/>
      <c r="AB559" s="1442"/>
      <c r="AC559" s="1442"/>
      <c r="AD559" s="1442"/>
      <c r="AE559" s="1443"/>
      <c r="AF559" s="1444"/>
      <c r="AG559" s="1444"/>
      <c r="AH559" s="1445"/>
      <c r="AI559" s="1436"/>
      <c r="AJ559" s="1437"/>
      <c r="AK559" s="1437"/>
      <c r="AL559" s="1438"/>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0"/>
      <c r="D560" s="1100"/>
      <c r="E560" s="1100"/>
      <c r="F560" s="1100"/>
      <c r="G560" s="1100"/>
      <c r="H560" s="1100"/>
      <c r="I560" s="1100"/>
      <c r="J560" s="1100"/>
      <c r="K560" s="1100"/>
      <c r="L560" s="1100"/>
      <c r="M560" s="1099" t="s">
        <v>1981</v>
      </c>
      <c r="N560" s="1099"/>
      <c r="O560" s="1099"/>
      <c r="P560" s="1099"/>
      <c r="Q560" s="1101"/>
      <c r="R560" s="1102"/>
      <c r="S560" s="1103"/>
      <c r="T560" s="1101"/>
      <c r="U560" s="1102"/>
      <c r="V560" s="1103"/>
      <c r="W560" s="1439"/>
      <c r="X560" s="1440"/>
      <c r="Y560" s="1441"/>
      <c r="Z560" s="1442" t="s">
        <v>1981</v>
      </c>
      <c r="AA560" s="1442"/>
      <c r="AB560" s="1442"/>
      <c r="AC560" s="1442"/>
      <c r="AD560" s="1442"/>
      <c r="AE560" s="1443"/>
      <c r="AF560" s="1444"/>
      <c r="AG560" s="1444"/>
      <c r="AH560" s="1445"/>
      <c r="AI560" s="1436"/>
      <c r="AJ560" s="1437"/>
      <c r="AK560" s="1437"/>
      <c r="AL560" s="1438"/>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4" t="s">
        <v>358</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9">
        <f>SUM(AM549:AS560)</f>
        <v>10897567</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187" t="str">
        <f>C549</f>
        <v>Citibank Construction Loan</v>
      </c>
      <c r="H563" s="1187"/>
      <c r="I563" s="1187"/>
      <c r="J563" s="1187"/>
      <c r="K563" s="1187"/>
      <c r="L563" s="1187"/>
      <c r="M563" s="1187"/>
      <c r="N563" s="1187"/>
      <c r="O563" s="1187"/>
      <c r="P563" s="1187"/>
      <c r="Q563" s="1187"/>
      <c r="R563" s="1187"/>
      <c r="S563" s="12"/>
      <c r="T563" s="61" t="s">
        <v>902</v>
      </c>
      <c r="U563" t="s">
        <v>82</v>
      </c>
      <c r="Z563" s="1187" t="str">
        <f>C550</f>
        <v>USDA 515 Loans</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057" t="s">
        <v>2456</v>
      </c>
      <c r="H564" s="1057"/>
      <c r="I564" s="1057"/>
      <c r="J564" s="1057"/>
      <c r="K564" s="1057"/>
      <c r="L564" s="1057"/>
      <c r="M564" s="1057"/>
      <c r="N564" s="1057"/>
      <c r="O564" s="1057"/>
      <c r="P564" s="1057"/>
      <c r="Q564" s="1057"/>
      <c r="R564" s="1057"/>
      <c r="S564" s="12"/>
      <c r="T564" s="4"/>
      <c r="U564" t="s">
        <v>373</v>
      </c>
      <c r="Z564" s="1057" t="s">
        <v>2444</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057" t="s">
        <v>2457</v>
      </c>
      <c r="H565" s="1057"/>
      <c r="I565" s="1057"/>
      <c r="J565" s="1057"/>
      <c r="K565" s="1057"/>
      <c r="L565" s="1057"/>
      <c r="M565" s="1057"/>
      <c r="N565" s="1057"/>
      <c r="O565" s="1057"/>
      <c r="P565" s="1057"/>
      <c r="Q565" s="1057"/>
      <c r="R565" s="1057"/>
      <c r="T565" s="4"/>
      <c r="U565" t="s">
        <v>431</v>
      </c>
      <c r="Z565" s="1055" t="s">
        <v>2445</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057" t="s">
        <v>2458</v>
      </c>
      <c r="H566" s="1057"/>
      <c r="I566" s="1057"/>
      <c r="J566" s="1057"/>
      <c r="K566" s="1057"/>
      <c r="L566" s="1057"/>
      <c r="M566" s="1057"/>
      <c r="N566" s="1057"/>
      <c r="O566" s="1057"/>
      <c r="P566" s="1057"/>
      <c r="Q566" s="1057"/>
      <c r="R566" s="1057"/>
      <c r="S566" s="12"/>
      <c r="T566" s="4"/>
      <c r="U566" t="s">
        <v>834</v>
      </c>
      <c r="Z566" s="1055" t="s">
        <v>2446</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062" t="s">
        <v>2459</v>
      </c>
      <c r="H567" s="1059"/>
      <c r="I567" s="1059"/>
      <c r="J567" s="1059"/>
      <c r="K567" s="1059"/>
      <c r="L567" s="1059"/>
      <c r="O567" s="42" t="s">
        <v>819</v>
      </c>
      <c r="P567" s="1318"/>
      <c r="Q567" s="1318"/>
      <c r="R567" s="1318"/>
      <c r="S567" s="14"/>
      <c r="T567" s="4"/>
      <c r="U567" t="s">
        <v>651</v>
      </c>
      <c r="Z567" s="1059" t="s">
        <v>2447</v>
      </c>
      <c r="AA567" s="1059"/>
      <c r="AB567" s="1059"/>
      <c r="AC567" s="1059"/>
      <c r="AD567" s="1059"/>
      <c r="AE567" s="1059"/>
      <c r="AH567" s="42" t="s">
        <v>819</v>
      </c>
      <c r="AI567" s="1318"/>
      <c r="AJ567" s="1318"/>
      <c r="AK567" s="131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057" t="s">
        <v>2426</v>
      </c>
      <c r="I568" s="1057"/>
      <c r="J568" s="1057"/>
      <c r="K568" s="1057"/>
      <c r="L568" s="1057"/>
      <c r="M568" s="1057"/>
      <c r="N568" s="1057"/>
      <c r="O568" s="1057"/>
      <c r="P568" s="1057"/>
      <c r="Q568" s="1057"/>
      <c r="R568" s="1057"/>
      <c r="S568" s="12"/>
      <c r="T568" s="4"/>
      <c r="U568" t="s">
        <v>835</v>
      </c>
      <c r="AA568" s="1057" t="s">
        <v>2432</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17" t="s">
        <v>108</v>
      </c>
      <c r="O569" s="1117"/>
      <c r="T569" s="4"/>
      <c r="U569" t="s">
        <v>837</v>
      </c>
      <c r="AG569" s="1117" t="s">
        <v>108</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187" t="str">
        <f>C551</f>
        <v>Investor's Equity</v>
      </c>
      <c r="H571" s="1187"/>
      <c r="I571" s="1187"/>
      <c r="J571" s="1187"/>
      <c r="K571" s="1187"/>
      <c r="L571" s="1187"/>
      <c r="M571" s="1187"/>
      <c r="N571" s="1187"/>
      <c r="O571" s="1187"/>
      <c r="P571" s="1187"/>
      <c r="Q571" s="1187"/>
      <c r="R571" s="1187"/>
      <c r="T571" s="61" t="s">
        <v>432</v>
      </c>
      <c r="U571" t="s">
        <v>82</v>
      </c>
      <c r="Z571" s="1187" t="str">
        <f>C552</f>
        <v>Deferred Operating Reserves</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057" t="s">
        <v>2448</v>
      </c>
      <c r="H572" s="1057"/>
      <c r="I572" s="1057"/>
      <c r="J572" s="1057"/>
      <c r="K572" s="1057"/>
      <c r="L572" s="1057"/>
      <c r="M572" s="1057"/>
      <c r="N572" s="1057"/>
      <c r="O572" s="1057"/>
      <c r="P572" s="1057"/>
      <c r="Q572" s="1057"/>
      <c r="R572" s="1057"/>
      <c r="T572" s="4"/>
      <c r="U572" t="s">
        <v>373</v>
      </c>
      <c r="Z572" s="1057" t="s">
        <v>2333</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055" t="s">
        <v>2380</v>
      </c>
      <c r="H573" s="1055"/>
      <c r="I573" s="1055"/>
      <c r="J573" s="1055"/>
      <c r="K573" s="1055"/>
      <c r="L573" s="1055"/>
      <c r="M573" s="1055"/>
      <c r="N573" s="1055"/>
      <c r="O573" s="1055"/>
      <c r="P573" s="1055"/>
      <c r="Q573" s="1055"/>
      <c r="R573" s="1055"/>
      <c r="T573" s="4"/>
      <c r="U573" t="s">
        <v>431</v>
      </c>
      <c r="Z573" s="1055" t="s">
        <v>2449</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055" t="s">
        <v>2381</v>
      </c>
      <c r="H574" s="1055"/>
      <c r="I574" s="1055"/>
      <c r="J574" s="1055"/>
      <c r="K574" s="1055"/>
      <c r="L574" s="1055"/>
      <c r="M574" s="1055"/>
      <c r="N574" s="1055"/>
      <c r="O574" s="1055"/>
      <c r="P574" s="1055"/>
      <c r="Q574" s="1055"/>
      <c r="R574" s="1055"/>
      <c r="T574" s="4"/>
      <c r="U574" t="s">
        <v>834</v>
      </c>
      <c r="Z574" s="1055" t="s">
        <v>2330</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059" t="s">
        <v>2382</v>
      </c>
      <c r="H575" s="1059"/>
      <c r="I575" s="1059"/>
      <c r="J575" s="1059"/>
      <c r="K575" s="1059"/>
      <c r="L575" s="1059"/>
      <c r="O575" s="42" t="s">
        <v>819</v>
      </c>
      <c r="P575" s="1318"/>
      <c r="Q575" s="1318"/>
      <c r="R575" s="1318"/>
      <c r="T575" s="4"/>
      <c r="U575" t="s">
        <v>651</v>
      </c>
      <c r="Z575" s="1059" t="s">
        <v>2335</v>
      </c>
      <c r="AA575" s="1059"/>
      <c r="AB575" s="1059"/>
      <c r="AC575" s="1059"/>
      <c r="AD575" s="1059"/>
      <c r="AE575" s="1059"/>
      <c r="AH575" s="42" t="s">
        <v>819</v>
      </c>
      <c r="AI575" s="1318">
        <v>302</v>
      </c>
      <c r="AJ575" s="1318"/>
      <c r="AK575" s="131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057" t="s">
        <v>2423</v>
      </c>
      <c r="I576" s="1057"/>
      <c r="J576" s="1057"/>
      <c r="K576" s="1057"/>
      <c r="L576" s="1057"/>
      <c r="M576" s="1057"/>
      <c r="N576" s="1057"/>
      <c r="O576" s="1057"/>
      <c r="P576" s="1057"/>
      <c r="Q576" s="1057"/>
      <c r="R576" s="1057"/>
      <c r="T576" s="4"/>
      <c r="U576" t="s">
        <v>835</v>
      </c>
      <c r="AA576" s="1057" t="s">
        <v>2424</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144" t="s">
        <v>108</v>
      </c>
      <c r="O577" s="1144"/>
      <c r="T577" s="4"/>
      <c r="U577" t="s">
        <v>837</v>
      </c>
      <c r="AG577" s="1144" t="s">
        <v>108</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7" t="str">
        <f>C553</f>
        <v>Deferred Developer Fee</v>
      </c>
      <c r="H579" s="1187"/>
      <c r="I579" s="1187"/>
      <c r="J579" s="1187"/>
      <c r="K579" s="1187"/>
      <c r="L579" s="1187"/>
      <c r="M579" s="1187"/>
      <c r="N579" s="1187"/>
      <c r="O579" s="1187"/>
      <c r="P579" s="1187"/>
      <c r="Q579" s="1187"/>
      <c r="R579" s="1187"/>
      <c r="T579" s="61" t="s">
        <v>435</v>
      </c>
      <c r="U579" t="s">
        <v>82</v>
      </c>
      <c r="Z579" s="1187">
        <f>C554</f>
        <v>0</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057" t="s">
        <v>2343</v>
      </c>
      <c r="H580" s="1057"/>
      <c r="I580" s="1057"/>
      <c r="J580" s="1057"/>
      <c r="K580" s="1057"/>
      <c r="L580" s="1057"/>
      <c r="M580" s="1057"/>
      <c r="N580" s="1057"/>
      <c r="O580" s="1057"/>
      <c r="P580" s="1057"/>
      <c r="Q580" s="1057"/>
      <c r="R580" s="1057"/>
      <c r="T580" s="4"/>
      <c r="U580" t="s">
        <v>373</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057" t="s">
        <v>2344</v>
      </c>
      <c r="H581" s="1057"/>
      <c r="I581" s="1057"/>
      <c r="J581" s="1057"/>
      <c r="K581" s="1057"/>
      <c r="L581" s="1057"/>
      <c r="M581" s="1057"/>
      <c r="N581" s="1057"/>
      <c r="O581" s="1057"/>
      <c r="P581" s="1057"/>
      <c r="Q581" s="1057"/>
      <c r="R581" s="1057"/>
      <c r="T581" s="4"/>
      <c r="U581" t="s">
        <v>431</v>
      </c>
      <c r="Z581" s="1055"/>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057" t="s">
        <v>2450</v>
      </c>
      <c r="H582" s="1057"/>
      <c r="I582" s="1057"/>
      <c r="J582" s="1057"/>
      <c r="K582" s="1057"/>
      <c r="L582" s="1057"/>
      <c r="M582" s="1057"/>
      <c r="N582" s="1057"/>
      <c r="O582" s="1057"/>
      <c r="P582" s="1057"/>
      <c r="Q582" s="1057"/>
      <c r="R582" s="1057"/>
      <c r="T582" s="4"/>
      <c r="U582" t="s">
        <v>834</v>
      </c>
      <c r="Z582" s="1055"/>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059" t="s">
        <v>2346</v>
      </c>
      <c r="H583" s="1059"/>
      <c r="I583" s="1059"/>
      <c r="J583" s="1059"/>
      <c r="K583" s="1059"/>
      <c r="L583" s="1059"/>
      <c r="O583" s="42" t="s">
        <v>819</v>
      </c>
      <c r="P583" s="1318"/>
      <c r="Q583" s="1318"/>
      <c r="R583" s="1318"/>
      <c r="T583" s="4"/>
      <c r="U583" t="s">
        <v>651</v>
      </c>
      <c r="Z583" s="1059"/>
      <c r="AA583" s="1059"/>
      <c r="AB583" s="1059"/>
      <c r="AC583" s="1059"/>
      <c r="AD583" s="1059"/>
      <c r="AE583" s="1059"/>
      <c r="AH583" s="42" t="s">
        <v>819</v>
      </c>
      <c r="AI583" s="1318"/>
      <c r="AJ583" s="1318"/>
      <c r="AK583" s="131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057" t="s">
        <v>2425</v>
      </c>
      <c r="I584" s="1057"/>
      <c r="J584" s="1057"/>
      <c r="K584" s="1057"/>
      <c r="L584" s="1057"/>
      <c r="M584" s="1057"/>
      <c r="N584" s="1057"/>
      <c r="O584" s="1057"/>
      <c r="P584" s="1057"/>
      <c r="Q584" s="1057"/>
      <c r="R584" s="1057"/>
      <c r="T584" s="4"/>
      <c r="U584" t="s">
        <v>835</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144" t="s">
        <v>108</v>
      </c>
      <c r="O585" s="1144"/>
      <c r="T585" s="4"/>
      <c r="U585" t="s">
        <v>837</v>
      </c>
      <c r="AG585" s="1144" t="s">
        <v>483</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187">
        <f>C555</f>
        <v>0</v>
      </c>
      <c r="H587" s="1187"/>
      <c r="I587" s="1187"/>
      <c r="J587" s="1187"/>
      <c r="K587" s="1187"/>
      <c r="L587" s="1187"/>
      <c r="M587" s="1187"/>
      <c r="N587" s="1187"/>
      <c r="O587" s="1187"/>
      <c r="P587" s="1187"/>
      <c r="Q587" s="1187"/>
      <c r="R587" s="1187"/>
      <c r="T587" s="61" t="s">
        <v>744</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057"/>
      <c r="H588" s="1057"/>
      <c r="I588" s="1057"/>
      <c r="J588" s="1057"/>
      <c r="K588" s="1057"/>
      <c r="L588" s="1057"/>
      <c r="M588" s="1057"/>
      <c r="N588" s="1057"/>
      <c r="O588" s="1057"/>
      <c r="P588" s="1057"/>
      <c r="Q588" s="1057"/>
      <c r="R588" s="1057"/>
      <c r="T588" s="4"/>
      <c r="U588" t="s">
        <v>373</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7"/>
      <c r="H589" s="1057"/>
      <c r="I589" s="1057"/>
      <c r="J589" s="1057"/>
      <c r="K589" s="1057"/>
      <c r="L589" s="1057"/>
      <c r="M589" s="1057"/>
      <c r="N589" s="1057"/>
      <c r="O589" s="1057"/>
      <c r="P589" s="1057"/>
      <c r="Q589" s="1057"/>
      <c r="R589" s="1057"/>
      <c r="S589"/>
      <c r="T589" s="4"/>
      <c r="U589" t="s">
        <v>431</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057"/>
      <c r="H590" s="1057"/>
      <c r="I590" s="1057"/>
      <c r="J590" s="1057"/>
      <c r="K590" s="1057"/>
      <c r="L590" s="1057"/>
      <c r="M590" s="1057"/>
      <c r="N590" s="1057"/>
      <c r="O590" s="1057"/>
      <c r="P590" s="1057"/>
      <c r="Q590" s="1057"/>
      <c r="R590" s="1057"/>
      <c r="S590"/>
      <c r="T590" s="4"/>
      <c r="U590" t="s">
        <v>834</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059"/>
      <c r="H591" s="1059"/>
      <c r="I591" s="1059"/>
      <c r="J591" s="1059"/>
      <c r="K591" s="1059"/>
      <c r="L591" s="1059"/>
      <c r="M591"/>
      <c r="N591"/>
      <c r="O591" s="42" t="s">
        <v>819</v>
      </c>
      <c r="P591" s="1318"/>
      <c r="Q591" s="1318"/>
      <c r="R591" s="1318"/>
      <c r="S591"/>
      <c r="T591" s="4"/>
      <c r="U591" t="s">
        <v>651</v>
      </c>
      <c r="V591"/>
      <c r="W591"/>
      <c r="X591"/>
      <c r="Y591"/>
      <c r="Z591" s="1059"/>
      <c r="AA591" s="1059"/>
      <c r="AB591" s="1059"/>
      <c r="AC591" s="1059"/>
      <c r="AD591" s="1059"/>
      <c r="AE591" s="1059"/>
      <c r="AF591"/>
      <c r="AG591"/>
      <c r="AH591" s="42" t="s">
        <v>819</v>
      </c>
      <c r="AI591" s="1318"/>
      <c r="AJ591" s="1318"/>
      <c r="AK591" s="1318"/>
      <c r="AL591"/>
      <c r="AZ591" s="5" t="s">
        <v>442</v>
      </c>
      <c r="BA591" s="41"/>
      <c r="BB591" s="41"/>
      <c r="BC591" s="41"/>
      <c r="BD591" s="41"/>
      <c r="BE591" s="214" t="s">
        <v>352</v>
      </c>
      <c r="BF591" s="215"/>
      <c r="BG591" s="1070"/>
      <c r="BH591" s="1073"/>
      <c r="BI591" s="214" t="s">
        <v>353</v>
      </c>
      <c r="BJ591" s="215"/>
      <c r="BK591" s="1070"/>
      <c r="BL591" s="1073"/>
      <c r="BN591" s="1070">
        <f t="shared" ref="BN591" si="1">IF(B695="SRO/Studio",G695,0)</f>
        <v>0</v>
      </c>
      <c r="BO591" s="1071"/>
      <c r="BP591" s="1071"/>
      <c r="BQ591" s="1071"/>
      <c r="BR591" s="1072"/>
      <c r="BS591" s="1070">
        <f t="shared" ref="BS591" si="2">IF(B695="1 Bedroom",G695,0)</f>
        <v>5</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057"/>
      <c r="I592" s="1057"/>
      <c r="J592" s="1057"/>
      <c r="K592" s="1057"/>
      <c r="L592" s="1057"/>
      <c r="M592" s="1057"/>
      <c r="N592" s="1057"/>
      <c r="O592" s="1057"/>
      <c r="P592" s="1057"/>
      <c r="Q592" s="1057"/>
      <c r="R592" s="1057"/>
      <c r="S592"/>
      <c r="T592" s="4"/>
      <c r="U592" t="s">
        <v>835</v>
      </c>
      <c r="V592"/>
      <c r="W592"/>
      <c r="X592"/>
      <c r="Y592"/>
      <c r="Z592"/>
      <c r="AA592" s="1057"/>
      <c r="AB592" s="1057"/>
      <c r="AC592" s="1057"/>
      <c r="AD592" s="1057"/>
      <c r="AE592" s="1057"/>
      <c r="AF592" s="1057"/>
      <c r="AG592" s="1057"/>
      <c r="AH592" s="1057"/>
      <c r="AI592" s="1057"/>
      <c r="AJ592" s="1057"/>
      <c r="AK592" s="1057"/>
      <c r="AL592"/>
      <c r="AZ592" s="5" t="s">
        <v>443</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5</v>
      </c>
      <c r="BL592" s="1073"/>
      <c r="BN592" s="1070">
        <f t="shared" ref="BN592:BN625" si="9">IF(B696="SRO/Studio",G696,0)</f>
        <v>0</v>
      </c>
      <c r="BO592" s="1071"/>
      <c r="BP592" s="1071"/>
      <c r="BQ592" s="1071"/>
      <c r="BR592" s="1072"/>
      <c r="BS592" s="1070">
        <f t="shared" ref="BS592:BS625" si="10">IF(B696="1 Bedroom",G696,0)</f>
        <v>5</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5</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837</v>
      </c>
      <c r="C593"/>
      <c r="D593"/>
      <c r="E593"/>
      <c r="F593"/>
      <c r="G593"/>
      <c r="H593"/>
      <c r="I593"/>
      <c r="J593"/>
      <c r="K593"/>
      <c r="L593"/>
      <c r="M593"/>
      <c r="N593" s="1144" t="s">
        <v>483</v>
      </c>
      <c r="O593" s="1144"/>
      <c r="P593"/>
      <c r="Q593"/>
      <c r="R593"/>
      <c r="S593"/>
      <c r="T593" s="4"/>
      <c r="U593" t="s">
        <v>837</v>
      </c>
      <c r="V593"/>
      <c r="W593"/>
      <c r="X593"/>
      <c r="Y593"/>
      <c r="Z593"/>
      <c r="AA593"/>
      <c r="AB593"/>
      <c r="AC593"/>
      <c r="AD593"/>
      <c r="AE593"/>
      <c r="AF593"/>
      <c r="AG593" s="1144" t="s">
        <v>483</v>
      </c>
      <c r="AH593" s="1144"/>
      <c r="AI593"/>
      <c r="AJ593"/>
      <c r="AK593"/>
      <c r="AL593"/>
      <c r="AZ593" s="5" t="s">
        <v>781</v>
      </c>
      <c r="BA593" s="41"/>
      <c r="BB593" s="41"/>
      <c r="BC593" s="41"/>
      <c r="BD593" s="41"/>
      <c r="BE593" s="1076">
        <f t="shared" ref="BE593:BE615" si="15">IF(AND(AH696&lt;=0.5,AH696&gt;=0.36),1,0)</f>
        <v>1</v>
      </c>
      <c r="BF593" s="1077"/>
      <c r="BG593" s="1070">
        <f t="shared" si="7"/>
        <v>5</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22</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5" customHeight="1">
      <c r="AZ594" s="5" t="s">
        <v>782</v>
      </c>
      <c r="BA594" s="41"/>
      <c r="BB594" s="41"/>
      <c r="BC594" s="41"/>
      <c r="BD594" s="41"/>
      <c r="BE594" s="1076">
        <f t="shared" si="15"/>
        <v>1</v>
      </c>
      <c r="BF594" s="1077"/>
      <c r="BG594" s="1070">
        <f t="shared" si="7"/>
        <v>22</v>
      </c>
      <c r="BH594" s="1073"/>
      <c r="BI594" s="1076">
        <f t="shared" si="16"/>
        <v>0</v>
      </c>
      <c r="BJ594" s="1077"/>
      <c r="BK594" s="1070">
        <f t="shared" si="8"/>
        <v>0</v>
      </c>
      <c r="BL594" s="1073"/>
      <c r="BN594" s="1070">
        <f t="shared" si="9"/>
        <v>0</v>
      </c>
      <c r="BO594" s="1071"/>
      <c r="BP594" s="1071"/>
      <c r="BQ594" s="1071"/>
      <c r="BR594" s="1072"/>
      <c r="BS594" s="1070">
        <f t="shared" si="10"/>
        <v>5</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5" customHeight="1">
      <c r="A595" s="61" t="s">
        <v>547</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783</v>
      </c>
      <c r="BA595" s="41"/>
      <c r="BB595" s="41"/>
      <c r="BC595" s="41"/>
      <c r="BD595" s="41"/>
      <c r="BE595" s="1076">
        <f t="shared" si="15"/>
        <v>0</v>
      </c>
      <c r="BF595" s="1077"/>
      <c r="BG595" s="1070">
        <f t="shared" si="7"/>
        <v>0</v>
      </c>
      <c r="BH595" s="1073"/>
      <c r="BI595" s="1076">
        <f t="shared" si="16"/>
        <v>0</v>
      </c>
      <c r="BJ595" s="1077"/>
      <c r="BK595" s="1070">
        <f t="shared" si="8"/>
        <v>0</v>
      </c>
      <c r="BL595" s="1073"/>
      <c r="BN595" s="1070">
        <f t="shared" si="9"/>
        <v>0</v>
      </c>
      <c r="BO595" s="1071"/>
      <c r="BP595" s="1071"/>
      <c r="BQ595" s="1071"/>
      <c r="BR595" s="1072"/>
      <c r="BS595" s="1070">
        <f t="shared" si="10"/>
        <v>6</v>
      </c>
      <c r="BT595" s="1071"/>
      <c r="BU595" s="1071"/>
      <c r="BV595" s="1071"/>
      <c r="BW595" s="1073"/>
      <c r="BX595" s="1070">
        <f t="shared" si="11"/>
        <v>0</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5" customHeight="1">
      <c r="A596" s="4"/>
      <c r="B596" t="s">
        <v>373</v>
      </c>
      <c r="G596" s="1057"/>
      <c r="H596" s="1057"/>
      <c r="I596" s="1057"/>
      <c r="J596" s="1057"/>
      <c r="K596" s="1057"/>
      <c r="L596" s="1057"/>
      <c r="M596" s="1057"/>
      <c r="N596" s="1057"/>
      <c r="O596" s="1057"/>
      <c r="P596" s="1057"/>
      <c r="Q596" s="1057"/>
      <c r="R596" s="1057"/>
      <c r="T596" s="4"/>
      <c r="U596" t="s">
        <v>373</v>
      </c>
      <c r="Z596" s="1057"/>
      <c r="AA596" s="1057"/>
      <c r="AB596" s="1057"/>
      <c r="AC596" s="1057"/>
      <c r="AD596" s="1057"/>
      <c r="AE596" s="1057"/>
      <c r="AF596" s="1057"/>
      <c r="AG596" s="1057"/>
      <c r="AH596" s="1057"/>
      <c r="AI596" s="1057"/>
      <c r="AJ596" s="1057"/>
      <c r="AK596" s="1057"/>
      <c r="AZ596" s="5" t="s">
        <v>345</v>
      </c>
      <c r="BA596" s="41"/>
      <c r="BB596" s="41"/>
      <c r="BC596" s="41"/>
      <c r="BD596" s="41"/>
      <c r="BE596" s="1076">
        <f t="shared" si="15"/>
        <v>0</v>
      </c>
      <c r="BF596" s="1077"/>
      <c r="BG596" s="1070">
        <f t="shared" si="7"/>
        <v>0</v>
      </c>
      <c r="BH596" s="1073"/>
      <c r="BI596" s="1076">
        <f t="shared" si="16"/>
        <v>0</v>
      </c>
      <c r="BJ596" s="1077"/>
      <c r="BK596" s="1070">
        <f t="shared" si="8"/>
        <v>0</v>
      </c>
      <c r="BL596" s="1073"/>
      <c r="BN596" s="1070">
        <f t="shared" si="9"/>
        <v>0</v>
      </c>
      <c r="BO596" s="1071"/>
      <c r="BP596" s="1071"/>
      <c r="BQ596" s="1071"/>
      <c r="BR596" s="1072"/>
      <c r="BS596" s="1070">
        <f t="shared" si="10"/>
        <v>0</v>
      </c>
      <c r="BT596" s="1071"/>
      <c r="BU596" s="1071"/>
      <c r="BV596" s="1071"/>
      <c r="BW596" s="1073"/>
      <c r="BX596" s="1070">
        <f t="shared" si="11"/>
        <v>0</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5" customHeight="1">
      <c r="A597" s="4"/>
      <c r="B597" t="s">
        <v>431</v>
      </c>
      <c r="G597" s="1057"/>
      <c r="H597" s="1057"/>
      <c r="I597" s="1057"/>
      <c r="J597" s="1057"/>
      <c r="K597" s="1057"/>
      <c r="L597" s="1057"/>
      <c r="M597" s="1057"/>
      <c r="N597" s="1057"/>
      <c r="O597" s="1057"/>
      <c r="P597" s="1057"/>
      <c r="Q597" s="1057"/>
      <c r="R597" s="1057"/>
      <c r="T597" s="4"/>
      <c r="U597" t="s">
        <v>431</v>
      </c>
      <c r="Z597" s="1055"/>
      <c r="AA597" s="1055"/>
      <c r="AB597" s="1055"/>
      <c r="AC597" s="1055"/>
      <c r="AD597" s="1055"/>
      <c r="AE597" s="1055"/>
      <c r="AF597" s="1055"/>
      <c r="AG597" s="1055"/>
      <c r="AH597" s="1055"/>
      <c r="AI597" s="1055"/>
      <c r="AJ597" s="1055"/>
      <c r="AK597" s="1055"/>
      <c r="AZ597" s="41"/>
      <c r="BA597" s="41"/>
      <c r="BB597" s="41"/>
      <c r="BC597" s="41"/>
      <c r="BD597" s="41"/>
      <c r="BE597" s="1076">
        <f t="shared" si="15"/>
        <v>0</v>
      </c>
      <c r="BF597" s="1077"/>
      <c r="BG597" s="1070">
        <f t="shared" si="7"/>
        <v>0</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0</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5" customHeight="1">
      <c r="A598" s="4"/>
      <c r="B598" t="s">
        <v>834</v>
      </c>
      <c r="G598" s="1057"/>
      <c r="H598" s="1057"/>
      <c r="I598" s="1057"/>
      <c r="J598" s="1057"/>
      <c r="K598" s="1057"/>
      <c r="L598" s="1057"/>
      <c r="M598" s="1057"/>
      <c r="N598" s="1057"/>
      <c r="O598" s="1057"/>
      <c r="P598" s="1057"/>
      <c r="Q598" s="1057"/>
      <c r="R598" s="1057"/>
      <c r="T598" s="4"/>
      <c r="U598" t="s">
        <v>834</v>
      </c>
      <c r="Z598" s="1055"/>
      <c r="AA598" s="1055"/>
      <c r="AB598" s="1055"/>
      <c r="AC598" s="1055"/>
      <c r="AD598" s="1055"/>
      <c r="AE598" s="1055"/>
      <c r="AF598" s="1055"/>
      <c r="AG598" s="1055"/>
      <c r="AH598" s="1055"/>
      <c r="AI598" s="1055"/>
      <c r="AJ598" s="1055"/>
      <c r="AK598" s="1055"/>
      <c r="AZ598" s="41"/>
      <c r="BA598" s="41"/>
      <c r="BB598" s="41"/>
      <c r="BC598" s="41"/>
      <c r="BD598" s="41"/>
      <c r="BE598" s="1076">
        <f t="shared" si="15"/>
        <v>0</v>
      </c>
      <c r="BF598" s="1077"/>
      <c r="BG598" s="1070">
        <f t="shared" si="7"/>
        <v>0</v>
      </c>
      <c r="BH598" s="1073"/>
      <c r="BI598" s="1076">
        <f t="shared" si="16"/>
        <v>0</v>
      </c>
      <c r="BJ598" s="1077"/>
      <c r="BK598" s="1070">
        <f t="shared" si="8"/>
        <v>0</v>
      </c>
      <c r="BL598" s="1073"/>
      <c r="BN598" s="1070">
        <f t="shared" si="9"/>
        <v>0</v>
      </c>
      <c r="BO598" s="1071"/>
      <c r="BP598" s="1071"/>
      <c r="BQ598" s="1071"/>
      <c r="BR598" s="1072"/>
      <c r="BS598" s="1070">
        <f t="shared" si="10"/>
        <v>0</v>
      </c>
      <c r="BT598" s="1071"/>
      <c r="BU598" s="1071"/>
      <c r="BV598" s="1071"/>
      <c r="BW598" s="1073"/>
      <c r="BX598" s="1070">
        <f t="shared" si="11"/>
        <v>0</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5" customHeight="1">
      <c r="A599" s="4"/>
      <c r="B599" t="s">
        <v>651</v>
      </c>
      <c r="G599" s="1059"/>
      <c r="H599" s="1059"/>
      <c r="I599" s="1059"/>
      <c r="J599" s="1059"/>
      <c r="K599" s="1059"/>
      <c r="L599" s="1059"/>
      <c r="O599" s="42" t="s">
        <v>819</v>
      </c>
      <c r="P599" s="1318"/>
      <c r="Q599" s="1318"/>
      <c r="R599" s="1318"/>
      <c r="T599" s="4"/>
      <c r="U599" t="s">
        <v>651</v>
      </c>
      <c r="Z599" s="1059"/>
      <c r="AA599" s="1059"/>
      <c r="AB599" s="1059"/>
      <c r="AC599" s="1059"/>
      <c r="AD599" s="1059"/>
      <c r="AE599" s="1059"/>
      <c r="AH599" s="42" t="s">
        <v>819</v>
      </c>
      <c r="AI599" s="1318"/>
      <c r="AJ599" s="1318"/>
      <c r="AK599" s="1318"/>
      <c r="AZ599" s="41"/>
      <c r="BA599" s="41"/>
      <c r="BB599" s="41"/>
      <c r="BC599" s="41"/>
      <c r="BD599" s="41"/>
      <c r="BE599" s="1076">
        <f t="shared" si="15"/>
        <v>0</v>
      </c>
      <c r="BF599" s="1077"/>
      <c r="BG599" s="1070">
        <f t="shared" si="7"/>
        <v>0</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0</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5" customHeight="1">
      <c r="A600" s="4"/>
      <c r="B600" t="s">
        <v>835</v>
      </c>
      <c r="C600"/>
      <c r="D600"/>
      <c r="E600"/>
      <c r="F600"/>
      <c r="G600"/>
      <c r="H600" s="1057"/>
      <c r="I600" s="1057"/>
      <c r="J600" s="1057"/>
      <c r="K600" s="1057"/>
      <c r="L600" s="1057"/>
      <c r="M600" s="1057"/>
      <c r="N600" s="1057"/>
      <c r="O600" s="1057"/>
      <c r="P600" s="1057"/>
      <c r="Q600" s="1057"/>
      <c r="R600" s="1057"/>
      <c r="S600"/>
      <c r="T600" s="4"/>
      <c r="U600" t="s">
        <v>835</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6">
        <f t="shared" si="15"/>
        <v>0</v>
      </c>
      <c r="BF600" s="1077"/>
      <c r="BG600" s="1070">
        <f t="shared" si="7"/>
        <v>0</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5" customHeight="1">
      <c r="A601" s="4"/>
      <c r="B601" t="s">
        <v>837</v>
      </c>
      <c r="C601"/>
      <c r="D601"/>
      <c r="E601"/>
      <c r="F601"/>
      <c r="G601"/>
      <c r="H601"/>
      <c r="I601"/>
      <c r="J601"/>
      <c r="K601"/>
      <c r="L601"/>
      <c r="M601"/>
      <c r="N601" s="1144" t="s">
        <v>483</v>
      </c>
      <c r="O601" s="1144"/>
      <c r="P601"/>
      <c r="Q601"/>
      <c r="R601"/>
      <c r="S601"/>
      <c r="T601" s="4"/>
      <c r="U601" t="s">
        <v>837</v>
      </c>
      <c r="V601"/>
      <c r="W601"/>
      <c r="X601"/>
      <c r="Y601"/>
      <c r="Z601"/>
      <c r="AA601"/>
      <c r="AB601"/>
      <c r="AC601"/>
      <c r="AD601"/>
      <c r="AE601"/>
      <c r="AF601"/>
      <c r="AG601" s="1144" t="s">
        <v>483</v>
      </c>
      <c r="AH601" s="1144"/>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5"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5" customHeight="1">
      <c r="B604" t="s">
        <v>373</v>
      </c>
      <c r="G604" s="1057"/>
      <c r="H604" s="1057"/>
      <c r="I604" s="1057"/>
      <c r="J604" s="1057"/>
      <c r="K604" s="1057"/>
      <c r="L604" s="1057"/>
      <c r="M604" s="1057"/>
      <c r="N604" s="1057"/>
      <c r="O604" s="1057"/>
      <c r="P604" s="1057"/>
      <c r="Q604" s="1057"/>
      <c r="R604" s="1057"/>
      <c r="U604" t="s">
        <v>373</v>
      </c>
      <c r="Z604" s="1057"/>
      <c r="AA604" s="1057"/>
      <c r="AB604" s="1057"/>
      <c r="AC604" s="1057"/>
      <c r="AD604" s="1057"/>
      <c r="AE604" s="1057"/>
      <c r="AF604" s="1057"/>
      <c r="AG604" s="1057"/>
      <c r="AH604" s="1057"/>
      <c r="AI604" s="1057"/>
      <c r="AJ604" s="1057"/>
      <c r="AK604" s="1057"/>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5" customHeight="1">
      <c r="B605" t="s">
        <v>431</v>
      </c>
      <c r="G605" s="1057"/>
      <c r="H605" s="1057"/>
      <c r="I605" s="1057"/>
      <c r="J605" s="1057"/>
      <c r="K605" s="1057"/>
      <c r="L605" s="1057"/>
      <c r="M605" s="1057"/>
      <c r="N605" s="1057"/>
      <c r="O605" s="1057"/>
      <c r="P605" s="1057"/>
      <c r="Q605" s="1057"/>
      <c r="R605" s="1057"/>
      <c r="U605" t="s">
        <v>431</v>
      </c>
      <c r="Z605" s="1055"/>
      <c r="AA605" s="1055"/>
      <c r="AB605" s="1055"/>
      <c r="AC605" s="1055"/>
      <c r="AD605" s="1055"/>
      <c r="AE605" s="1055"/>
      <c r="AF605" s="1055"/>
      <c r="AG605" s="1055"/>
      <c r="AH605" s="1055"/>
      <c r="AI605" s="1055"/>
      <c r="AJ605" s="1055"/>
      <c r="AK605" s="1055"/>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5" customHeight="1">
      <c r="B606" t="s">
        <v>834</v>
      </c>
      <c r="G606" s="1057"/>
      <c r="H606" s="1057"/>
      <c r="I606" s="1057"/>
      <c r="J606" s="1057"/>
      <c r="K606" s="1057"/>
      <c r="L606" s="1057"/>
      <c r="M606" s="1057"/>
      <c r="N606" s="1057"/>
      <c r="O606" s="1057"/>
      <c r="P606" s="1057"/>
      <c r="Q606" s="1057"/>
      <c r="R606" s="1057"/>
      <c r="U606" t="s">
        <v>834</v>
      </c>
      <c r="Z606" s="1055"/>
      <c r="AA606" s="1055"/>
      <c r="AB606" s="1055"/>
      <c r="AC606" s="1055"/>
      <c r="AD606" s="1055"/>
      <c r="AE606" s="1055"/>
      <c r="AF606" s="1055"/>
      <c r="AG606" s="1055"/>
      <c r="AH606" s="1055"/>
      <c r="AI606" s="1055"/>
      <c r="AJ606" s="1055"/>
      <c r="AK606" s="1055"/>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5" customHeight="1">
      <c r="B607" t="s">
        <v>651</v>
      </c>
      <c r="G607" s="1059"/>
      <c r="H607" s="1059"/>
      <c r="I607" s="1059"/>
      <c r="J607" s="1059"/>
      <c r="K607" s="1059"/>
      <c r="L607" s="1059"/>
      <c r="O607" s="42" t="s">
        <v>819</v>
      </c>
      <c r="P607" s="1318"/>
      <c r="Q607" s="1318"/>
      <c r="R607" s="1318"/>
      <c r="U607" t="s">
        <v>651</v>
      </c>
      <c r="Z607" s="1059"/>
      <c r="AA607" s="1059"/>
      <c r="AB607" s="1059"/>
      <c r="AC607" s="1059"/>
      <c r="AD607" s="1059"/>
      <c r="AE607" s="1059"/>
      <c r="AH607" s="42" t="s">
        <v>819</v>
      </c>
      <c r="AI607" s="1318"/>
      <c r="AJ607" s="1318"/>
      <c r="AK607" s="1318"/>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5" customHeight="1">
      <c r="B608" t="s">
        <v>835</v>
      </c>
      <c r="H608" s="1057"/>
      <c r="I608" s="1057"/>
      <c r="J608" s="1057"/>
      <c r="K608" s="1057"/>
      <c r="L608" s="1057"/>
      <c r="M608" s="1057"/>
      <c r="N608" s="1057"/>
      <c r="O608" s="1057"/>
      <c r="P608" s="1057"/>
      <c r="Q608" s="1057"/>
      <c r="R608" s="1057"/>
      <c r="U608" t="s">
        <v>835</v>
      </c>
      <c r="AA608" s="1057"/>
      <c r="AB608" s="1057"/>
      <c r="AC608" s="1057"/>
      <c r="AD608" s="1057"/>
      <c r="AE608" s="1057"/>
      <c r="AF608" s="1057"/>
      <c r="AG608" s="1057"/>
      <c r="AH608" s="1057"/>
      <c r="AI608" s="1057"/>
      <c r="AJ608" s="1057"/>
      <c r="AK608" s="1057"/>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5" customHeight="1">
      <c r="B609" t="s">
        <v>837</v>
      </c>
      <c r="N609" s="1117" t="s">
        <v>483</v>
      </c>
      <c r="O609" s="1117"/>
      <c r="U609" t="s">
        <v>837</v>
      </c>
      <c r="AG609" s="1117" t="s">
        <v>483</v>
      </c>
      <c r="AH609" s="1117"/>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5" customHeight="1">
      <c r="A611" s="969" t="s">
        <v>126</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5"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5" customHeight="1">
      <c r="A614" s="3" t="s">
        <v>654</v>
      </c>
      <c r="B614" s="3"/>
      <c r="C614" s="3" t="s">
        <v>838</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5" customHeight="1">
      <c r="C616" s="3" t="s">
        <v>2129</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5" customHeight="1">
      <c r="B618" s="1108" t="s">
        <v>2198</v>
      </c>
      <c r="C618" s="1109"/>
      <c r="D618" s="1109"/>
      <c r="E618" s="1109"/>
      <c r="F618" s="1109"/>
      <c r="G618" s="1109"/>
      <c r="H618" s="1109"/>
      <c r="I618" s="1109"/>
      <c r="J618" s="1109"/>
      <c r="K618" s="1109"/>
      <c r="L618" s="1109"/>
      <c r="M618" s="1148" t="s">
        <v>2172</v>
      </c>
      <c r="N618" s="1148"/>
      <c r="O618" s="1148"/>
      <c r="P618" s="1148"/>
      <c r="Q618" s="1133" t="s">
        <v>2202</v>
      </c>
      <c r="R618" s="1134"/>
      <c r="S618" s="1135"/>
      <c r="T618" s="1133" t="s">
        <v>2201</v>
      </c>
      <c r="U618" s="1134"/>
      <c r="V618" s="1135"/>
      <c r="W618" s="1412" t="s">
        <v>741</v>
      </c>
      <c r="X618" s="1412"/>
      <c r="Y618" s="1413"/>
      <c r="Z618" s="1148" t="s">
        <v>2199</v>
      </c>
      <c r="AA618" s="1148"/>
      <c r="AB618" s="1148"/>
      <c r="AC618" s="1403" t="s">
        <v>1994</v>
      </c>
      <c r="AD618" s="1404"/>
      <c r="AE618" s="1405"/>
      <c r="AF618" s="1133" t="s">
        <v>2130</v>
      </c>
      <c r="AG618" s="1134"/>
      <c r="AH618" s="1134"/>
      <c r="AI618" s="1134"/>
      <c r="AJ618" s="1135"/>
      <c r="AK618" s="1285" t="s">
        <v>2131</v>
      </c>
      <c r="AL618" s="1286"/>
      <c r="AM618" s="1286"/>
      <c r="AN618" s="1287"/>
      <c r="AO618" s="1148" t="s">
        <v>742</v>
      </c>
      <c r="AP618" s="1148"/>
      <c r="AQ618" s="1148"/>
      <c r="AR618" s="1148"/>
      <c r="AS618" s="1148"/>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5" customHeight="1">
      <c r="B619" s="1110"/>
      <c r="C619" s="1111"/>
      <c r="D619" s="1111"/>
      <c r="E619" s="1111"/>
      <c r="F619" s="1111"/>
      <c r="G619" s="1111"/>
      <c r="H619" s="1111"/>
      <c r="I619" s="1111"/>
      <c r="J619" s="1111"/>
      <c r="K619" s="1111"/>
      <c r="L619" s="1111"/>
      <c r="M619" s="1148"/>
      <c r="N619" s="1148"/>
      <c r="O619" s="1148"/>
      <c r="P619" s="1148"/>
      <c r="Q619" s="1136"/>
      <c r="R619" s="1137"/>
      <c r="S619" s="1138"/>
      <c r="T619" s="1136"/>
      <c r="U619" s="1137"/>
      <c r="V619" s="1138"/>
      <c r="W619" s="1414"/>
      <c r="X619" s="1414"/>
      <c r="Y619" s="1415"/>
      <c r="Z619" s="1148"/>
      <c r="AA619" s="1148"/>
      <c r="AB619" s="1148"/>
      <c r="AC619" s="1406"/>
      <c r="AD619" s="1407"/>
      <c r="AE619" s="1408"/>
      <c r="AF619" s="1136"/>
      <c r="AG619" s="1137"/>
      <c r="AH619" s="1137"/>
      <c r="AI619" s="1137"/>
      <c r="AJ619" s="1138"/>
      <c r="AK619" s="1288"/>
      <c r="AL619" s="1289"/>
      <c r="AM619" s="1289"/>
      <c r="AN619" s="1290"/>
      <c r="AO619" s="1148"/>
      <c r="AP619" s="1148"/>
      <c r="AQ619" s="1148"/>
      <c r="AR619" s="1148"/>
      <c r="AS619" s="1148"/>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5" customHeight="1">
      <c r="B620" s="1112"/>
      <c r="C620" s="1113"/>
      <c r="D620" s="1113"/>
      <c r="E620" s="1113"/>
      <c r="F620" s="1113"/>
      <c r="G620" s="1113"/>
      <c r="H620" s="1113"/>
      <c r="I620" s="1113"/>
      <c r="J620" s="1113"/>
      <c r="K620" s="1113"/>
      <c r="L620" s="1113"/>
      <c r="M620" s="1148"/>
      <c r="N620" s="1148"/>
      <c r="O620" s="1148"/>
      <c r="P620" s="1148"/>
      <c r="Q620" s="1139"/>
      <c r="R620" s="1140"/>
      <c r="S620" s="1141"/>
      <c r="T620" s="1139"/>
      <c r="U620" s="1140"/>
      <c r="V620" s="1141"/>
      <c r="W620" s="1416"/>
      <c r="X620" s="1416"/>
      <c r="Y620" s="1417"/>
      <c r="Z620" s="1148"/>
      <c r="AA620" s="1148"/>
      <c r="AB620" s="1148"/>
      <c r="AC620" s="1409"/>
      <c r="AD620" s="1410"/>
      <c r="AE620" s="1411"/>
      <c r="AF620" s="1139"/>
      <c r="AG620" s="1140"/>
      <c r="AH620" s="1140"/>
      <c r="AI620" s="1140"/>
      <c r="AJ620" s="1141"/>
      <c r="AK620" s="1291"/>
      <c r="AL620" s="1292"/>
      <c r="AM620" s="1292"/>
      <c r="AN620" s="1293"/>
      <c r="AO620" s="1148"/>
      <c r="AP620" s="1148"/>
      <c r="AQ620" s="1148"/>
      <c r="AR620" s="1148"/>
      <c r="AS620" s="1148"/>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5" customHeight="1">
      <c r="B621" s="57" t="s">
        <v>901</v>
      </c>
      <c r="C621" s="1099" t="s">
        <v>2422</v>
      </c>
      <c r="D621" s="1099"/>
      <c r="E621" s="1099"/>
      <c r="F621" s="1099"/>
      <c r="G621" s="1099"/>
      <c r="H621" s="1099"/>
      <c r="I621" s="1099"/>
      <c r="J621" s="1099"/>
      <c r="K621" s="1099"/>
      <c r="L621" s="1099"/>
      <c r="M621" s="1281" t="s">
        <v>2182</v>
      </c>
      <c r="N621" s="1281"/>
      <c r="O621" s="1281"/>
      <c r="P621" s="1281"/>
      <c r="Q621" s="1356">
        <v>360</v>
      </c>
      <c r="R621" s="1357"/>
      <c r="S621" s="1358"/>
      <c r="T621" s="1382">
        <v>600</v>
      </c>
      <c r="U621" s="1383"/>
      <c r="V621" s="1384"/>
      <c r="W621" s="1294">
        <v>0.01</v>
      </c>
      <c r="X621" s="1295"/>
      <c r="Y621" s="1296"/>
      <c r="Z621" s="1359" t="s">
        <v>2200</v>
      </c>
      <c r="AA621" s="1360"/>
      <c r="AB621" s="1361"/>
      <c r="AC621" s="1340">
        <v>1</v>
      </c>
      <c r="AD621" s="1146"/>
      <c r="AE621" s="1341"/>
      <c r="AF621" s="1166">
        <v>75052</v>
      </c>
      <c r="AG621" s="1167"/>
      <c r="AH621" s="1167"/>
      <c r="AI621" s="1167"/>
      <c r="AJ621" s="1168"/>
      <c r="AK621" s="1282"/>
      <c r="AL621" s="1283"/>
      <c r="AM621" s="1283"/>
      <c r="AN621" s="1284"/>
      <c r="AO621" s="1221">
        <v>2952132</v>
      </c>
      <c r="AP621" s="1221"/>
      <c r="AQ621" s="1221"/>
      <c r="AR621" s="1221"/>
      <c r="AS621" s="1221"/>
      <c r="AT621" s="946" t="str">
        <f t="shared" ref="AT621:AT632" si="33">IF(AND(NOT(C620=""),C621="",NOT(C622="")),"!","")</f>
        <v/>
      </c>
      <c r="AU621" s="43"/>
      <c r="AV621" s="43"/>
      <c r="AW621" s="43"/>
      <c r="AX621" s="43"/>
      <c r="AY621" s="43"/>
      <c r="BA621" s="41" t="s">
        <v>1981</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5" customHeight="1">
      <c r="B622" s="58" t="s">
        <v>902</v>
      </c>
      <c r="C622" s="1099" t="s">
        <v>2425</v>
      </c>
      <c r="D622" s="1099"/>
      <c r="E622" s="1099"/>
      <c r="F622" s="1099"/>
      <c r="G622" s="1099"/>
      <c r="H622" s="1099"/>
      <c r="I622" s="1099"/>
      <c r="J622" s="1099"/>
      <c r="K622" s="1099"/>
      <c r="L622" s="1099"/>
      <c r="M622" s="1281" t="s">
        <v>2175</v>
      </c>
      <c r="N622" s="1281"/>
      <c r="O622" s="1281"/>
      <c r="P622" s="1281"/>
      <c r="Q622" s="1356"/>
      <c r="R622" s="1357"/>
      <c r="S622" s="1358"/>
      <c r="T622" s="1382"/>
      <c r="U622" s="1383"/>
      <c r="V622" s="1384"/>
      <c r="W622" s="1294"/>
      <c r="X622" s="1295"/>
      <c r="Y622" s="1296"/>
      <c r="Z622" s="1359" t="s">
        <v>1981</v>
      </c>
      <c r="AA622" s="1360"/>
      <c r="AB622" s="1361"/>
      <c r="AC622" s="1340"/>
      <c r="AD622" s="1146"/>
      <c r="AE622" s="1341"/>
      <c r="AF622" s="1166"/>
      <c r="AG622" s="1167"/>
      <c r="AH622" s="1167"/>
      <c r="AI622" s="1167"/>
      <c r="AJ622" s="1168"/>
      <c r="AK622" s="1282"/>
      <c r="AL622" s="1283"/>
      <c r="AM622" s="1283"/>
      <c r="AN622" s="1284"/>
      <c r="AO622" s="1221">
        <v>16042</v>
      </c>
      <c r="AP622" s="1221"/>
      <c r="AQ622" s="1221"/>
      <c r="AR622" s="1221"/>
      <c r="AS622" s="1221"/>
      <c r="AT622" s="946" t="str">
        <f t="shared" si="33"/>
        <v/>
      </c>
      <c r="AU622" s="43"/>
      <c r="AV622" s="43"/>
      <c r="AW622" s="43"/>
      <c r="AX622" s="43"/>
      <c r="AY622" s="43"/>
      <c r="BA622" s="41" t="s">
        <v>790</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5" customHeight="1">
      <c r="B623" s="58" t="s">
        <v>908</v>
      </c>
      <c r="C623" s="1099"/>
      <c r="D623" s="1099"/>
      <c r="E623" s="1099"/>
      <c r="F623" s="1099"/>
      <c r="G623" s="1099"/>
      <c r="H623" s="1099"/>
      <c r="I623" s="1099"/>
      <c r="J623" s="1099"/>
      <c r="K623" s="1099"/>
      <c r="L623" s="1099"/>
      <c r="M623" s="1281" t="s">
        <v>1981</v>
      </c>
      <c r="N623" s="1281"/>
      <c r="O623" s="1281"/>
      <c r="P623" s="1281"/>
      <c r="Q623" s="1356"/>
      <c r="R623" s="1357"/>
      <c r="S623" s="1358"/>
      <c r="T623" s="1382"/>
      <c r="U623" s="1383"/>
      <c r="V623" s="1384"/>
      <c r="W623" s="1294"/>
      <c r="X623" s="1295"/>
      <c r="Y623" s="1296"/>
      <c r="Z623" s="1359" t="s">
        <v>1981</v>
      </c>
      <c r="AA623" s="1360"/>
      <c r="AB623" s="1361"/>
      <c r="AC623" s="1340"/>
      <c r="AD623" s="1146"/>
      <c r="AE623" s="1341"/>
      <c r="AF623" s="1166"/>
      <c r="AG623" s="1167"/>
      <c r="AH623" s="1167"/>
      <c r="AI623" s="1167"/>
      <c r="AJ623" s="1168"/>
      <c r="AK623" s="1282"/>
      <c r="AL623" s="1283"/>
      <c r="AM623" s="1283"/>
      <c r="AN623" s="1284"/>
      <c r="AO623" s="1221"/>
      <c r="AP623" s="1221"/>
      <c r="AQ623" s="1221"/>
      <c r="AR623" s="1221"/>
      <c r="AS623" s="1221"/>
      <c r="AT623" s="946" t="str">
        <f t="shared" si="33"/>
        <v/>
      </c>
      <c r="AU623" s="43"/>
      <c r="AV623" s="43"/>
      <c r="AW623" s="43"/>
      <c r="AX623" s="43"/>
      <c r="AY623" s="43"/>
      <c r="AZ623" s="43"/>
      <c r="BA623" s="41" t="s">
        <v>789</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5" customHeight="1">
      <c r="B624" s="58" t="s">
        <v>432</v>
      </c>
      <c r="C624" s="1099"/>
      <c r="D624" s="1099"/>
      <c r="E624" s="1099"/>
      <c r="F624" s="1099"/>
      <c r="G624" s="1099"/>
      <c r="H624" s="1099"/>
      <c r="I624" s="1099"/>
      <c r="J624" s="1099"/>
      <c r="K624" s="1099"/>
      <c r="L624" s="1099"/>
      <c r="M624" s="1281" t="s">
        <v>1981</v>
      </c>
      <c r="N624" s="1281"/>
      <c r="O624" s="1281"/>
      <c r="P624" s="1281"/>
      <c r="Q624" s="1356"/>
      <c r="R624" s="1357"/>
      <c r="S624" s="1358"/>
      <c r="T624" s="1382"/>
      <c r="U624" s="1383"/>
      <c r="V624" s="1384"/>
      <c r="W624" s="1294"/>
      <c r="X624" s="1295"/>
      <c r="Y624" s="1296"/>
      <c r="Z624" s="1359" t="s">
        <v>1981</v>
      </c>
      <c r="AA624" s="1360"/>
      <c r="AB624" s="1361"/>
      <c r="AC624" s="1340"/>
      <c r="AD624" s="1146"/>
      <c r="AE624" s="1341"/>
      <c r="AF624" s="1166"/>
      <c r="AG624" s="1167"/>
      <c r="AH624" s="1167"/>
      <c r="AI624" s="1167"/>
      <c r="AJ624" s="1168"/>
      <c r="AK624" s="1282"/>
      <c r="AL624" s="1283"/>
      <c r="AM624" s="1283"/>
      <c r="AN624" s="1284"/>
      <c r="AO624" s="1221"/>
      <c r="AP624" s="1221"/>
      <c r="AQ624" s="1221"/>
      <c r="AR624" s="1221"/>
      <c r="AS624" s="1221"/>
      <c r="AT624" s="946" t="str">
        <f t="shared" si="33"/>
        <v/>
      </c>
      <c r="AU624" s="43"/>
      <c r="AV624" s="43"/>
      <c r="AW624" s="43"/>
      <c r="AX624" s="43"/>
      <c r="AY624" s="43"/>
      <c r="AZ624" s="43"/>
      <c r="BA624" s="41" t="s">
        <v>2200</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5" customHeight="1">
      <c r="B625" s="58" t="s">
        <v>171</v>
      </c>
      <c r="C625" s="1099"/>
      <c r="D625" s="1099"/>
      <c r="E625" s="1099"/>
      <c r="F625" s="1099"/>
      <c r="G625" s="1099"/>
      <c r="H625" s="1099"/>
      <c r="I625" s="1099"/>
      <c r="J625" s="1099"/>
      <c r="K625" s="1099"/>
      <c r="L625" s="1099"/>
      <c r="M625" s="1281" t="s">
        <v>1981</v>
      </c>
      <c r="N625" s="1281"/>
      <c r="O625" s="1281"/>
      <c r="P625" s="1281"/>
      <c r="Q625" s="1356"/>
      <c r="R625" s="1357"/>
      <c r="S625" s="1358"/>
      <c r="T625" s="1382"/>
      <c r="U625" s="1383"/>
      <c r="V625" s="1384"/>
      <c r="W625" s="1294"/>
      <c r="X625" s="1295"/>
      <c r="Y625" s="1296"/>
      <c r="Z625" s="1359" t="s">
        <v>1981</v>
      </c>
      <c r="AA625" s="1360"/>
      <c r="AB625" s="1361"/>
      <c r="AC625" s="1340"/>
      <c r="AD625" s="1146"/>
      <c r="AE625" s="1341"/>
      <c r="AF625" s="1166"/>
      <c r="AG625" s="1167"/>
      <c r="AH625" s="1167"/>
      <c r="AI625" s="1167"/>
      <c r="AJ625" s="1168"/>
      <c r="AK625" s="1282"/>
      <c r="AL625" s="1283"/>
      <c r="AM625" s="1283"/>
      <c r="AN625" s="1284"/>
      <c r="AO625" s="1221"/>
      <c r="AP625" s="1221"/>
      <c r="AQ625" s="1221"/>
      <c r="AR625" s="1221"/>
      <c r="AS625" s="1221"/>
      <c r="AT625" s="946" t="str">
        <f t="shared" si="33"/>
        <v/>
      </c>
      <c r="AU625" s="43"/>
      <c r="AV625" s="43"/>
      <c r="AW625" s="43"/>
      <c r="AX625" s="43"/>
      <c r="AY625" s="43"/>
      <c r="AZ625" s="43"/>
      <c r="BA625" s="41" t="s">
        <v>500</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5" customHeight="1">
      <c r="B626" s="58" t="s">
        <v>435</v>
      </c>
      <c r="C626" s="1099"/>
      <c r="D626" s="1099"/>
      <c r="E626" s="1099"/>
      <c r="F626" s="1099"/>
      <c r="G626" s="1099"/>
      <c r="H626" s="1099"/>
      <c r="I626" s="1099"/>
      <c r="J626" s="1099"/>
      <c r="K626" s="1099"/>
      <c r="L626" s="1099"/>
      <c r="M626" s="1281" t="s">
        <v>1981</v>
      </c>
      <c r="N626" s="1281"/>
      <c r="O626" s="1281"/>
      <c r="P626" s="1281"/>
      <c r="Q626" s="1356"/>
      <c r="R626" s="1357"/>
      <c r="S626" s="1358"/>
      <c r="T626" s="1382"/>
      <c r="U626" s="1383"/>
      <c r="V626" s="1384"/>
      <c r="W626" s="1294"/>
      <c r="X626" s="1295"/>
      <c r="Y626" s="1296"/>
      <c r="Z626" s="1359" t="s">
        <v>1981</v>
      </c>
      <c r="AA626" s="1360"/>
      <c r="AB626" s="1361"/>
      <c r="AC626" s="1340"/>
      <c r="AD626" s="1146"/>
      <c r="AE626" s="1341"/>
      <c r="AF626" s="1166"/>
      <c r="AG626" s="1167"/>
      <c r="AH626" s="1167"/>
      <c r="AI626" s="1167"/>
      <c r="AJ626" s="1168"/>
      <c r="AK626" s="1282"/>
      <c r="AL626" s="1283"/>
      <c r="AM626" s="1283"/>
      <c r="AN626" s="1284"/>
      <c r="AO626" s="1221"/>
      <c r="AP626" s="1221"/>
      <c r="AQ626" s="1221"/>
      <c r="AR626" s="1221"/>
      <c r="AS626" s="1221"/>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6"/>
      <c r="BP626" s="1306"/>
      <c r="BQ626" s="1306"/>
      <c r="BR626" s="1077"/>
      <c r="BS626" s="1076">
        <f t="shared" ref="BS626" si="34">SUM(BS591:BW625)</f>
        <v>43</v>
      </c>
      <c r="BT626" s="1306"/>
      <c r="BU626" s="1306"/>
      <c r="BV626" s="1306"/>
      <c r="BW626" s="1077"/>
      <c r="BX626" s="1076">
        <f t="shared" ref="BX626" si="35">SUM(BX591:CB625)</f>
        <v>0</v>
      </c>
      <c r="BY626" s="1306"/>
      <c r="BZ626" s="1306"/>
      <c r="CA626" s="1306"/>
      <c r="CB626" s="1077"/>
      <c r="CC626" s="1076">
        <f t="shared" ref="CC626" si="36">SUM(CC591:CG625)</f>
        <v>0</v>
      </c>
      <c r="CD626" s="1306"/>
      <c r="CE626" s="1306"/>
      <c r="CF626" s="1306"/>
      <c r="CG626" s="1077"/>
      <c r="CH626" s="1076">
        <f t="shared" ref="CH626" si="37">SUM(CH591:CL625)</f>
        <v>0</v>
      </c>
      <c r="CI626" s="1306"/>
      <c r="CJ626" s="1306"/>
      <c r="CK626" s="1306"/>
      <c r="CL626" s="1077"/>
      <c r="CM626" s="1076">
        <f t="shared" ref="CM626" si="38">SUM(CM591:CQ625)</f>
        <v>0</v>
      </c>
      <c r="CN626" s="1306"/>
      <c r="CO626" s="1306"/>
      <c r="CP626" s="1306"/>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743</v>
      </c>
      <c r="C627" s="1099"/>
      <c r="D627" s="1099"/>
      <c r="E627" s="1099"/>
      <c r="F627" s="1099"/>
      <c r="G627" s="1099"/>
      <c r="H627" s="1099"/>
      <c r="I627" s="1099"/>
      <c r="J627" s="1099"/>
      <c r="K627" s="1099"/>
      <c r="L627" s="1099"/>
      <c r="M627" s="1281" t="s">
        <v>1981</v>
      </c>
      <c r="N627" s="1281"/>
      <c r="O627" s="1281"/>
      <c r="P627" s="1281"/>
      <c r="Q627" s="1356"/>
      <c r="R627" s="1357"/>
      <c r="S627" s="1358"/>
      <c r="T627" s="1382"/>
      <c r="U627" s="1383"/>
      <c r="V627" s="1384"/>
      <c r="W627" s="1294"/>
      <c r="X627" s="1295"/>
      <c r="Y627" s="1296"/>
      <c r="Z627" s="1359" t="s">
        <v>1981</v>
      </c>
      <c r="AA627" s="1360"/>
      <c r="AB627" s="1361"/>
      <c r="AC627" s="1340"/>
      <c r="AD627" s="1146"/>
      <c r="AE627" s="1341"/>
      <c r="AF627" s="1166"/>
      <c r="AG627" s="1167"/>
      <c r="AH627" s="1167"/>
      <c r="AI627" s="1167"/>
      <c r="AJ627" s="1168"/>
      <c r="AK627" s="1282"/>
      <c r="AL627" s="1283"/>
      <c r="AM627" s="1283"/>
      <c r="AN627" s="1284"/>
      <c r="AO627" s="1221"/>
      <c r="AP627" s="1221"/>
      <c r="AQ627" s="1221"/>
      <c r="AR627" s="1221"/>
      <c r="AS627" s="1221"/>
      <c r="AT627" s="946" t="str">
        <f t="shared" si="33"/>
        <v/>
      </c>
      <c r="AU627" s="43"/>
      <c r="AV627" s="43"/>
      <c r="AW627" s="43"/>
      <c r="AX627" s="43"/>
      <c r="AY627" s="43"/>
      <c r="AZ627" s="43"/>
      <c r="BE627" s="41"/>
      <c r="BF627" s="41"/>
      <c r="BG627" s="1076">
        <f>SUM(BG592:BH626)</f>
        <v>27</v>
      </c>
      <c r="BH627" s="1077"/>
      <c r="BI627" s="41"/>
      <c r="BJ627" s="41"/>
      <c r="BK627" s="1076">
        <f>SUM(BK592:BL626)</f>
        <v>5</v>
      </c>
      <c r="BL627" s="1077"/>
      <c r="BN627" s="41" t="s">
        <v>1725</v>
      </c>
      <c r="BO627" s="41"/>
      <c r="BP627" s="41"/>
      <c r="BQ627" s="41"/>
      <c r="BR627" s="467">
        <f>BN626*1</f>
        <v>0</v>
      </c>
      <c r="BS627" s="41"/>
      <c r="BT627" s="41"/>
      <c r="BU627" s="41"/>
      <c r="BV627" s="41"/>
      <c r="BW627" s="467">
        <f>BS626*1</f>
        <v>43</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6">
        <f>SUM(CS592:CW626)</f>
        <v>0</v>
      </c>
      <c r="CT627" s="1306"/>
      <c r="CU627" s="1306"/>
      <c r="CV627" s="1306"/>
      <c r="CW627" s="1077"/>
      <c r="CX627" s="1076">
        <f>SUM(CX592:DB626)</f>
        <v>5</v>
      </c>
      <c r="CY627" s="1306"/>
      <c r="CZ627" s="1306"/>
      <c r="DA627" s="1306"/>
      <c r="DB627" s="1077"/>
      <c r="DC627" s="1076">
        <f>SUM(DC592:DG626)</f>
        <v>0</v>
      </c>
      <c r="DD627" s="1306"/>
      <c r="DE627" s="1306"/>
      <c r="DF627" s="1306"/>
      <c r="DG627" s="1077"/>
      <c r="DH627" s="1076">
        <f>SUM(DH592:DL626)</f>
        <v>0</v>
      </c>
      <c r="DI627" s="1306"/>
      <c r="DJ627" s="1306"/>
      <c r="DK627" s="1306"/>
      <c r="DL627" s="1077"/>
      <c r="DM627" s="1076">
        <f>SUM(DM592:DQ626)</f>
        <v>0</v>
      </c>
      <c r="DN627" s="1306"/>
      <c r="DO627" s="1306"/>
      <c r="DP627" s="1306"/>
      <c r="DQ627" s="1077"/>
      <c r="DR627" s="1076">
        <f>SUM(DR592:DV626)</f>
        <v>0</v>
      </c>
      <c r="DS627" s="1306"/>
      <c r="DT627" s="1306"/>
      <c r="DU627" s="1306"/>
      <c r="DV627" s="1077"/>
    </row>
    <row r="628" spans="1:126" ht="12.95" customHeight="1" thickBot="1">
      <c r="B628" s="58" t="s">
        <v>744</v>
      </c>
      <c r="C628" s="1099"/>
      <c r="D628" s="1099"/>
      <c r="E628" s="1099"/>
      <c r="F628" s="1099"/>
      <c r="G628" s="1099"/>
      <c r="H628" s="1099"/>
      <c r="I628" s="1099"/>
      <c r="J628" s="1099"/>
      <c r="K628" s="1099"/>
      <c r="L628" s="1099"/>
      <c r="M628" s="1281" t="s">
        <v>1981</v>
      </c>
      <c r="N628" s="1281"/>
      <c r="O628" s="1281"/>
      <c r="P628" s="1281"/>
      <c r="Q628" s="1356"/>
      <c r="R628" s="1357"/>
      <c r="S628" s="1358"/>
      <c r="T628" s="1382"/>
      <c r="U628" s="1383"/>
      <c r="V628" s="1384"/>
      <c r="W628" s="1294"/>
      <c r="X628" s="1295"/>
      <c r="Y628" s="1296"/>
      <c r="Z628" s="1359" t="s">
        <v>1981</v>
      </c>
      <c r="AA628" s="1360"/>
      <c r="AB628" s="1361"/>
      <c r="AC628" s="1340"/>
      <c r="AD628" s="1146"/>
      <c r="AE628" s="1341"/>
      <c r="AF628" s="1166"/>
      <c r="AG628" s="1167"/>
      <c r="AH628" s="1167"/>
      <c r="AI628" s="1167"/>
      <c r="AJ628" s="1168"/>
      <c r="AK628" s="1282"/>
      <c r="AL628" s="1283"/>
      <c r="AM628" s="1283"/>
      <c r="AN628" s="1284"/>
      <c r="AO628" s="1221"/>
      <c r="AP628" s="1221"/>
      <c r="AQ628" s="1221"/>
      <c r="AR628" s="1221"/>
      <c r="AS628" s="122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43</v>
      </c>
      <c r="CR628" s="41"/>
      <c r="CS628" s="41"/>
    </row>
    <row r="629" spans="1:126" ht="12.95" customHeight="1">
      <c r="B629" s="58" t="s">
        <v>547</v>
      </c>
      <c r="C629" s="1099"/>
      <c r="D629" s="1099"/>
      <c r="E629" s="1099"/>
      <c r="F629" s="1099"/>
      <c r="G629" s="1099"/>
      <c r="H629" s="1099"/>
      <c r="I629" s="1099"/>
      <c r="J629" s="1099"/>
      <c r="K629" s="1099"/>
      <c r="L629" s="1099"/>
      <c r="M629" s="1281" t="s">
        <v>1981</v>
      </c>
      <c r="N629" s="1281"/>
      <c r="O629" s="1281"/>
      <c r="P629" s="1281"/>
      <c r="Q629" s="1356"/>
      <c r="R629" s="1357"/>
      <c r="S629" s="1358"/>
      <c r="T629" s="1382"/>
      <c r="U629" s="1383"/>
      <c r="V629" s="1384"/>
      <c r="W629" s="1294"/>
      <c r="X629" s="1295"/>
      <c r="Y629" s="1296"/>
      <c r="Z629" s="1359" t="s">
        <v>1981</v>
      </c>
      <c r="AA629" s="1360"/>
      <c r="AB629" s="1361"/>
      <c r="AC629" s="1340"/>
      <c r="AD629" s="1146"/>
      <c r="AE629" s="1341"/>
      <c r="AF629" s="1166"/>
      <c r="AG629" s="1167"/>
      <c r="AH629" s="1167"/>
      <c r="AI629" s="1167"/>
      <c r="AJ629" s="1168"/>
      <c r="AK629" s="1282"/>
      <c r="AL629" s="1283"/>
      <c r="AM629" s="1283"/>
      <c r="AN629" s="1284"/>
      <c r="AO629" s="1221"/>
      <c r="AP629" s="1221"/>
      <c r="AQ629" s="1221"/>
      <c r="AR629" s="1221"/>
      <c r="AS629" s="1221"/>
      <c r="AT629" s="946" t="str">
        <f t="shared" si="33"/>
        <v/>
      </c>
      <c r="AU629" s="41"/>
      <c r="AV629" s="41"/>
      <c r="AW629" s="41"/>
      <c r="AX629" s="41"/>
      <c r="AY629" s="41"/>
      <c r="AZ629" s="41"/>
      <c r="BN629" s="1070">
        <f>IF(J752="SRO/Studio",O752,0)</f>
        <v>0</v>
      </c>
      <c r="BO629" s="1071"/>
      <c r="BP629" s="1071"/>
      <c r="BQ629" s="1071"/>
      <c r="BR629" s="1073"/>
      <c r="BS629" s="1070">
        <f>IF(J752="1 Bedroom",O752,0)</f>
        <v>1</v>
      </c>
      <c r="BT629" s="1071"/>
      <c r="BU629" s="1071"/>
      <c r="BV629" s="1071"/>
      <c r="BW629" s="1073"/>
      <c r="BX629" s="1070">
        <f>IF(J752="2 Bedrooms",O752,0)</f>
        <v>0</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099"/>
      <c r="D630" s="1099"/>
      <c r="E630" s="1099"/>
      <c r="F630" s="1099"/>
      <c r="G630" s="1099"/>
      <c r="H630" s="1099"/>
      <c r="I630" s="1099"/>
      <c r="J630" s="1099"/>
      <c r="K630" s="1099"/>
      <c r="L630" s="1099"/>
      <c r="M630" s="1281" t="s">
        <v>1981</v>
      </c>
      <c r="N630" s="1281"/>
      <c r="O630" s="1281"/>
      <c r="P630" s="1281"/>
      <c r="Q630" s="1356"/>
      <c r="R630" s="1357"/>
      <c r="S630" s="1358"/>
      <c r="T630" s="1382"/>
      <c r="U630" s="1383"/>
      <c r="V630" s="1384"/>
      <c r="W630" s="1294"/>
      <c r="X630" s="1295"/>
      <c r="Y630" s="1296"/>
      <c r="Z630" s="1359" t="s">
        <v>1981</v>
      </c>
      <c r="AA630" s="1360"/>
      <c r="AB630" s="1361"/>
      <c r="AC630" s="1340"/>
      <c r="AD630" s="1146"/>
      <c r="AE630" s="1341"/>
      <c r="AF630" s="1166"/>
      <c r="AG630" s="1167"/>
      <c r="AH630" s="1167"/>
      <c r="AI630" s="1167"/>
      <c r="AJ630" s="1168"/>
      <c r="AK630" s="1282"/>
      <c r="AL630" s="1283"/>
      <c r="AM630" s="1283"/>
      <c r="AN630" s="1284"/>
      <c r="AO630" s="1221"/>
      <c r="AP630" s="1221"/>
      <c r="AQ630" s="1221"/>
      <c r="AR630" s="1221"/>
      <c r="AS630" s="1221"/>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099"/>
      <c r="D631" s="1099"/>
      <c r="E631" s="1099"/>
      <c r="F631" s="1099"/>
      <c r="G631" s="1099"/>
      <c r="H631" s="1099"/>
      <c r="I631" s="1099"/>
      <c r="J631" s="1099"/>
      <c r="K631" s="1099"/>
      <c r="L631" s="1099"/>
      <c r="M631" s="1281" t="s">
        <v>1981</v>
      </c>
      <c r="N631" s="1281"/>
      <c r="O631" s="1281"/>
      <c r="P631" s="1281"/>
      <c r="Q631" s="1356"/>
      <c r="R631" s="1357"/>
      <c r="S631" s="1358"/>
      <c r="T631" s="1382"/>
      <c r="U631" s="1383"/>
      <c r="V631" s="1384"/>
      <c r="W631" s="1294"/>
      <c r="X631" s="1295"/>
      <c r="Y631" s="1296"/>
      <c r="Z631" s="1359" t="s">
        <v>1981</v>
      </c>
      <c r="AA631" s="1360"/>
      <c r="AB631" s="1361"/>
      <c r="AC631" s="1340"/>
      <c r="AD631" s="1146"/>
      <c r="AE631" s="1341"/>
      <c r="AF631" s="1166"/>
      <c r="AG631" s="1167"/>
      <c r="AH631" s="1167"/>
      <c r="AI631" s="1167"/>
      <c r="AJ631" s="1168"/>
      <c r="AK631" s="1282"/>
      <c r="AL631" s="1283"/>
      <c r="AM631" s="1283"/>
      <c r="AN631" s="1284"/>
      <c r="AO631" s="1221"/>
      <c r="AP631" s="1221"/>
      <c r="AQ631" s="1221"/>
      <c r="AR631" s="1221"/>
      <c r="AS631" s="1221"/>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099"/>
      <c r="D632" s="1099"/>
      <c r="E632" s="1099"/>
      <c r="F632" s="1099"/>
      <c r="G632" s="1099"/>
      <c r="H632" s="1099"/>
      <c r="I632" s="1099"/>
      <c r="J632" s="1099"/>
      <c r="K632" s="1099"/>
      <c r="L632" s="1099"/>
      <c r="M632" s="1281" t="s">
        <v>1981</v>
      </c>
      <c r="N632" s="1281"/>
      <c r="O632" s="1281"/>
      <c r="P632" s="1281"/>
      <c r="Q632" s="1356"/>
      <c r="R632" s="1357"/>
      <c r="S632" s="1358"/>
      <c r="T632" s="1382"/>
      <c r="U632" s="1383"/>
      <c r="V632" s="1384"/>
      <c r="W632" s="1294"/>
      <c r="X632" s="1295"/>
      <c r="Y632" s="1296"/>
      <c r="Z632" s="1359" t="s">
        <v>1981</v>
      </c>
      <c r="AA632" s="1360"/>
      <c r="AB632" s="1361"/>
      <c r="AC632" s="1340"/>
      <c r="AD632" s="1146"/>
      <c r="AE632" s="1341"/>
      <c r="AF632" s="1166"/>
      <c r="AG632" s="1167"/>
      <c r="AH632" s="1167"/>
      <c r="AI632" s="1167"/>
      <c r="AJ632" s="1168"/>
      <c r="AK632" s="1282"/>
      <c r="AL632" s="1283"/>
      <c r="AM632" s="1283"/>
      <c r="AN632" s="1284"/>
      <c r="AO632" s="1221"/>
      <c r="AP632" s="1221"/>
      <c r="AQ632" s="1221"/>
      <c r="AR632" s="1221"/>
      <c r="AS632" s="1221"/>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104" t="s">
        <v>359</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9">
        <f>SUM(AO621:AS632)</f>
        <v>2968174</v>
      </c>
      <c r="AP633" s="1230"/>
      <c r="AQ633" s="1230"/>
      <c r="AR633" s="1230"/>
      <c r="AS633" s="1231"/>
      <c r="AT633" s="43"/>
      <c r="AU633" s="43"/>
      <c r="AV633" s="43"/>
      <c r="AW633" s="43"/>
      <c r="AX633" s="43"/>
      <c r="AY633" s="43"/>
      <c r="AZ633" s="43"/>
      <c r="BN633" s="1506">
        <f>SUM(BN629:BR632)</f>
        <v>0</v>
      </c>
      <c r="BO633" s="1507"/>
      <c r="BP633" s="1507"/>
      <c r="BQ633" s="1507"/>
      <c r="BR633" s="1508"/>
      <c r="BS633" s="1506">
        <f>SUM(BS629:BW632)</f>
        <v>1</v>
      </c>
      <c r="BT633" s="1507"/>
      <c r="BU633" s="1507"/>
      <c r="BV633" s="1507"/>
      <c r="BW633" s="1508"/>
      <c r="BX633" s="1506">
        <f>SUM(BX629:CB632)</f>
        <v>0</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1</v>
      </c>
      <c r="CT633" s="63" t="s">
        <v>1985</v>
      </c>
      <c r="CU633" s="41"/>
    </row>
    <row r="634" spans="1:126" ht="12.95" customHeight="1">
      <c r="B634" s="1104" t="s">
        <v>360</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8">
        <v>7929393</v>
      </c>
      <c r="AP634" s="1219"/>
      <c r="AQ634" s="1219"/>
      <c r="AR634" s="1219"/>
      <c r="AS634" s="1220"/>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1" t="s">
        <v>941</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2"/>
      <c r="AO635" s="1229">
        <f>AO633+AO634</f>
        <v>10897567</v>
      </c>
      <c r="AP635" s="1230"/>
      <c r="AQ635" s="1230"/>
      <c r="AR635" s="1230"/>
      <c r="AS635" s="1231"/>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5" customHeight="1">
      <c r="A637" s="61" t="s">
        <v>901</v>
      </c>
      <c r="B637" t="s">
        <v>82</v>
      </c>
      <c r="G637" s="1187" t="str">
        <f>C621</f>
        <v>USDA 515 Loans</v>
      </c>
      <c r="H637" s="1187"/>
      <c r="I637" s="1187"/>
      <c r="J637" s="1187"/>
      <c r="K637" s="1187"/>
      <c r="L637" s="1187"/>
      <c r="M637" s="1187"/>
      <c r="N637" s="1187"/>
      <c r="O637" s="1187"/>
      <c r="P637" s="1187"/>
      <c r="Q637" s="1187"/>
      <c r="R637" s="1187"/>
      <c r="S637" s="12"/>
      <c r="T637" s="61" t="s">
        <v>902</v>
      </c>
      <c r="U637" t="s">
        <v>82</v>
      </c>
      <c r="Z637" s="1187" t="str">
        <f>C622</f>
        <v>Deferred Developer Fee</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5" customHeight="1">
      <c r="A638" s="4"/>
      <c r="B638" t="s">
        <v>373</v>
      </c>
      <c r="G638" s="1057" t="s">
        <v>2444</v>
      </c>
      <c r="H638" s="1057"/>
      <c r="I638" s="1057"/>
      <c r="J638" s="1057"/>
      <c r="K638" s="1057"/>
      <c r="L638" s="1057"/>
      <c r="M638" s="1057"/>
      <c r="N638" s="1057"/>
      <c r="O638" s="1057"/>
      <c r="P638" s="1057"/>
      <c r="Q638" s="1057"/>
      <c r="R638" s="1057"/>
      <c r="S638" s="12"/>
      <c r="T638" s="4"/>
      <c r="U638" t="s">
        <v>373</v>
      </c>
      <c r="Z638" s="1057" t="s">
        <v>2343</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5" customHeight="1">
      <c r="A639" s="4"/>
      <c r="B639" t="s">
        <v>431</v>
      </c>
      <c r="G639" s="1057" t="s">
        <v>2445</v>
      </c>
      <c r="H639" s="1057"/>
      <c r="I639" s="1057"/>
      <c r="J639" s="1057"/>
      <c r="K639" s="1057"/>
      <c r="L639" s="1057"/>
      <c r="M639" s="1057"/>
      <c r="N639" s="1057"/>
      <c r="O639" s="1057"/>
      <c r="P639" s="1057"/>
      <c r="Q639" s="1057"/>
      <c r="R639" s="1057"/>
      <c r="T639" s="4"/>
      <c r="U639" t="s">
        <v>431</v>
      </c>
      <c r="Z639" s="1055" t="s">
        <v>2344</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5" customHeight="1">
      <c r="A640" s="4"/>
      <c r="B640" t="s">
        <v>834</v>
      </c>
      <c r="G640" s="1057" t="s">
        <v>2446</v>
      </c>
      <c r="H640" s="1057"/>
      <c r="I640" s="1057"/>
      <c r="J640" s="1057"/>
      <c r="K640" s="1057"/>
      <c r="L640" s="1057"/>
      <c r="M640" s="1057"/>
      <c r="N640" s="1057"/>
      <c r="O640" s="1057"/>
      <c r="P640" s="1057"/>
      <c r="Q640" s="1057"/>
      <c r="R640" s="1057"/>
      <c r="S640" s="12"/>
      <c r="T640" s="4"/>
      <c r="U640" t="s">
        <v>834</v>
      </c>
      <c r="Z640" s="1055" t="s">
        <v>2450</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5" customHeight="1">
      <c r="A641" s="4"/>
      <c r="B641" t="s">
        <v>651</v>
      </c>
      <c r="G641" s="1059" t="s">
        <v>2447</v>
      </c>
      <c r="H641" s="1059"/>
      <c r="I641" s="1059"/>
      <c r="J641" s="1059"/>
      <c r="K641" s="1059"/>
      <c r="L641" s="1059"/>
      <c r="O641" s="42" t="s">
        <v>819</v>
      </c>
      <c r="P641" s="1318"/>
      <c r="Q641" s="1318"/>
      <c r="R641" s="1318"/>
      <c r="S641" s="14"/>
      <c r="T641" s="4"/>
      <c r="U641" t="s">
        <v>651</v>
      </c>
      <c r="Z641" s="1059" t="s">
        <v>2346</v>
      </c>
      <c r="AA641" s="1059"/>
      <c r="AB641" s="1059"/>
      <c r="AC641" s="1059"/>
      <c r="AD641" s="1059"/>
      <c r="AE641" s="1059"/>
      <c r="AH641" s="42" t="s">
        <v>819</v>
      </c>
      <c r="AI641" s="1318"/>
      <c r="AJ641" s="1318"/>
      <c r="AK641" s="1318"/>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5" customHeight="1">
      <c r="A642" s="4"/>
      <c r="B642" t="s">
        <v>835</v>
      </c>
      <c r="H642" s="1057" t="s">
        <v>2432</v>
      </c>
      <c r="I642" s="1057"/>
      <c r="J642" s="1057"/>
      <c r="K642" s="1057"/>
      <c r="L642" s="1057"/>
      <c r="M642" s="1057"/>
      <c r="N642" s="1057"/>
      <c r="O642" s="1057"/>
      <c r="P642" s="1057"/>
      <c r="Q642" s="1057"/>
      <c r="R642" s="1057"/>
      <c r="S642" s="12"/>
      <c r="T642" s="4"/>
      <c r="U642" t="s">
        <v>835</v>
      </c>
      <c r="AA642" s="1057" t="s">
        <v>2425</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5" customHeight="1">
      <c r="A643" s="5"/>
      <c r="B643" t="s">
        <v>837</v>
      </c>
      <c r="N643" s="1117" t="s">
        <v>108</v>
      </c>
      <c r="O643" s="1117"/>
      <c r="T643" s="4"/>
      <c r="U643" t="s">
        <v>837</v>
      </c>
      <c r="AG643" s="1117" t="s">
        <v>108</v>
      </c>
      <c r="AH643" s="1117"/>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5" customHeight="1">
      <c r="A645" s="61" t="s">
        <v>908</v>
      </c>
      <c r="B645" t="s">
        <v>82</v>
      </c>
      <c r="G645" s="1187">
        <f>C623</f>
        <v>0</v>
      </c>
      <c r="H645" s="1187"/>
      <c r="I645" s="1187"/>
      <c r="J645" s="1187"/>
      <c r="K645" s="1187"/>
      <c r="L645" s="1187"/>
      <c r="M645" s="1187"/>
      <c r="N645" s="1187"/>
      <c r="O645" s="1187"/>
      <c r="P645" s="1187"/>
      <c r="Q645" s="1187"/>
      <c r="R645" s="1187"/>
      <c r="T645" s="61" t="s">
        <v>432</v>
      </c>
      <c r="U645" t="s">
        <v>82</v>
      </c>
      <c r="Z645" s="1187">
        <f>C624</f>
        <v>0</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2.95" customHeight="1" thickBot="1">
      <c r="A646" s="4"/>
      <c r="B646" t="s">
        <v>373</v>
      </c>
      <c r="G646" s="1057"/>
      <c r="H646" s="1057"/>
      <c r="I646" s="1057"/>
      <c r="J646" s="1057"/>
      <c r="K646" s="1057"/>
      <c r="L646" s="1057"/>
      <c r="M646" s="1057"/>
      <c r="N646" s="1057"/>
      <c r="O646" s="1057"/>
      <c r="P646" s="1057"/>
      <c r="Q646" s="1057"/>
      <c r="R646" s="1057"/>
      <c r="T646" s="4"/>
      <c r="U646" t="s">
        <v>373</v>
      </c>
      <c r="Z646" s="1057"/>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5"/>
      <c r="H647" s="1055"/>
      <c r="I647" s="1055"/>
      <c r="J647" s="1055"/>
      <c r="K647" s="1055"/>
      <c r="L647" s="1055"/>
      <c r="M647" s="1055"/>
      <c r="N647" s="1055"/>
      <c r="O647" s="1055"/>
      <c r="P647" s="1055"/>
      <c r="Q647" s="1055"/>
      <c r="R647" s="1055"/>
      <c r="T647" s="4"/>
      <c r="U647" t="s">
        <v>431</v>
      </c>
      <c r="Z647" s="1055"/>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055"/>
      <c r="H648" s="1055"/>
      <c r="I648" s="1055"/>
      <c r="J648" s="1055"/>
      <c r="K648" s="1055"/>
      <c r="L648" s="1055"/>
      <c r="M648" s="1055"/>
      <c r="N648" s="1055"/>
      <c r="O648" s="1055"/>
      <c r="P648" s="1055"/>
      <c r="Q648" s="1055"/>
      <c r="R648" s="1055"/>
      <c r="T648" s="4"/>
      <c r="U648" t="s">
        <v>834</v>
      </c>
      <c r="Z648" s="1055"/>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059"/>
      <c r="H649" s="1059"/>
      <c r="I649" s="1059"/>
      <c r="J649" s="1059"/>
      <c r="K649" s="1059"/>
      <c r="L649" s="1059"/>
      <c r="O649" s="42" t="s">
        <v>819</v>
      </c>
      <c r="P649" s="1318"/>
      <c r="Q649" s="1318"/>
      <c r="R649" s="1318"/>
      <c r="T649" s="4"/>
      <c r="U649" t="s">
        <v>651</v>
      </c>
      <c r="Z649" s="1059"/>
      <c r="AA649" s="1059"/>
      <c r="AB649" s="1059"/>
      <c r="AC649" s="1059"/>
      <c r="AD649" s="1059"/>
      <c r="AE649" s="1059"/>
      <c r="AH649" s="42" t="s">
        <v>819</v>
      </c>
      <c r="AI649" s="1318"/>
      <c r="AJ649" s="1318"/>
      <c r="AK649" s="1318"/>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43</v>
      </c>
      <c r="CR649" s="41"/>
      <c r="CS649" s="41"/>
    </row>
    <row r="650" spans="1:97" ht="12.95" customHeight="1">
      <c r="A650" s="4"/>
      <c r="B650" t="s">
        <v>835</v>
      </c>
      <c r="H650" s="1057"/>
      <c r="I650" s="1057"/>
      <c r="J650" s="1057"/>
      <c r="K650" s="1057"/>
      <c r="L650" s="1057"/>
      <c r="M650" s="1057"/>
      <c r="N650" s="1057"/>
      <c r="O650" s="1057"/>
      <c r="P650" s="1057"/>
      <c r="Q650" s="1057"/>
      <c r="R650" s="1057"/>
      <c r="T650" s="4"/>
      <c r="U650" t="s">
        <v>835</v>
      </c>
      <c r="AA650" s="1057"/>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17" t="s">
        <v>483</v>
      </c>
      <c r="O651" s="1117"/>
      <c r="T651" s="4"/>
      <c r="U651" t="s">
        <v>837</v>
      </c>
      <c r="AG651" s="1117" t="s">
        <v>483</v>
      </c>
      <c r="AH651" s="1117"/>
      <c r="AM651" s="41"/>
      <c r="AN651" s="41"/>
      <c r="AO651" s="41"/>
      <c r="AP651" s="41"/>
      <c r="AQ651" s="41"/>
      <c r="AR651" s="41"/>
      <c r="AS651" s="41"/>
      <c r="AT651" s="41"/>
      <c r="AU651" s="41"/>
      <c r="AV651" s="41"/>
      <c r="AW651" s="41"/>
      <c r="AX651" s="41"/>
      <c r="AY651" s="41"/>
      <c r="AZ651" s="41"/>
      <c r="BA651" s="41"/>
      <c r="BB651" s="41"/>
      <c r="BC651" s="41"/>
      <c r="BD651" s="41"/>
      <c r="BN651" s="1506">
        <f>BN626+BN633+BN645</f>
        <v>0</v>
      </c>
      <c r="BO651" s="1507"/>
      <c r="BP651" s="1507"/>
      <c r="BQ651" s="1507"/>
      <c r="BR651" s="1508"/>
      <c r="BS651" s="1506">
        <f>BS626+BS633+BS645</f>
        <v>44</v>
      </c>
      <c r="BT651" s="1507"/>
      <c r="BU651" s="1507"/>
      <c r="BV651" s="1507"/>
      <c r="BW651" s="1508"/>
      <c r="BX651" s="1506">
        <f>BX626+BX633+BX645</f>
        <v>0</v>
      </c>
      <c r="BY651" s="1507"/>
      <c r="BZ651" s="1507"/>
      <c r="CA651" s="1507"/>
      <c r="CB651" s="1508"/>
      <c r="CC651" s="1506">
        <f>CC626+CC633+CC645</f>
        <v>0</v>
      </c>
      <c r="CD651" s="1507"/>
      <c r="CE651" s="1507"/>
      <c r="CF651" s="1507"/>
      <c r="CG651" s="1508"/>
      <c r="CH651" s="1506">
        <f>CH626+CH633+CH645</f>
        <v>0</v>
      </c>
      <c r="CI651" s="1507"/>
      <c r="CJ651" s="1507"/>
      <c r="CK651" s="1507"/>
      <c r="CL651" s="1508"/>
      <c r="CM651" s="1076">
        <f>CM645+CM633+CM626</f>
        <v>0</v>
      </c>
      <c r="CN651" s="1306"/>
      <c r="CO651" s="1306"/>
      <c r="CP651" s="1306"/>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7">
        <f>C625</f>
        <v>0</v>
      </c>
      <c r="H653" s="1187"/>
      <c r="I653" s="1187"/>
      <c r="J653" s="1187"/>
      <c r="K653" s="1187"/>
      <c r="L653" s="1187"/>
      <c r="M653" s="1187"/>
      <c r="N653" s="1187"/>
      <c r="O653" s="1187"/>
      <c r="P653" s="1187"/>
      <c r="Q653" s="1187"/>
      <c r="R653" s="1187"/>
      <c r="T653" s="61" t="s">
        <v>435</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7"/>
      <c r="H654" s="1057"/>
      <c r="I654" s="1057"/>
      <c r="J654" s="1057"/>
      <c r="K654" s="1057"/>
      <c r="L654" s="1057"/>
      <c r="M654" s="1057"/>
      <c r="N654" s="1057"/>
      <c r="O654" s="1057"/>
      <c r="P654" s="1057"/>
      <c r="Q654" s="1057"/>
      <c r="R654" s="1057"/>
      <c r="T654" s="4"/>
      <c r="U654" t="s">
        <v>373</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7"/>
      <c r="H655" s="1057"/>
      <c r="I655" s="1057"/>
      <c r="J655" s="1057"/>
      <c r="K655" s="1057"/>
      <c r="L655" s="1057"/>
      <c r="M655" s="1057"/>
      <c r="N655" s="1057"/>
      <c r="O655" s="1057"/>
      <c r="P655" s="1057"/>
      <c r="Q655" s="1057"/>
      <c r="R655" s="1057"/>
      <c r="T655" s="4"/>
      <c r="U655" t="s">
        <v>431</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057"/>
      <c r="H656" s="1057"/>
      <c r="I656" s="1057"/>
      <c r="J656" s="1057"/>
      <c r="K656" s="1057"/>
      <c r="L656" s="1057"/>
      <c r="M656" s="1057"/>
      <c r="N656" s="1057"/>
      <c r="O656" s="1057"/>
      <c r="P656" s="1057"/>
      <c r="Q656" s="1057"/>
      <c r="R656" s="1057"/>
      <c r="T656" s="4"/>
      <c r="U656" t="s">
        <v>834</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059"/>
      <c r="H657" s="1059"/>
      <c r="I657" s="1059"/>
      <c r="J657" s="1059"/>
      <c r="K657" s="1059"/>
      <c r="L657" s="1059"/>
      <c r="O657" s="42" t="s">
        <v>819</v>
      </c>
      <c r="P657" s="1318"/>
      <c r="Q657" s="1318"/>
      <c r="R657" s="1318"/>
      <c r="T657" s="4"/>
      <c r="U657" t="s">
        <v>651</v>
      </c>
      <c r="Z657" s="1059"/>
      <c r="AA657" s="1059"/>
      <c r="AB657" s="1059"/>
      <c r="AC657" s="1059"/>
      <c r="AD657" s="1059"/>
      <c r="AE657" s="1059"/>
      <c r="AH657" s="42" t="s">
        <v>819</v>
      </c>
      <c r="AI657" s="1318"/>
      <c r="AJ657" s="1318"/>
      <c r="AK657" s="131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057"/>
      <c r="I658" s="1057"/>
      <c r="J658" s="1057"/>
      <c r="K658" s="1057"/>
      <c r="L658" s="1057"/>
      <c r="M658" s="1057"/>
      <c r="N658" s="1057"/>
      <c r="O658" s="1057"/>
      <c r="P658" s="1057"/>
      <c r="Q658" s="1057"/>
      <c r="R658" s="1057"/>
      <c r="T658" s="4"/>
      <c r="U658" t="s">
        <v>835</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17" t="s">
        <v>483</v>
      </c>
      <c r="O659" s="1117"/>
      <c r="T659" s="4"/>
      <c r="U659" t="s">
        <v>837</v>
      </c>
      <c r="AG659" s="1117" t="s">
        <v>483</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187">
        <f>C627</f>
        <v>0</v>
      </c>
      <c r="H661" s="1187"/>
      <c r="I661" s="1187"/>
      <c r="J661" s="1187"/>
      <c r="K661" s="1187"/>
      <c r="L661" s="1187"/>
      <c r="M661" s="1187"/>
      <c r="N661" s="1187"/>
      <c r="O661" s="1187"/>
      <c r="P661" s="1187"/>
      <c r="Q661" s="1187"/>
      <c r="R661" s="1187"/>
      <c r="T661" s="61" t="s">
        <v>744</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057"/>
      <c r="H662" s="1057"/>
      <c r="I662" s="1057"/>
      <c r="J662" s="1057"/>
      <c r="K662" s="1057"/>
      <c r="L662" s="1057"/>
      <c r="M662" s="1057"/>
      <c r="N662" s="1057"/>
      <c r="O662" s="1057"/>
      <c r="P662" s="1057"/>
      <c r="Q662" s="1057"/>
      <c r="R662" s="1057"/>
      <c r="T662" s="4"/>
      <c r="U662" t="s">
        <v>373</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7"/>
      <c r="H663" s="1057"/>
      <c r="I663" s="1057"/>
      <c r="J663" s="1057"/>
      <c r="K663" s="1057"/>
      <c r="L663" s="1057"/>
      <c r="M663" s="1057"/>
      <c r="N663" s="1057"/>
      <c r="O663" s="1057"/>
      <c r="P663" s="1057"/>
      <c r="Q663" s="1057"/>
      <c r="R663" s="1057"/>
      <c r="T663" s="4"/>
      <c r="U663" t="s">
        <v>431</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057"/>
      <c r="H664" s="1057"/>
      <c r="I664" s="1057"/>
      <c r="J664" s="1057"/>
      <c r="K664" s="1057"/>
      <c r="L664" s="1057"/>
      <c r="M664" s="1057"/>
      <c r="N664" s="1057"/>
      <c r="O664" s="1057"/>
      <c r="P664" s="1057"/>
      <c r="Q664" s="1057"/>
      <c r="R664" s="1057"/>
      <c r="T664" s="4"/>
      <c r="U664" t="s">
        <v>834</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059"/>
      <c r="H665" s="1059"/>
      <c r="I665" s="1059"/>
      <c r="J665" s="1059"/>
      <c r="K665" s="1059"/>
      <c r="L665" s="1059"/>
      <c r="O665" s="42" t="s">
        <v>819</v>
      </c>
      <c r="P665" s="1318"/>
      <c r="Q665" s="1318"/>
      <c r="R665" s="1318"/>
      <c r="T665" s="4"/>
      <c r="U665" t="s">
        <v>651</v>
      </c>
      <c r="Z665" s="1059"/>
      <c r="AA665" s="1059"/>
      <c r="AB665" s="1059"/>
      <c r="AC665" s="1059"/>
      <c r="AD665" s="1059"/>
      <c r="AE665" s="1059"/>
      <c r="AH665" s="42" t="s">
        <v>819</v>
      </c>
      <c r="AI665" s="1318"/>
      <c r="AJ665" s="1318"/>
      <c r="AK665" s="131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057"/>
      <c r="I666" s="1057"/>
      <c r="J666" s="1057"/>
      <c r="K666" s="1057"/>
      <c r="L666" s="1057"/>
      <c r="M666" s="1057"/>
      <c r="N666" s="1057"/>
      <c r="O666" s="1057"/>
      <c r="P666" s="1057"/>
      <c r="Q666" s="1057"/>
      <c r="R666" s="1057"/>
      <c r="T666" s="4"/>
      <c r="U666" t="s">
        <v>835</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17" t="s">
        <v>483</v>
      </c>
      <c r="O667" s="1117"/>
      <c r="T667" s="4"/>
      <c r="U667" t="s">
        <v>837</v>
      </c>
      <c r="AG667" s="1117" t="s">
        <v>483</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7"/>
      <c r="H670" s="1057"/>
      <c r="I670" s="1057"/>
      <c r="J670" s="1057"/>
      <c r="K670" s="1057"/>
      <c r="L670" s="1057"/>
      <c r="M670" s="1057"/>
      <c r="N670" s="1057"/>
      <c r="O670" s="1057"/>
      <c r="P670" s="1057"/>
      <c r="Q670" s="1057"/>
      <c r="R670" s="1057"/>
      <c r="T670" s="4"/>
      <c r="U670" t="s">
        <v>373</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7"/>
      <c r="H671" s="1057"/>
      <c r="I671" s="1057"/>
      <c r="J671" s="1057"/>
      <c r="K671" s="1057"/>
      <c r="L671" s="1057"/>
      <c r="M671" s="1057"/>
      <c r="N671" s="1057"/>
      <c r="O671" s="1057"/>
      <c r="P671" s="1057"/>
      <c r="Q671" s="1057"/>
      <c r="R671" s="1057"/>
      <c r="T671" s="4"/>
      <c r="U671" t="s">
        <v>431</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057"/>
      <c r="H672" s="1057"/>
      <c r="I672" s="1057"/>
      <c r="J672" s="1057"/>
      <c r="K672" s="1057"/>
      <c r="L672" s="1057"/>
      <c r="M672" s="1057"/>
      <c r="N672" s="1057"/>
      <c r="O672" s="1057"/>
      <c r="P672" s="1057"/>
      <c r="Q672" s="1057"/>
      <c r="R672" s="1057"/>
      <c r="T672" s="4"/>
      <c r="U672" t="s">
        <v>834</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059"/>
      <c r="H673" s="1059"/>
      <c r="I673" s="1059"/>
      <c r="J673" s="1059"/>
      <c r="K673" s="1059"/>
      <c r="L673" s="1059"/>
      <c r="O673" s="42" t="s">
        <v>819</v>
      </c>
      <c r="P673" s="1318"/>
      <c r="Q673" s="1318"/>
      <c r="R673" s="1318"/>
      <c r="T673" s="4"/>
      <c r="U673" t="s">
        <v>651</v>
      </c>
      <c r="Z673" s="1059"/>
      <c r="AA673" s="1059"/>
      <c r="AB673" s="1059"/>
      <c r="AC673" s="1059"/>
      <c r="AD673" s="1059"/>
      <c r="AE673" s="1059"/>
      <c r="AH673" s="42" t="s">
        <v>819</v>
      </c>
      <c r="AI673" s="1318"/>
      <c r="AJ673" s="1318"/>
      <c r="AK673" s="131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057"/>
      <c r="I674" s="1057"/>
      <c r="J674" s="1057"/>
      <c r="K674" s="1057"/>
      <c r="L674" s="1057"/>
      <c r="M674" s="1057"/>
      <c r="N674" s="1057"/>
      <c r="O674" s="1057"/>
      <c r="P674" s="1057"/>
      <c r="Q674" s="1057"/>
      <c r="R674" s="1057"/>
      <c r="T674" s="4"/>
      <c r="U674" t="s">
        <v>835</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17" t="s">
        <v>483</v>
      </c>
      <c r="O675" s="1117"/>
      <c r="T675" s="4"/>
      <c r="U675" t="s">
        <v>837</v>
      </c>
      <c r="AG675" s="1117" t="s">
        <v>483</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7"/>
      <c r="H678" s="1057"/>
      <c r="I678" s="1057"/>
      <c r="J678" s="1057"/>
      <c r="K678" s="1057"/>
      <c r="L678" s="1057"/>
      <c r="M678" s="1057"/>
      <c r="N678" s="1057"/>
      <c r="O678" s="1057"/>
      <c r="P678" s="1057"/>
      <c r="Q678" s="1057"/>
      <c r="R678" s="1057"/>
      <c r="T678" s="4"/>
      <c r="U678" t="s">
        <v>373</v>
      </c>
      <c r="Z678" s="1057"/>
      <c r="AA678" s="1057"/>
      <c r="AB678" s="1057"/>
      <c r="AC678" s="1057"/>
      <c r="AD678" s="1057"/>
      <c r="AE678" s="1057"/>
      <c r="AF678" s="1057"/>
      <c r="AG678" s="1057"/>
      <c r="AH678" s="1057"/>
      <c r="AI678" s="1057"/>
      <c r="AJ678" s="1057"/>
      <c r="AK678" s="1057"/>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7"/>
      <c r="H679" s="1057"/>
      <c r="I679" s="1057"/>
      <c r="J679" s="1057"/>
      <c r="K679" s="1057"/>
      <c r="L679" s="1057"/>
      <c r="M679" s="1057"/>
      <c r="N679" s="1057"/>
      <c r="O679" s="1057"/>
      <c r="P679" s="1057"/>
      <c r="Q679" s="1057"/>
      <c r="R679" s="1057"/>
      <c r="U679" t="s">
        <v>431</v>
      </c>
      <c r="Z679" s="1055"/>
      <c r="AA679" s="1055"/>
      <c r="AB679" s="1055"/>
      <c r="AC679" s="1055"/>
      <c r="AD679" s="1055"/>
      <c r="AE679" s="1055"/>
      <c r="AF679" s="1055"/>
      <c r="AG679" s="1055"/>
      <c r="AH679" s="1055"/>
      <c r="AI679" s="1055"/>
      <c r="AJ679" s="1055"/>
      <c r="AK679" s="1055"/>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057"/>
      <c r="H680" s="1057"/>
      <c r="I680" s="1057"/>
      <c r="J680" s="1057"/>
      <c r="K680" s="1057"/>
      <c r="L680" s="1057"/>
      <c r="M680" s="1057"/>
      <c r="N680" s="1057"/>
      <c r="O680" s="1057"/>
      <c r="P680" s="1057"/>
      <c r="Q680" s="1057"/>
      <c r="R680" s="1057"/>
      <c r="U680" t="s">
        <v>834</v>
      </c>
      <c r="Z680" s="1055"/>
      <c r="AA680" s="1055"/>
      <c r="AB680" s="1055"/>
      <c r="AC680" s="1055"/>
      <c r="AD680" s="1055"/>
      <c r="AE680" s="1055"/>
      <c r="AF680" s="1055"/>
      <c r="AG680" s="1055"/>
      <c r="AH680" s="1055"/>
      <c r="AI680" s="1055"/>
      <c r="AJ680" s="1055"/>
      <c r="AK680" s="1055"/>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059"/>
      <c r="H681" s="1059"/>
      <c r="I681" s="1059"/>
      <c r="J681" s="1059"/>
      <c r="K681" s="1059"/>
      <c r="L681" s="1059"/>
      <c r="O681" s="42" t="s">
        <v>819</v>
      </c>
      <c r="P681" s="1318"/>
      <c r="Q681" s="1318"/>
      <c r="R681" s="1318"/>
      <c r="U681" t="s">
        <v>651</v>
      </c>
      <c r="Z681" s="1059"/>
      <c r="AA681" s="1059"/>
      <c r="AB681" s="1059"/>
      <c r="AC681" s="1059"/>
      <c r="AD681" s="1059"/>
      <c r="AE681" s="1059"/>
      <c r="AH681" s="42" t="s">
        <v>819</v>
      </c>
      <c r="AI681" s="1318"/>
      <c r="AJ681" s="1318"/>
      <c r="AK681" s="1318"/>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057"/>
      <c r="I682" s="1057"/>
      <c r="J682" s="1057"/>
      <c r="K682" s="1057"/>
      <c r="L682" s="1057"/>
      <c r="M682" s="1057"/>
      <c r="N682" s="1057"/>
      <c r="O682" s="1057"/>
      <c r="P682" s="1057"/>
      <c r="Q682" s="1057"/>
      <c r="R682" s="1057"/>
      <c r="U682" t="s">
        <v>835</v>
      </c>
      <c r="AA682" s="1057"/>
      <c r="AB682" s="1057"/>
      <c r="AC682" s="1057"/>
      <c r="AD682" s="1057"/>
      <c r="AE682" s="1057"/>
      <c r="AF682" s="1057"/>
      <c r="AG682" s="1057"/>
      <c r="AH682" s="1057"/>
      <c r="AI682" s="1057"/>
      <c r="AJ682" s="1057"/>
      <c r="AK682" s="1057"/>
      <c r="AM682" s="41"/>
      <c r="BA682" s="43">
        <f t="shared" si="45"/>
        <v>1546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17" t="s">
        <v>483</v>
      </c>
      <c r="O683" s="1117"/>
      <c r="U683" t="s">
        <v>837</v>
      </c>
      <c r="AG683" s="1117" t="s">
        <v>483</v>
      </c>
      <c r="AH683" s="1117"/>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5</v>
      </c>
      <c r="BH689" s="452">
        <f>IF($BG$714=0,"",BG689/$BG$714)</f>
        <v>0.11627906976744186</v>
      </c>
      <c r="BI689" s="453">
        <f>IF(BH689="","",BH689*AH695)</f>
        <v>3.4883720930232558E-2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5</v>
      </c>
      <c r="BH690" s="452">
        <f t="shared" ref="BH690:BH713" si="47">IF($BG$714=0,"",BG690/$BG$714)</f>
        <v>0.11627906976744186</v>
      </c>
      <c r="BI690" s="453">
        <f t="shared" ref="BI690:BI713" si="48">IF(BH690="","",BH690*AH696)</f>
        <v>5.232558139534884E-2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9" t="s">
        <v>54</v>
      </c>
      <c r="C691" s="1270"/>
      <c r="D691" s="1270"/>
      <c r="E691" s="1270"/>
      <c r="F691" s="1271"/>
      <c r="G691" s="1269" t="s">
        <v>256</v>
      </c>
      <c r="H691" s="1270"/>
      <c r="I691" s="1270"/>
      <c r="J691" s="1271"/>
      <c r="K691" s="1458" t="s">
        <v>1997</v>
      </c>
      <c r="L691" s="1459"/>
      <c r="M691" s="1459"/>
      <c r="N691" s="1460"/>
      <c r="O691" s="1269" t="s">
        <v>590</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1998</v>
      </c>
      <c r="AI691" s="1270"/>
      <c r="AJ691" s="1270"/>
      <c r="AK691" s="1270"/>
      <c r="AL691" s="1271"/>
      <c r="AM691" s="1269" t="s">
        <v>1999</v>
      </c>
      <c r="AN691" s="1270"/>
      <c r="AO691" s="1271"/>
      <c r="BA691" s="43" t="str">
        <f t="shared" si="45"/>
        <v>N/A</v>
      </c>
      <c r="BB691" s="41"/>
      <c r="BC691" s="41"/>
      <c r="BD691" s="41"/>
      <c r="BE691" s="41"/>
      <c r="BF691" s="41"/>
      <c r="BG691" s="446">
        <f t="shared" si="46"/>
        <v>22</v>
      </c>
      <c r="BH691" s="452">
        <f t="shared" si="47"/>
        <v>0.51162790697674421</v>
      </c>
      <c r="BI691" s="453">
        <f t="shared" si="48"/>
        <v>0.2558139534883721</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2"/>
      <c r="C692" s="1273"/>
      <c r="D692" s="1273"/>
      <c r="E692" s="1273"/>
      <c r="F692" s="1274"/>
      <c r="G692" s="1272"/>
      <c r="H692" s="1273"/>
      <c r="I692" s="1273"/>
      <c r="J692" s="1274"/>
      <c r="K692" s="1461"/>
      <c r="L692" s="1462"/>
      <c r="M692" s="1462"/>
      <c r="N692" s="1463"/>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A692" s="43" t="str">
        <f t="shared" si="45"/>
        <v>N/A</v>
      </c>
      <c r="BB692" s="41"/>
      <c r="BC692" s="41"/>
      <c r="BD692" s="41"/>
      <c r="BE692" s="41"/>
      <c r="BF692" s="41"/>
      <c r="BG692" s="446">
        <f t="shared" si="46"/>
        <v>5</v>
      </c>
      <c r="BH692" s="452">
        <f t="shared" si="47"/>
        <v>0.11627906976744186</v>
      </c>
      <c r="BI692" s="453">
        <f t="shared" si="48"/>
        <v>6.3953488372093026E-2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2"/>
      <c r="C693" s="1273"/>
      <c r="D693" s="1273"/>
      <c r="E693" s="1273"/>
      <c r="F693" s="1274"/>
      <c r="G693" s="1272"/>
      <c r="H693" s="1273"/>
      <c r="I693" s="1273"/>
      <c r="J693" s="1274"/>
      <c r="K693" s="1461"/>
      <c r="L693" s="1462"/>
      <c r="M693" s="1462"/>
      <c r="N693" s="1463"/>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BA693" s="43" t="str">
        <f t="shared" si="45"/>
        <v>N/A</v>
      </c>
      <c r="BB693" s="41"/>
      <c r="BC693" s="41"/>
      <c r="BD693" s="41"/>
      <c r="BE693" s="41"/>
      <c r="BF693" s="41"/>
      <c r="BG693" s="446">
        <f t="shared" si="46"/>
        <v>6</v>
      </c>
      <c r="BH693" s="452">
        <f t="shared" si="47"/>
        <v>0.13953488372093023</v>
      </c>
      <c r="BI693" s="453">
        <f t="shared" si="48"/>
        <v>8.3720930232558138E-2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5"/>
      <c r="C694" s="1276"/>
      <c r="D694" s="1276"/>
      <c r="E694" s="1276"/>
      <c r="F694" s="1277"/>
      <c r="G694" s="1275"/>
      <c r="H694" s="1276"/>
      <c r="I694" s="1276"/>
      <c r="J694" s="1277"/>
      <c r="K694" s="1461"/>
      <c r="L694" s="1462"/>
      <c r="M694" s="1462"/>
      <c r="N694" s="1463"/>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1" t="s">
        <v>443</v>
      </c>
      <c r="C695" s="1082"/>
      <c r="D695" s="1082"/>
      <c r="E695" s="1082"/>
      <c r="F695" s="1083"/>
      <c r="G695" s="1084">
        <v>5</v>
      </c>
      <c r="H695" s="1085"/>
      <c r="I695" s="1085"/>
      <c r="J695" s="1086"/>
      <c r="K695" s="1087">
        <v>613</v>
      </c>
      <c r="L695" s="1088"/>
      <c r="M695" s="1088"/>
      <c r="N695" s="1089"/>
      <c r="O695" s="1090">
        <v>355</v>
      </c>
      <c r="P695" s="1091"/>
      <c r="Q695" s="1091"/>
      <c r="R695" s="1091"/>
      <c r="S695" s="1092"/>
      <c r="T695" s="1093">
        <f t="shared" ref="T695:T729" si="49">G695*O695</f>
        <v>1775</v>
      </c>
      <c r="U695" s="1094"/>
      <c r="V695" s="1094"/>
      <c r="W695" s="1094"/>
      <c r="X695" s="1095"/>
      <c r="Y695" s="1090">
        <v>109</v>
      </c>
      <c r="Z695" s="1091"/>
      <c r="AA695" s="1091"/>
      <c r="AB695" s="1092"/>
      <c r="AC695" s="1093">
        <f t="shared" ref="AC695:AC729" si="50">O695+Y695</f>
        <v>464</v>
      </c>
      <c r="AD695" s="1094"/>
      <c r="AE695" s="1094"/>
      <c r="AF695" s="1094"/>
      <c r="AG695" s="1095"/>
      <c r="AH695" s="1349">
        <v>0.3</v>
      </c>
      <c r="AI695" s="1350"/>
      <c r="AJ695" s="1350"/>
      <c r="AK695" s="1350"/>
      <c r="AL695" s="1351"/>
      <c r="AM695" s="1078">
        <f>IF($AH695&gt;0,($AC695/$BA678),"")</f>
        <v>0.30012936610608021</v>
      </c>
      <c r="AN695" s="1079"/>
      <c r="AO695" s="1080"/>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1" t="s">
        <v>443</v>
      </c>
      <c r="C696" s="1082"/>
      <c r="D696" s="1082"/>
      <c r="E696" s="1082"/>
      <c r="F696" s="1083"/>
      <c r="G696" s="1084">
        <v>5</v>
      </c>
      <c r="H696" s="1085"/>
      <c r="I696" s="1085"/>
      <c r="J696" s="1086"/>
      <c r="K696" s="1087">
        <v>553</v>
      </c>
      <c r="L696" s="1088"/>
      <c r="M696" s="1088"/>
      <c r="N696" s="1089"/>
      <c r="O696" s="1090">
        <v>587</v>
      </c>
      <c r="P696" s="1091"/>
      <c r="Q696" s="1091"/>
      <c r="R696" s="1091"/>
      <c r="S696" s="1092"/>
      <c r="T696" s="1093">
        <f t="shared" si="49"/>
        <v>2935</v>
      </c>
      <c r="U696" s="1094"/>
      <c r="V696" s="1094"/>
      <c r="W696" s="1094"/>
      <c r="X696" s="1095"/>
      <c r="Y696" s="1090">
        <v>109</v>
      </c>
      <c r="Z696" s="1091"/>
      <c r="AA696" s="1091"/>
      <c r="AB696" s="1092"/>
      <c r="AC696" s="1093">
        <f t="shared" si="50"/>
        <v>696</v>
      </c>
      <c r="AD696" s="1094"/>
      <c r="AE696" s="1094"/>
      <c r="AF696" s="1094"/>
      <c r="AG696" s="1095"/>
      <c r="AH696" s="1096">
        <v>0.45</v>
      </c>
      <c r="AI696" s="1097"/>
      <c r="AJ696" s="1097"/>
      <c r="AK696" s="1097"/>
      <c r="AL696" s="1098"/>
      <c r="AM696" s="1078">
        <f t="shared" ref="AM696:AM728" si="51">IF($AH696&gt;0,($AC696/$BA679), "")</f>
        <v>0.45019404915912031</v>
      </c>
      <c r="AN696" s="1079"/>
      <c r="AO696" s="1080"/>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1" t="s">
        <v>443</v>
      </c>
      <c r="C697" s="1082"/>
      <c r="D697" s="1082"/>
      <c r="E697" s="1082"/>
      <c r="F697" s="1083"/>
      <c r="G697" s="1084">
        <v>22</v>
      </c>
      <c r="H697" s="1085"/>
      <c r="I697" s="1085"/>
      <c r="J697" s="1086"/>
      <c r="K697" s="1087">
        <v>553</v>
      </c>
      <c r="L697" s="1088"/>
      <c r="M697" s="1088"/>
      <c r="N697" s="1089"/>
      <c r="O697" s="1090">
        <v>664</v>
      </c>
      <c r="P697" s="1091"/>
      <c r="Q697" s="1091"/>
      <c r="R697" s="1091"/>
      <c r="S697" s="1092"/>
      <c r="T697" s="1093">
        <f t="shared" si="49"/>
        <v>14608</v>
      </c>
      <c r="U697" s="1094"/>
      <c r="V697" s="1094"/>
      <c r="W697" s="1094"/>
      <c r="X697" s="1095"/>
      <c r="Y697" s="1090">
        <v>109</v>
      </c>
      <c r="Z697" s="1091"/>
      <c r="AA697" s="1091"/>
      <c r="AB697" s="1092"/>
      <c r="AC697" s="1093">
        <f t="shared" si="50"/>
        <v>773</v>
      </c>
      <c r="AD697" s="1094"/>
      <c r="AE697" s="1094"/>
      <c r="AF697" s="1094"/>
      <c r="AG697" s="1095"/>
      <c r="AH697" s="1096">
        <v>0.5</v>
      </c>
      <c r="AI697" s="1097"/>
      <c r="AJ697" s="1097"/>
      <c r="AK697" s="1097"/>
      <c r="AL697" s="1098"/>
      <c r="AM697" s="1078">
        <f t="shared" si="51"/>
        <v>0.5</v>
      </c>
      <c r="AN697" s="1079"/>
      <c r="AO697" s="1080"/>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1" t="s">
        <v>443</v>
      </c>
      <c r="C698" s="1082"/>
      <c r="D698" s="1082"/>
      <c r="E698" s="1082"/>
      <c r="F698" s="1083"/>
      <c r="G698" s="1084">
        <v>5</v>
      </c>
      <c r="H698" s="1085"/>
      <c r="I698" s="1085"/>
      <c r="J698" s="1086"/>
      <c r="K698" s="1087">
        <v>553</v>
      </c>
      <c r="L698" s="1088"/>
      <c r="M698" s="1088"/>
      <c r="N698" s="1089"/>
      <c r="O698" s="1090">
        <v>742</v>
      </c>
      <c r="P698" s="1091"/>
      <c r="Q698" s="1091"/>
      <c r="R698" s="1091"/>
      <c r="S698" s="1092"/>
      <c r="T698" s="1093">
        <f t="shared" si="49"/>
        <v>3710</v>
      </c>
      <c r="U698" s="1094"/>
      <c r="V698" s="1094"/>
      <c r="W698" s="1094"/>
      <c r="X698" s="1095"/>
      <c r="Y698" s="1090">
        <v>109</v>
      </c>
      <c r="Z698" s="1091"/>
      <c r="AA698" s="1091"/>
      <c r="AB698" s="1092"/>
      <c r="AC698" s="1093">
        <f t="shared" si="50"/>
        <v>851</v>
      </c>
      <c r="AD698" s="1094"/>
      <c r="AE698" s="1094"/>
      <c r="AF698" s="1094"/>
      <c r="AG698" s="1095"/>
      <c r="AH698" s="1096">
        <v>0.55000000000000004</v>
      </c>
      <c r="AI698" s="1097"/>
      <c r="AJ698" s="1097"/>
      <c r="AK698" s="1097"/>
      <c r="AL698" s="1098"/>
      <c r="AM698" s="1078">
        <f t="shared" si="51"/>
        <v>0.55045278137128073</v>
      </c>
      <c r="AN698" s="1079"/>
      <c r="AO698" s="1080"/>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1" t="s">
        <v>443</v>
      </c>
      <c r="C699" s="1082"/>
      <c r="D699" s="1082"/>
      <c r="E699" s="1082"/>
      <c r="F699" s="1083"/>
      <c r="G699" s="1084">
        <v>6</v>
      </c>
      <c r="H699" s="1085"/>
      <c r="I699" s="1085"/>
      <c r="J699" s="1086"/>
      <c r="K699" s="1087">
        <v>553</v>
      </c>
      <c r="L699" s="1088"/>
      <c r="M699" s="1088"/>
      <c r="N699" s="1089"/>
      <c r="O699" s="1090">
        <v>819</v>
      </c>
      <c r="P699" s="1091"/>
      <c r="Q699" s="1091"/>
      <c r="R699" s="1091"/>
      <c r="S699" s="1092"/>
      <c r="T699" s="1093">
        <f t="shared" si="49"/>
        <v>4914</v>
      </c>
      <c r="U699" s="1094"/>
      <c r="V699" s="1094"/>
      <c r="W699" s="1094"/>
      <c r="X699" s="1095"/>
      <c r="Y699" s="1090">
        <v>109</v>
      </c>
      <c r="Z699" s="1091"/>
      <c r="AA699" s="1091"/>
      <c r="AB699" s="1092"/>
      <c r="AC699" s="1093">
        <f t="shared" si="50"/>
        <v>928</v>
      </c>
      <c r="AD699" s="1094"/>
      <c r="AE699" s="1094"/>
      <c r="AF699" s="1094"/>
      <c r="AG699" s="1095"/>
      <c r="AH699" s="1096">
        <v>0.6</v>
      </c>
      <c r="AI699" s="1097"/>
      <c r="AJ699" s="1097"/>
      <c r="AK699" s="1097"/>
      <c r="AL699" s="1098"/>
      <c r="AM699" s="1078">
        <f t="shared" si="51"/>
        <v>0.60025873221216042</v>
      </c>
      <c r="AN699" s="1079"/>
      <c r="AO699" s="1080"/>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1"/>
      <c r="C700" s="1082"/>
      <c r="D700" s="1082"/>
      <c r="E700" s="1082"/>
      <c r="F700" s="1083"/>
      <c r="G700" s="1084"/>
      <c r="H700" s="1085"/>
      <c r="I700" s="1085"/>
      <c r="J700" s="1086"/>
      <c r="K700" s="1087"/>
      <c r="L700" s="1088"/>
      <c r="M700" s="1088"/>
      <c r="N700" s="1089"/>
      <c r="O700" s="1090"/>
      <c r="P700" s="1091"/>
      <c r="Q700" s="1091"/>
      <c r="R700" s="1091"/>
      <c r="S700" s="1092"/>
      <c r="T700" s="1093">
        <f t="shared" si="49"/>
        <v>0</v>
      </c>
      <c r="U700" s="1094"/>
      <c r="V700" s="1094"/>
      <c r="W700" s="1094"/>
      <c r="X700" s="1095"/>
      <c r="Y700" s="1090"/>
      <c r="Z700" s="1091"/>
      <c r="AA700" s="1091"/>
      <c r="AB700" s="1092"/>
      <c r="AC700" s="1093">
        <f t="shared" si="50"/>
        <v>0</v>
      </c>
      <c r="AD700" s="1094"/>
      <c r="AE700" s="1094"/>
      <c r="AF700" s="1094"/>
      <c r="AG700" s="1095"/>
      <c r="AH700" s="1096"/>
      <c r="AI700" s="1097"/>
      <c r="AJ700" s="1097"/>
      <c r="AK700" s="1097"/>
      <c r="AL700" s="1098"/>
      <c r="AM700" s="1078" t="str">
        <f t="shared" si="51"/>
        <v/>
      </c>
      <c r="AN700" s="1079"/>
      <c r="AO700" s="1080"/>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1"/>
      <c r="C701" s="1082"/>
      <c r="D701" s="1082"/>
      <c r="E701" s="1082"/>
      <c r="F701" s="1083"/>
      <c r="G701" s="1084"/>
      <c r="H701" s="1085"/>
      <c r="I701" s="1085"/>
      <c r="J701" s="1086"/>
      <c r="K701" s="1087"/>
      <c r="L701" s="1088"/>
      <c r="M701" s="1088"/>
      <c r="N701" s="1089"/>
      <c r="O701" s="1090"/>
      <c r="P701" s="1091"/>
      <c r="Q701" s="1091"/>
      <c r="R701" s="1091"/>
      <c r="S701" s="1092"/>
      <c r="T701" s="1093">
        <f t="shared" si="49"/>
        <v>0</v>
      </c>
      <c r="U701" s="1094"/>
      <c r="V701" s="1094"/>
      <c r="W701" s="1094"/>
      <c r="X701" s="1095"/>
      <c r="Y701" s="1090"/>
      <c r="Z701" s="1091"/>
      <c r="AA701" s="1091"/>
      <c r="AB701" s="1092"/>
      <c r="AC701" s="1093">
        <f t="shared" si="50"/>
        <v>0</v>
      </c>
      <c r="AD701" s="1094"/>
      <c r="AE701" s="1094"/>
      <c r="AF701" s="1094"/>
      <c r="AG701" s="1095"/>
      <c r="AH701" s="1096"/>
      <c r="AI701" s="1097"/>
      <c r="AJ701" s="1097"/>
      <c r="AK701" s="1097"/>
      <c r="AL701" s="1098"/>
      <c r="AM701" s="1078" t="str">
        <f t="shared" si="51"/>
        <v/>
      </c>
      <c r="AN701" s="1079"/>
      <c r="AO701" s="1080"/>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1"/>
      <c r="C702" s="1082"/>
      <c r="D702" s="1082"/>
      <c r="E702" s="1082"/>
      <c r="F702" s="1083"/>
      <c r="G702" s="1084"/>
      <c r="H702" s="1085"/>
      <c r="I702" s="1085"/>
      <c r="J702" s="1086"/>
      <c r="K702" s="1087"/>
      <c r="L702" s="1088"/>
      <c r="M702" s="1088"/>
      <c r="N702" s="1089"/>
      <c r="O702" s="1090"/>
      <c r="P702" s="1091"/>
      <c r="Q702" s="1091"/>
      <c r="R702" s="1091"/>
      <c r="S702" s="1092"/>
      <c r="T702" s="1093">
        <f t="shared" si="49"/>
        <v>0</v>
      </c>
      <c r="U702" s="1094"/>
      <c r="V702" s="1094"/>
      <c r="W702" s="1094"/>
      <c r="X702" s="1095"/>
      <c r="Y702" s="1090"/>
      <c r="Z702" s="1091"/>
      <c r="AA702" s="1091"/>
      <c r="AB702" s="1092"/>
      <c r="AC702" s="1093">
        <f t="shared" si="50"/>
        <v>0</v>
      </c>
      <c r="AD702" s="1094"/>
      <c r="AE702" s="1094"/>
      <c r="AF702" s="1094"/>
      <c r="AG702" s="1095"/>
      <c r="AH702" s="1096"/>
      <c r="AI702" s="1097"/>
      <c r="AJ702" s="1097"/>
      <c r="AK702" s="1097"/>
      <c r="AL702" s="1098"/>
      <c r="AM702" s="1078" t="str">
        <f t="shared" si="51"/>
        <v/>
      </c>
      <c r="AN702" s="1079"/>
      <c r="AO702" s="1080"/>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1"/>
      <c r="C703" s="1082"/>
      <c r="D703" s="1082"/>
      <c r="E703" s="1082"/>
      <c r="F703" s="1083"/>
      <c r="G703" s="1084"/>
      <c r="H703" s="1085"/>
      <c r="I703" s="1085"/>
      <c r="J703" s="1086"/>
      <c r="K703" s="1087"/>
      <c r="L703" s="1088"/>
      <c r="M703" s="1088"/>
      <c r="N703" s="1089"/>
      <c r="O703" s="1090"/>
      <c r="P703" s="1091"/>
      <c r="Q703" s="1091"/>
      <c r="R703" s="1091"/>
      <c r="S703" s="1092"/>
      <c r="T703" s="1093">
        <f t="shared" si="49"/>
        <v>0</v>
      </c>
      <c r="U703" s="1094"/>
      <c r="V703" s="1094"/>
      <c r="W703" s="1094"/>
      <c r="X703" s="1095"/>
      <c r="Y703" s="1090"/>
      <c r="Z703" s="1091"/>
      <c r="AA703" s="1091"/>
      <c r="AB703" s="1092"/>
      <c r="AC703" s="1093">
        <f t="shared" si="50"/>
        <v>0</v>
      </c>
      <c r="AD703" s="1094"/>
      <c r="AE703" s="1094"/>
      <c r="AF703" s="1094"/>
      <c r="AG703" s="1095"/>
      <c r="AH703" s="1096"/>
      <c r="AI703" s="1097"/>
      <c r="AJ703" s="1097"/>
      <c r="AK703" s="1097"/>
      <c r="AL703" s="1098"/>
      <c r="AM703" s="1078" t="str">
        <f t="shared" si="51"/>
        <v/>
      </c>
      <c r="AN703" s="1079"/>
      <c r="AO703" s="1080"/>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1"/>
      <c r="C704" s="1082"/>
      <c r="D704" s="1082"/>
      <c r="E704" s="1082"/>
      <c r="F704" s="1083"/>
      <c r="G704" s="1084"/>
      <c r="H704" s="1085"/>
      <c r="I704" s="1085"/>
      <c r="J704" s="1086"/>
      <c r="K704" s="1087"/>
      <c r="L704" s="1088"/>
      <c r="M704" s="1088"/>
      <c r="N704" s="1089"/>
      <c r="O704" s="1090"/>
      <c r="P704" s="1091"/>
      <c r="Q704" s="1091"/>
      <c r="R704" s="1091"/>
      <c r="S704" s="1092"/>
      <c r="T704" s="1093">
        <f t="shared" si="49"/>
        <v>0</v>
      </c>
      <c r="U704" s="1094"/>
      <c r="V704" s="1094"/>
      <c r="W704" s="1094"/>
      <c r="X704" s="1095"/>
      <c r="Y704" s="1090"/>
      <c r="Z704" s="1091"/>
      <c r="AA704" s="1091"/>
      <c r="AB704" s="1092"/>
      <c r="AC704" s="1093">
        <f t="shared" si="50"/>
        <v>0</v>
      </c>
      <c r="AD704" s="1094"/>
      <c r="AE704" s="1094"/>
      <c r="AF704" s="1094"/>
      <c r="AG704" s="1095"/>
      <c r="AH704" s="1096"/>
      <c r="AI704" s="1097"/>
      <c r="AJ704" s="1097"/>
      <c r="AK704" s="1097"/>
      <c r="AL704" s="1098"/>
      <c r="AM704" s="1078" t="str">
        <f t="shared" si="51"/>
        <v/>
      </c>
      <c r="AN704" s="1079"/>
      <c r="AO704" s="1080"/>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9"/>
        <v>0</v>
      </c>
      <c r="U705" s="1094"/>
      <c r="V705" s="1094"/>
      <c r="W705" s="1094"/>
      <c r="X705" s="1095"/>
      <c r="Y705" s="1090"/>
      <c r="Z705" s="1091"/>
      <c r="AA705" s="1091"/>
      <c r="AB705" s="1092"/>
      <c r="AC705" s="1093">
        <f t="shared" si="50"/>
        <v>0</v>
      </c>
      <c r="AD705" s="1094"/>
      <c r="AE705" s="1094"/>
      <c r="AF705" s="1094"/>
      <c r="AG705" s="1095"/>
      <c r="AH705" s="1096"/>
      <c r="AI705" s="1097"/>
      <c r="AJ705" s="1097"/>
      <c r="AK705" s="1097"/>
      <c r="AL705" s="1098"/>
      <c r="AM705" s="1078" t="str">
        <f t="shared" si="51"/>
        <v/>
      </c>
      <c r="AN705" s="1079"/>
      <c r="AO705" s="1080"/>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9"/>
        <v>0</v>
      </c>
      <c r="U706" s="1094"/>
      <c r="V706" s="1094"/>
      <c r="W706" s="1094"/>
      <c r="X706" s="1095"/>
      <c r="Y706" s="1090"/>
      <c r="Z706" s="1091"/>
      <c r="AA706" s="1091"/>
      <c r="AB706" s="1092"/>
      <c r="AC706" s="1093">
        <f t="shared" si="50"/>
        <v>0</v>
      </c>
      <c r="AD706" s="1094"/>
      <c r="AE706" s="1094"/>
      <c r="AF706" s="1094"/>
      <c r="AG706" s="1095"/>
      <c r="AH706" s="1096"/>
      <c r="AI706" s="1097"/>
      <c r="AJ706" s="1097"/>
      <c r="AK706" s="1097"/>
      <c r="AL706" s="1098"/>
      <c r="AM706" s="1078" t="str">
        <f t="shared" si="51"/>
        <v/>
      </c>
      <c r="AN706" s="1079"/>
      <c r="AO706" s="1080"/>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9"/>
        <v>0</v>
      </c>
      <c r="U707" s="1094"/>
      <c r="V707" s="1094"/>
      <c r="W707" s="1094"/>
      <c r="X707" s="1095"/>
      <c r="Y707" s="1090"/>
      <c r="Z707" s="1091"/>
      <c r="AA707" s="1091"/>
      <c r="AB707" s="1092"/>
      <c r="AC707" s="1093">
        <f t="shared" si="50"/>
        <v>0</v>
      </c>
      <c r="AD707" s="1094"/>
      <c r="AE707" s="1094"/>
      <c r="AF707" s="1094"/>
      <c r="AG707" s="1095"/>
      <c r="AH707" s="1096"/>
      <c r="AI707" s="1097"/>
      <c r="AJ707" s="1097"/>
      <c r="AK707" s="1097"/>
      <c r="AL707" s="1098"/>
      <c r="AM707" s="1078" t="str">
        <f t="shared" si="51"/>
        <v/>
      </c>
      <c r="AN707" s="1079"/>
      <c r="AO707" s="1080"/>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9"/>
        <v>0</v>
      </c>
      <c r="U708" s="1094"/>
      <c r="V708" s="1094"/>
      <c r="W708" s="1094"/>
      <c r="X708" s="1095"/>
      <c r="Y708" s="1090"/>
      <c r="Z708" s="1091"/>
      <c r="AA708" s="1091"/>
      <c r="AB708" s="1092"/>
      <c r="AC708" s="1093">
        <f t="shared" si="50"/>
        <v>0</v>
      </c>
      <c r="AD708" s="1094"/>
      <c r="AE708" s="1094"/>
      <c r="AF708" s="1094"/>
      <c r="AG708" s="1095"/>
      <c r="AH708" s="1096"/>
      <c r="AI708" s="1097"/>
      <c r="AJ708" s="1097"/>
      <c r="AK708" s="1097"/>
      <c r="AL708" s="1098"/>
      <c r="AM708" s="1078" t="str">
        <f t="shared" si="51"/>
        <v/>
      </c>
      <c r="AN708" s="1079"/>
      <c r="AO708" s="1080"/>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9"/>
        <v>0</v>
      </c>
      <c r="U709" s="1094"/>
      <c r="V709" s="1094"/>
      <c r="W709" s="1094"/>
      <c r="X709" s="1095"/>
      <c r="Y709" s="1090"/>
      <c r="Z709" s="1091"/>
      <c r="AA709" s="1091"/>
      <c r="AB709" s="1092"/>
      <c r="AC709" s="1093">
        <f t="shared" si="50"/>
        <v>0</v>
      </c>
      <c r="AD709" s="1094"/>
      <c r="AE709" s="1094"/>
      <c r="AF709" s="1094"/>
      <c r="AG709" s="1095"/>
      <c r="AH709" s="1096"/>
      <c r="AI709" s="1097"/>
      <c r="AJ709" s="1097"/>
      <c r="AK709" s="1097"/>
      <c r="AL709" s="1098"/>
      <c r="AM709" s="1078" t="str">
        <f t="shared" si="51"/>
        <v/>
      </c>
      <c r="AN709" s="1079"/>
      <c r="AO709" s="1080"/>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9"/>
        <v>0</v>
      </c>
      <c r="U710" s="1094"/>
      <c r="V710" s="1094"/>
      <c r="W710" s="1094"/>
      <c r="X710" s="1095"/>
      <c r="Y710" s="1090"/>
      <c r="Z710" s="1091"/>
      <c r="AA710" s="1091"/>
      <c r="AB710" s="1092"/>
      <c r="AC710" s="1093">
        <f t="shared" si="50"/>
        <v>0</v>
      </c>
      <c r="AD710" s="1094"/>
      <c r="AE710" s="1094"/>
      <c r="AF710" s="1094"/>
      <c r="AG710" s="1095"/>
      <c r="AH710" s="1096"/>
      <c r="AI710" s="1097"/>
      <c r="AJ710" s="1097"/>
      <c r="AK710" s="1097"/>
      <c r="AL710" s="1098"/>
      <c r="AM710" s="1078" t="str">
        <f t="shared" si="51"/>
        <v/>
      </c>
      <c r="AN710" s="1079"/>
      <c r="AO710" s="1080"/>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9"/>
        <v>0</v>
      </c>
      <c r="U711" s="1094"/>
      <c r="V711" s="1094"/>
      <c r="W711" s="1094"/>
      <c r="X711" s="1095"/>
      <c r="Y711" s="1090"/>
      <c r="Z711" s="1091"/>
      <c r="AA711" s="1091"/>
      <c r="AB711" s="1092"/>
      <c r="AC711" s="1093">
        <f t="shared" si="50"/>
        <v>0</v>
      </c>
      <c r="AD711" s="1094"/>
      <c r="AE711" s="1094"/>
      <c r="AF711" s="1094"/>
      <c r="AG711" s="1095"/>
      <c r="AH711" s="1096"/>
      <c r="AI711" s="1097"/>
      <c r="AJ711" s="1097"/>
      <c r="AK711" s="1097"/>
      <c r="AL711" s="1098"/>
      <c r="AM711" s="1078" t="str">
        <f t="shared" si="51"/>
        <v/>
      </c>
      <c r="AN711" s="1079"/>
      <c r="AO711" s="1080"/>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9"/>
        <v>0</v>
      </c>
      <c r="U712" s="1094"/>
      <c r="V712" s="1094"/>
      <c r="W712" s="1094"/>
      <c r="X712" s="1095"/>
      <c r="Y712" s="1090"/>
      <c r="Z712" s="1091"/>
      <c r="AA712" s="1091"/>
      <c r="AB712" s="1092"/>
      <c r="AC712" s="1093">
        <f t="shared" si="50"/>
        <v>0</v>
      </c>
      <c r="AD712" s="1094"/>
      <c r="AE712" s="1094"/>
      <c r="AF712" s="1094"/>
      <c r="AG712" s="1095"/>
      <c r="AH712" s="1096"/>
      <c r="AI712" s="1097"/>
      <c r="AJ712" s="1097"/>
      <c r="AK712" s="1097"/>
      <c r="AL712" s="1098"/>
      <c r="AM712" s="1078" t="str">
        <f t="shared" si="51"/>
        <v/>
      </c>
      <c r="AN712" s="1079"/>
      <c r="AO712" s="1080"/>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9"/>
        <v>0</v>
      </c>
      <c r="U713" s="1094"/>
      <c r="V713" s="1094"/>
      <c r="W713" s="1094"/>
      <c r="X713" s="1095"/>
      <c r="Y713" s="1090"/>
      <c r="Z713" s="1091"/>
      <c r="AA713" s="1091"/>
      <c r="AB713" s="1092"/>
      <c r="AC713" s="1093">
        <f t="shared" si="50"/>
        <v>0</v>
      </c>
      <c r="AD713" s="1094"/>
      <c r="AE713" s="1094"/>
      <c r="AF713" s="1094"/>
      <c r="AG713" s="1095"/>
      <c r="AH713" s="1096"/>
      <c r="AI713" s="1097"/>
      <c r="AJ713" s="1097"/>
      <c r="AK713" s="1097"/>
      <c r="AL713" s="1098"/>
      <c r="AM713" s="1078" t="str">
        <f t="shared" si="51"/>
        <v/>
      </c>
      <c r="AN713" s="1079"/>
      <c r="AO713" s="1080"/>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9"/>
        <v>0</v>
      </c>
      <c r="U714" s="1094"/>
      <c r="V714" s="1094"/>
      <c r="W714" s="1094"/>
      <c r="X714" s="1095"/>
      <c r="Y714" s="1090"/>
      <c r="Z714" s="1091"/>
      <c r="AA714" s="1091"/>
      <c r="AB714" s="1092"/>
      <c r="AC714" s="1093">
        <f t="shared" si="50"/>
        <v>0</v>
      </c>
      <c r="AD714" s="1094"/>
      <c r="AE714" s="1094"/>
      <c r="AF714" s="1094"/>
      <c r="AG714" s="1095"/>
      <c r="AH714" s="1096"/>
      <c r="AI714" s="1097"/>
      <c r="AJ714" s="1097"/>
      <c r="AK714" s="1097"/>
      <c r="AL714" s="1098"/>
      <c r="AM714" s="1078" t="str">
        <f t="shared" si="51"/>
        <v/>
      </c>
      <c r="AN714" s="1079"/>
      <c r="AO714" s="1080"/>
      <c r="BA714" s="43"/>
      <c r="BB714" s="43"/>
      <c r="BC714" s="43"/>
      <c r="BD714" s="43"/>
      <c r="BE714" s="42"/>
      <c r="BF714" s="62" t="s">
        <v>876</v>
      </c>
      <c r="BG714" s="454">
        <f>SUM(BG689:BG713)</f>
        <v>43</v>
      </c>
      <c r="BH714" s="455">
        <f>SUM(BH689:BH713)</f>
        <v>1</v>
      </c>
      <c r="BI714" s="455">
        <f>SUM(BI689:BI713)</f>
        <v>0.49069767441860468</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9"/>
        <v>0</v>
      </c>
      <c r="U715" s="1094"/>
      <c r="V715" s="1094"/>
      <c r="W715" s="1094"/>
      <c r="X715" s="1095"/>
      <c r="Y715" s="1090"/>
      <c r="Z715" s="1091"/>
      <c r="AA715" s="1091"/>
      <c r="AB715" s="1092"/>
      <c r="AC715" s="1093">
        <f t="shared" si="50"/>
        <v>0</v>
      </c>
      <c r="AD715" s="1094"/>
      <c r="AE715" s="1094"/>
      <c r="AF715" s="1094"/>
      <c r="AG715" s="1095"/>
      <c r="AH715" s="1096"/>
      <c r="AI715" s="1097"/>
      <c r="AJ715" s="1097"/>
      <c r="AK715" s="1097"/>
      <c r="AL715" s="1098"/>
      <c r="AM715" s="1078" t="str">
        <f t="shared" si="51"/>
        <v/>
      </c>
      <c r="AN715" s="1079"/>
      <c r="AO715" s="1080"/>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9"/>
        <v>0</v>
      </c>
      <c r="U716" s="1094"/>
      <c r="V716" s="1094"/>
      <c r="W716" s="1094"/>
      <c r="X716" s="1095"/>
      <c r="Y716" s="1090"/>
      <c r="Z716" s="1091"/>
      <c r="AA716" s="1091"/>
      <c r="AB716" s="1092"/>
      <c r="AC716" s="1093">
        <f t="shared" si="50"/>
        <v>0</v>
      </c>
      <c r="AD716" s="1094"/>
      <c r="AE716" s="1094"/>
      <c r="AF716" s="1094"/>
      <c r="AG716" s="1095"/>
      <c r="AH716" s="1096"/>
      <c r="AI716" s="1097"/>
      <c r="AJ716" s="1097"/>
      <c r="AK716" s="1097"/>
      <c r="AL716" s="1098"/>
      <c r="AM716" s="1078" t="str">
        <f t="shared" si="51"/>
        <v/>
      </c>
      <c r="AN716" s="1079"/>
      <c r="AO716" s="1080"/>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9"/>
        <v>0</v>
      </c>
      <c r="U717" s="1094"/>
      <c r="V717" s="1094"/>
      <c r="W717" s="1094"/>
      <c r="X717" s="1095"/>
      <c r="Y717" s="1090"/>
      <c r="Z717" s="1091"/>
      <c r="AA717" s="1091"/>
      <c r="AB717" s="1092"/>
      <c r="AC717" s="1093">
        <f t="shared" si="50"/>
        <v>0</v>
      </c>
      <c r="AD717" s="1094"/>
      <c r="AE717" s="1094"/>
      <c r="AF717" s="1094"/>
      <c r="AG717" s="1095"/>
      <c r="AH717" s="1096"/>
      <c r="AI717" s="1097"/>
      <c r="AJ717" s="1097"/>
      <c r="AK717" s="1097"/>
      <c r="AL717" s="1098"/>
      <c r="AM717" s="1078" t="str">
        <f t="shared" si="51"/>
        <v/>
      </c>
      <c r="AN717" s="1079"/>
      <c r="AO717" s="1080"/>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9"/>
        <v>0</v>
      </c>
      <c r="U718" s="1094"/>
      <c r="V718" s="1094"/>
      <c r="W718" s="1094"/>
      <c r="X718" s="1095"/>
      <c r="Y718" s="1090"/>
      <c r="Z718" s="1091"/>
      <c r="AA718" s="1091"/>
      <c r="AB718" s="1092"/>
      <c r="AC718" s="1093">
        <f t="shared" si="50"/>
        <v>0</v>
      </c>
      <c r="AD718" s="1094"/>
      <c r="AE718" s="1094"/>
      <c r="AF718" s="1094"/>
      <c r="AG718" s="1095"/>
      <c r="AH718" s="1096"/>
      <c r="AI718" s="1097"/>
      <c r="AJ718" s="1097"/>
      <c r="AK718" s="1097"/>
      <c r="AL718" s="1098"/>
      <c r="AM718" s="1078" t="str">
        <f t="shared" si="51"/>
        <v/>
      </c>
      <c r="AN718" s="1079"/>
      <c r="AO718" s="1080"/>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2">G719*O719</f>
        <v>0</v>
      </c>
      <c r="U719" s="1094"/>
      <c r="V719" s="1094"/>
      <c r="W719" s="1094"/>
      <c r="X719" s="1095"/>
      <c r="Y719" s="1090"/>
      <c r="Z719" s="1091"/>
      <c r="AA719" s="1091"/>
      <c r="AB719" s="1092"/>
      <c r="AC719" s="1093">
        <f t="shared" ref="AC719:AC728" si="53">O719+Y719</f>
        <v>0</v>
      </c>
      <c r="AD719" s="1094"/>
      <c r="AE719" s="1094"/>
      <c r="AF719" s="1094"/>
      <c r="AG719" s="1095"/>
      <c r="AH719" s="1096"/>
      <c r="AI719" s="1097"/>
      <c r="AJ719" s="1097"/>
      <c r="AK719" s="1097"/>
      <c r="AL719" s="1098"/>
      <c r="AM719" s="1078" t="str">
        <f t="shared" si="51"/>
        <v/>
      </c>
      <c r="AN719" s="1079"/>
      <c r="AO719" s="1080"/>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2"/>
        <v>0</v>
      </c>
      <c r="U720" s="1094"/>
      <c r="V720" s="1094"/>
      <c r="W720" s="1094"/>
      <c r="X720" s="1095"/>
      <c r="Y720" s="1090"/>
      <c r="Z720" s="1091"/>
      <c r="AA720" s="1091"/>
      <c r="AB720" s="1092"/>
      <c r="AC720" s="1093">
        <f t="shared" si="53"/>
        <v>0</v>
      </c>
      <c r="AD720" s="1094"/>
      <c r="AE720" s="1094"/>
      <c r="AF720" s="1094"/>
      <c r="AG720" s="1095"/>
      <c r="AH720" s="1096"/>
      <c r="AI720" s="1097"/>
      <c r="AJ720" s="1097"/>
      <c r="AK720" s="1097"/>
      <c r="AL720" s="1098"/>
      <c r="AM720" s="1078" t="str">
        <f t="shared" si="51"/>
        <v/>
      </c>
      <c r="AN720" s="1079"/>
      <c r="AO720" s="1080"/>
      <c r="BA720" s="41"/>
      <c r="BB720" s="41"/>
      <c r="BC720" s="41"/>
      <c r="BD720" s="41"/>
      <c r="BE720" s="41"/>
      <c r="BF720" s="41"/>
      <c r="BG720" s="851">
        <f t="shared" ref="BG720:BG733" si="54">G695</f>
        <v>5</v>
      </c>
      <c r="BH720" s="855">
        <f>IF(BG720=0,"",BG720/$BG$745)</f>
        <v>0.11627906976744186</v>
      </c>
      <c r="BI720" s="856">
        <f>IF(BH720="","",BH720*AM695)</f>
        <v>3.4898763500707003E-2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2"/>
        <v>0</v>
      </c>
      <c r="U721" s="1094"/>
      <c r="V721" s="1094"/>
      <c r="W721" s="1094"/>
      <c r="X721" s="1095"/>
      <c r="Y721" s="1090"/>
      <c r="Z721" s="1091"/>
      <c r="AA721" s="1091"/>
      <c r="AB721" s="1092"/>
      <c r="AC721" s="1093">
        <f t="shared" si="53"/>
        <v>0</v>
      </c>
      <c r="AD721" s="1094"/>
      <c r="AE721" s="1094"/>
      <c r="AF721" s="1094"/>
      <c r="AG721" s="1095"/>
      <c r="AH721" s="1096"/>
      <c r="AI721" s="1097"/>
      <c r="AJ721" s="1097"/>
      <c r="AK721" s="1097"/>
      <c r="AL721" s="1098"/>
      <c r="AM721" s="1078" t="str">
        <f t="shared" si="51"/>
        <v/>
      </c>
      <c r="AN721" s="1079"/>
      <c r="AO721" s="1080"/>
      <c r="BA721" s="41"/>
      <c r="BB721" s="41"/>
      <c r="BC721" s="41"/>
      <c r="BD721" s="41"/>
      <c r="BE721" s="41"/>
      <c r="BF721" s="41"/>
      <c r="BG721" s="851">
        <f t="shared" si="54"/>
        <v>5</v>
      </c>
      <c r="BH721" s="855">
        <f t="shared" ref="BH721:BH744" si="55">IF(BG721=0,"",BG721/$BG$745)</f>
        <v>0.11627906976744186</v>
      </c>
      <c r="BI721" s="856">
        <f t="shared" ref="BI721:BI744" si="56">IF(BH721="","",BH721*AM696)</f>
        <v>5.2348145251060497E-2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2"/>
        <v>0</v>
      </c>
      <c r="U722" s="1094"/>
      <c r="V722" s="1094"/>
      <c r="W722" s="1094"/>
      <c r="X722" s="1095"/>
      <c r="Y722" s="1090"/>
      <c r="Z722" s="1091"/>
      <c r="AA722" s="1091"/>
      <c r="AB722" s="1092"/>
      <c r="AC722" s="1093">
        <f t="shared" si="53"/>
        <v>0</v>
      </c>
      <c r="AD722" s="1094"/>
      <c r="AE722" s="1094"/>
      <c r="AF722" s="1094"/>
      <c r="AG722" s="1095"/>
      <c r="AH722" s="1096"/>
      <c r="AI722" s="1097"/>
      <c r="AJ722" s="1097"/>
      <c r="AK722" s="1097"/>
      <c r="AL722" s="1098"/>
      <c r="AM722" s="1078" t="str">
        <f t="shared" si="51"/>
        <v/>
      </c>
      <c r="AN722" s="1079"/>
      <c r="AO722" s="1080"/>
      <c r="BA722" s="41"/>
      <c r="BB722" s="41"/>
      <c r="BC722" s="41"/>
      <c r="BD722" s="41"/>
      <c r="BE722" s="43"/>
      <c r="BF722" s="43"/>
      <c r="BG722" s="851">
        <f t="shared" si="54"/>
        <v>22</v>
      </c>
      <c r="BH722" s="855">
        <f t="shared" si="55"/>
        <v>0.51162790697674421</v>
      </c>
      <c r="BI722" s="856">
        <f t="shared" si="56"/>
        <v>0.2558139534883721</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2"/>
        <v>0</v>
      </c>
      <c r="U723" s="1094"/>
      <c r="V723" s="1094"/>
      <c r="W723" s="1094"/>
      <c r="X723" s="1095"/>
      <c r="Y723" s="1090"/>
      <c r="Z723" s="1091"/>
      <c r="AA723" s="1091"/>
      <c r="AB723" s="1092"/>
      <c r="AC723" s="1093">
        <f t="shared" si="53"/>
        <v>0</v>
      </c>
      <c r="AD723" s="1094"/>
      <c r="AE723" s="1094"/>
      <c r="AF723" s="1094"/>
      <c r="AG723" s="1095"/>
      <c r="AH723" s="1096"/>
      <c r="AI723" s="1097"/>
      <c r="AJ723" s="1097"/>
      <c r="AK723" s="1097"/>
      <c r="AL723" s="1098"/>
      <c r="AM723" s="1078" t="str">
        <f t="shared" si="51"/>
        <v/>
      </c>
      <c r="AN723" s="1079"/>
      <c r="AO723" s="1080"/>
      <c r="BA723" s="41"/>
      <c r="BB723" s="41"/>
      <c r="BC723" s="41"/>
      <c r="BD723" s="41"/>
      <c r="BE723" s="43"/>
      <c r="BF723" s="43"/>
      <c r="BG723" s="851">
        <f t="shared" si="54"/>
        <v>5</v>
      </c>
      <c r="BH723" s="855">
        <f t="shared" si="55"/>
        <v>0.11627906976744186</v>
      </c>
      <c r="BI723" s="856">
        <f t="shared" si="56"/>
        <v>6.4006137368753574E-2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2"/>
        <v>0</v>
      </c>
      <c r="U724" s="1094"/>
      <c r="V724" s="1094"/>
      <c r="W724" s="1094"/>
      <c r="X724" s="1095"/>
      <c r="Y724" s="1090"/>
      <c r="Z724" s="1091"/>
      <c r="AA724" s="1091"/>
      <c r="AB724" s="1092"/>
      <c r="AC724" s="1093">
        <f t="shared" si="53"/>
        <v>0</v>
      </c>
      <c r="AD724" s="1094"/>
      <c r="AE724" s="1094"/>
      <c r="AF724" s="1094"/>
      <c r="AG724" s="1095"/>
      <c r="AH724" s="1096"/>
      <c r="AI724" s="1097"/>
      <c r="AJ724" s="1097"/>
      <c r="AK724" s="1097"/>
      <c r="AL724" s="1098"/>
      <c r="AM724" s="1078" t="str">
        <f t="shared" si="51"/>
        <v/>
      </c>
      <c r="AN724" s="1079"/>
      <c r="AO724" s="1080"/>
      <c r="BA724" s="41"/>
      <c r="BB724" s="41"/>
      <c r="BC724" s="41"/>
      <c r="BD724" s="41"/>
      <c r="BE724" s="43"/>
      <c r="BF724" s="43"/>
      <c r="BG724" s="851">
        <f t="shared" si="54"/>
        <v>6</v>
      </c>
      <c r="BH724" s="855">
        <f t="shared" si="55"/>
        <v>0.13953488372093023</v>
      </c>
      <c r="BI724" s="856">
        <f t="shared" si="56"/>
        <v>8.3757032401696796E-2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2"/>
        <v>0</v>
      </c>
      <c r="U725" s="1094"/>
      <c r="V725" s="1094"/>
      <c r="W725" s="1094"/>
      <c r="X725" s="1095"/>
      <c r="Y725" s="1090"/>
      <c r="Z725" s="1091"/>
      <c r="AA725" s="1091"/>
      <c r="AB725" s="1092"/>
      <c r="AC725" s="1093">
        <f t="shared" si="53"/>
        <v>0</v>
      </c>
      <c r="AD725" s="1094"/>
      <c r="AE725" s="1094"/>
      <c r="AF725" s="1094"/>
      <c r="AG725" s="1095"/>
      <c r="AH725" s="1096"/>
      <c r="AI725" s="1097"/>
      <c r="AJ725" s="1097"/>
      <c r="AK725" s="1097"/>
      <c r="AL725" s="1098"/>
      <c r="AM725" s="1078" t="str">
        <f t="shared" si="51"/>
        <v/>
      </c>
      <c r="AN725" s="1079"/>
      <c r="AO725" s="1080"/>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2"/>
        <v>0</v>
      </c>
      <c r="U726" s="1094"/>
      <c r="V726" s="1094"/>
      <c r="W726" s="1094"/>
      <c r="X726" s="1095"/>
      <c r="Y726" s="1090"/>
      <c r="Z726" s="1091"/>
      <c r="AA726" s="1091"/>
      <c r="AB726" s="1092"/>
      <c r="AC726" s="1093">
        <f t="shared" si="53"/>
        <v>0</v>
      </c>
      <c r="AD726" s="1094"/>
      <c r="AE726" s="1094"/>
      <c r="AF726" s="1094"/>
      <c r="AG726" s="1095"/>
      <c r="AH726" s="1096"/>
      <c r="AI726" s="1097"/>
      <c r="AJ726" s="1097"/>
      <c r="AK726" s="1097"/>
      <c r="AL726" s="1098"/>
      <c r="AM726" s="1078" t="str">
        <f t="shared" si="51"/>
        <v/>
      </c>
      <c r="AN726" s="1079"/>
      <c r="AO726" s="1080"/>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2"/>
        <v>0</v>
      </c>
      <c r="U727" s="1094"/>
      <c r="V727" s="1094"/>
      <c r="W727" s="1094"/>
      <c r="X727" s="1095"/>
      <c r="Y727" s="1090"/>
      <c r="Z727" s="1091"/>
      <c r="AA727" s="1091"/>
      <c r="AB727" s="1092"/>
      <c r="AC727" s="1093">
        <f t="shared" si="53"/>
        <v>0</v>
      </c>
      <c r="AD727" s="1094"/>
      <c r="AE727" s="1094"/>
      <c r="AF727" s="1094"/>
      <c r="AG727" s="1095"/>
      <c r="AH727" s="1096"/>
      <c r="AI727" s="1097"/>
      <c r="AJ727" s="1097"/>
      <c r="AK727" s="1097"/>
      <c r="AL727" s="1098"/>
      <c r="AM727" s="1078" t="str">
        <f t="shared" si="51"/>
        <v/>
      </c>
      <c r="AN727" s="1079"/>
      <c r="AO727" s="1080"/>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2"/>
        <v>0</v>
      </c>
      <c r="U728" s="1094"/>
      <c r="V728" s="1094"/>
      <c r="W728" s="1094"/>
      <c r="X728" s="1095"/>
      <c r="Y728" s="1090"/>
      <c r="Z728" s="1091"/>
      <c r="AA728" s="1091"/>
      <c r="AB728" s="1092"/>
      <c r="AC728" s="1093">
        <f t="shared" si="53"/>
        <v>0</v>
      </c>
      <c r="AD728" s="1094"/>
      <c r="AE728" s="1094"/>
      <c r="AF728" s="1094"/>
      <c r="AG728" s="1095"/>
      <c r="AH728" s="1096"/>
      <c r="AI728" s="1097"/>
      <c r="AJ728" s="1097"/>
      <c r="AK728" s="1097"/>
      <c r="AL728" s="1098"/>
      <c r="AM728" s="1078" t="str">
        <f t="shared" si="51"/>
        <v/>
      </c>
      <c r="AN728" s="1079"/>
      <c r="AO728" s="1080"/>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9"/>
        <v>0</v>
      </c>
      <c r="U729" s="1094"/>
      <c r="V729" s="1094"/>
      <c r="W729" s="1094"/>
      <c r="X729" s="1095"/>
      <c r="Y729" s="1090"/>
      <c r="Z729" s="1091"/>
      <c r="AA729" s="1091"/>
      <c r="AB729" s="1092"/>
      <c r="AC729" s="1093">
        <f t="shared" si="50"/>
        <v>0</v>
      </c>
      <c r="AD729" s="1094"/>
      <c r="AE729" s="1094"/>
      <c r="AF729" s="1094"/>
      <c r="AG729" s="1095"/>
      <c r="AH729" s="1096"/>
      <c r="AI729" s="1097"/>
      <c r="AJ729" s="1097"/>
      <c r="AK729" s="1097"/>
      <c r="AL729" s="1098"/>
      <c r="AM729" s="1078" t="str">
        <f>IF($AH729&gt;0,($AC729/$BA702), "")</f>
        <v/>
      </c>
      <c r="AN729" s="1079"/>
      <c r="AO729" s="1080"/>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4" t="s">
        <v>878</v>
      </c>
      <c r="C730" s="1105"/>
      <c r="D730" s="1105"/>
      <c r="E730" s="1105"/>
      <c r="F730" s="1107"/>
      <c r="G730" s="1302">
        <f>SUM(G695:J729)</f>
        <v>43</v>
      </c>
      <c r="H730" s="1303"/>
      <c r="I730" s="1303"/>
      <c r="J730" s="1304"/>
      <c r="O730" s="430" t="s">
        <v>877</v>
      </c>
      <c r="P730" s="168"/>
      <c r="Q730" s="168"/>
      <c r="R730" s="168"/>
      <c r="S730" s="842"/>
      <c r="T730" s="1093">
        <f>SUM(T695:X729)</f>
        <v>27942</v>
      </c>
      <c r="U730" s="1094"/>
      <c r="V730" s="1094"/>
      <c r="W730" s="1094"/>
      <c r="X730" s="1095"/>
      <c r="AC730" s="843" t="s">
        <v>1140</v>
      </c>
      <c r="AD730" s="844"/>
      <c r="AE730" s="844"/>
      <c r="AF730" s="844"/>
      <c r="AG730" s="845"/>
      <c r="AH730" s="1509">
        <f>BI714</f>
        <v>0.49069767441860468</v>
      </c>
      <c r="AI730" s="1510"/>
      <c r="AJ730" s="1510"/>
      <c r="AK730" s="1510"/>
      <c r="AL730" s="1511"/>
      <c r="AM730" s="1509">
        <f>IFERROR(BI745,0)</f>
        <v>0.49082403201058994</v>
      </c>
      <c r="AN730" s="1510"/>
      <c r="AO730" s="1511"/>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1" t="s">
        <v>2063</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241">
        <f>CQ628</f>
        <v>43</v>
      </c>
      <c r="P733" s="1241"/>
      <c r="Q733" s="1241"/>
      <c r="R733" s="1241"/>
      <c r="S733" s="924"/>
      <c r="T733" s="924"/>
      <c r="U733" s="270" t="s">
        <v>2065</v>
      </c>
      <c r="V733" s="922"/>
      <c r="W733" s="922"/>
      <c r="X733" s="922"/>
      <c r="Y733" s="923"/>
      <c r="Z733" s="923"/>
      <c r="AA733" s="923"/>
      <c r="AB733" s="923"/>
      <c r="AC733" s="922"/>
      <c r="AD733" s="922"/>
      <c r="AE733" s="922"/>
      <c r="AF733" s="922"/>
      <c r="AG733" s="1307"/>
      <c r="AH733" s="1307"/>
      <c r="AI733" s="1307"/>
      <c r="AJ733" s="1307"/>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124</v>
      </c>
      <c r="AA736" s="1515"/>
      <c r="AB736" s="1515"/>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4" t="s">
        <v>2061</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4" t="s">
        <v>1519</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G745" s="852">
        <f>SUM(BG720:BG744)</f>
        <v>43</v>
      </c>
      <c r="BH745" s="853">
        <f>SUM(BH720:BH744)</f>
        <v>1</v>
      </c>
      <c r="BI745" s="853">
        <f>SUM(BI720:BI744)</f>
        <v>0.49082403201058994</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9" t="s">
        <v>54</v>
      </c>
      <c r="K748" s="1270"/>
      <c r="L748" s="1270"/>
      <c r="M748" s="1270"/>
      <c r="N748" s="1271"/>
      <c r="O748" s="1226" t="s">
        <v>256</v>
      </c>
      <c r="P748" s="1226"/>
      <c r="Q748" s="1226"/>
      <c r="R748" s="1226"/>
      <c r="S748" s="1226"/>
      <c r="T748" s="1458" t="s">
        <v>1997</v>
      </c>
      <c r="U748" s="1459"/>
      <c r="V748" s="1459"/>
      <c r="W748" s="1460"/>
      <c r="X748" s="1269" t="s">
        <v>590</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2"/>
      <c r="K749" s="1273"/>
      <c r="L749" s="1273"/>
      <c r="M749" s="1273"/>
      <c r="N749" s="1274"/>
      <c r="O749" s="1226"/>
      <c r="P749" s="1226"/>
      <c r="Q749" s="1226"/>
      <c r="R749" s="1226"/>
      <c r="S749" s="1226"/>
      <c r="T749" s="1461"/>
      <c r="U749" s="1462"/>
      <c r="V749" s="1462"/>
      <c r="W749" s="1463"/>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2"/>
      <c r="K750" s="1273"/>
      <c r="L750" s="1273"/>
      <c r="M750" s="1273"/>
      <c r="N750" s="1274"/>
      <c r="O750" s="1226"/>
      <c r="P750" s="1226"/>
      <c r="Q750" s="1226"/>
      <c r="R750" s="1226"/>
      <c r="S750" s="1226"/>
      <c r="T750" s="1461"/>
      <c r="U750" s="1462"/>
      <c r="V750" s="1462"/>
      <c r="W750" s="1463"/>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5"/>
      <c r="K751" s="1276"/>
      <c r="L751" s="1276"/>
      <c r="M751" s="1276"/>
      <c r="N751" s="1277"/>
      <c r="O751" s="1226"/>
      <c r="P751" s="1226"/>
      <c r="Q751" s="1226"/>
      <c r="R751" s="1226"/>
      <c r="S751" s="1226"/>
      <c r="T751" s="1512"/>
      <c r="U751" s="1513"/>
      <c r="V751" s="1513"/>
      <c r="W751" s="1514"/>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1" t="s">
        <v>443</v>
      </c>
      <c r="K752" s="1082"/>
      <c r="L752" s="1082"/>
      <c r="M752" s="1082"/>
      <c r="N752" s="1083"/>
      <c r="O752" s="1242">
        <v>1</v>
      </c>
      <c r="P752" s="1242"/>
      <c r="Q752" s="1242"/>
      <c r="R752" s="1242"/>
      <c r="S752" s="1242"/>
      <c r="T752" s="1087">
        <v>553</v>
      </c>
      <c r="U752" s="1088"/>
      <c r="V752" s="1088"/>
      <c r="W752" s="1089"/>
      <c r="X752" s="1090"/>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1"/>
      <c r="K753" s="1082"/>
      <c r="L753" s="1082"/>
      <c r="M753" s="1082"/>
      <c r="N753" s="1083"/>
      <c r="O753" s="1242"/>
      <c r="P753" s="1242"/>
      <c r="Q753" s="1242"/>
      <c r="R753" s="1242"/>
      <c r="S753" s="1242"/>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1"/>
      <c r="K754" s="1082"/>
      <c r="L754" s="1082"/>
      <c r="M754" s="1082"/>
      <c r="N754" s="1083"/>
      <c r="O754" s="1242"/>
      <c r="P754" s="1242"/>
      <c r="Q754" s="1242"/>
      <c r="R754" s="1242"/>
      <c r="S754" s="1242"/>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1"/>
      <c r="K755" s="1082"/>
      <c r="L755" s="1082"/>
      <c r="M755" s="1082"/>
      <c r="N755" s="1083"/>
      <c r="O755" s="1242"/>
      <c r="P755" s="1242"/>
      <c r="Q755" s="1242"/>
      <c r="R755" s="1242"/>
      <c r="S755" s="1242"/>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4" t="s">
        <v>878</v>
      </c>
      <c r="K756" s="1105"/>
      <c r="L756" s="1105"/>
      <c r="M756" s="1105"/>
      <c r="N756" s="1107"/>
      <c r="O756" s="1076">
        <f>SUM(O752:S755)</f>
        <v>1</v>
      </c>
      <c r="P756" s="1306"/>
      <c r="Q756" s="1306"/>
      <c r="R756" s="1306"/>
      <c r="S756" s="1077"/>
      <c r="X756" s="1104" t="s">
        <v>877</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5" t="s">
        <v>483</v>
      </c>
      <c r="K758" s="1115"/>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9" t="s">
        <v>54</v>
      </c>
      <c r="K762" s="1270"/>
      <c r="L762" s="1270"/>
      <c r="M762" s="1270"/>
      <c r="N762" s="1271"/>
      <c r="O762" s="1226" t="s">
        <v>256</v>
      </c>
      <c r="P762" s="1226"/>
      <c r="Q762" s="1226"/>
      <c r="R762" s="1226"/>
      <c r="S762" s="1226"/>
      <c r="T762" s="1458" t="s">
        <v>1997</v>
      </c>
      <c r="U762" s="1459"/>
      <c r="V762" s="1459"/>
      <c r="W762" s="1460"/>
      <c r="X762" s="1269" t="s">
        <v>590</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2"/>
      <c r="K763" s="1273"/>
      <c r="L763" s="1273"/>
      <c r="M763" s="1273"/>
      <c r="N763" s="1274"/>
      <c r="O763" s="1226"/>
      <c r="P763" s="1226"/>
      <c r="Q763" s="1226"/>
      <c r="R763" s="1226"/>
      <c r="S763" s="1226"/>
      <c r="T763" s="1461"/>
      <c r="U763" s="1462"/>
      <c r="V763" s="1462"/>
      <c r="W763" s="1463"/>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2"/>
      <c r="K764" s="1273"/>
      <c r="L764" s="1273"/>
      <c r="M764" s="1273"/>
      <c r="N764" s="1274"/>
      <c r="O764" s="1226"/>
      <c r="P764" s="1226"/>
      <c r="Q764" s="1226"/>
      <c r="R764" s="1226"/>
      <c r="S764" s="1226"/>
      <c r="T764" s="1461"/>
      <c r="U764" s="1462"/>
      <c r="V764" s="1462"/>
      <c r="W764" s="1463"/>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5"/>
      <c r="K765" s="1276"/>
      <c r="L765" s="1276"/>
      <c r="M765" s="1276"/>
      <c r="N765" s="1277"/>
      <c r="O765" s="1226"/>
      <c r="P765" s="1226"/>
      <c r="Q765" s="1226"/>
      <c r="R765" s="1226"/>
      <c r="S765" s="1226"/>
      <c r="T765" s="1512"/>
      <c r="U765" s="1513"/>
      <c r="V765" s="1513"/>
      <c r="W765" s="1514"/>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1"/>
      <c r="K766" s="1082"/>
      <c r="L766" s="1082"/>
      <c r="M766" s="1082"/>
      <c r="N766" s="1083"/>
      <c r="O766" s="1242"/>
      <c r="P766" s="1242"/>
      <c r="Q766" s="1242"/>
      <c r="R766" s="1242"/>
      <c r="S766" s="1242"/>
      <c r="T766" s="1087"/>
      <c r="U766" s="1088"/>
      <c r="V766" s="1088"/>
      <c r="W766" s="1089"/>
      <c r="X766" s="1090"/>
      <c r="Y766" s="1091"/>
      <c r="Z766" s="1091"/>
      <c r="AA766" s="1091"/>
      <c r="AB766" s="1092"/>
      <c r="AC766" s="1093">
        <f t="shared" ref="AC766:AC775" si="58">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1"/>
      <c r="K767" s="1082"/>
      <c r="L767" s="1082"/>
      <c r="M767" s="1082"/>
      <c r="N767" s="1083"/>
      <c r="O767" s="1242"/>
      <c r="P767" s="1242"/>
      <c r="Q767" s="1242"/>
      <c r="R767" s="1242"/>
      <c r="S767" s="1242"/>
      <c r="T767" s="1087"/>
      <c r="U767" s="1088"/>
      <c r="V767" s="1088"/>
      <c r="W767" s="1089"/>
      <c r="X767" s="1090"/>
      <c r="Y767" s="1091"/>
      <c r="Z767" s="1091"/>
      <c r="AA767" s="1091"/>
      <c r="AB767" s="1092"/>
      <c r="AC767" s="1093">
        <f t="shared" si="58"/>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1"/>
      <c r="K768" s="1082"/>
      <c r="L768" s="1082"/>
      <c r="M768" s="1082"/>
      <c r="N768" s="1083"/>
      <c r="O768" s="1242"/>
      <c r="P768" s="1242"/>
      <c r="Q768" s="1242"/>
      <c r="R768" s="1242"/>
      <c r="S768" s="1242"/>
      <c r="T768" s="1087"/>
      <c r="U768" s="1088"/>
      <c r="V768" s="1088"/>
      <c r="W768" s="1089"/>
      <c r="X768" s="1090"/>
      <c r="Y768" s="1091"/>
      <c r="Z768" s="1091"/>
      <c r="AA768" s="1091"/>
      <c r="AB768" s="1092"/>
      <c r="AC768" s="1093">
        <f t="shared" si="58"/>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1"/>
      <c r="K769" s="1082"/>
      <c r="L769" s="1082"/>
      <c r="M769" s="1082"/>
      <c r="N769" s="1083"/>
      <c r="O769" s="1242"/>
      <c r="P769" s="1242"/>
      <c r="Q769" s="1242"/>
      <c r="R769" s="1242"/>
      <c r="S769" s="1242"/>
      <c r="T769" s="1087"/>
      <c r="U769" s="1088"/>
      <c r="V769" s="1088"/>
      <c r="W769" s="1089"/>
      <c r="X769" s="1090"/>
      <c r="Y769" s="1091"/>
      <c r="Z769" s="1091"/>
      <c r="AA769" s="1091"/>
      <c r="AB769" s="1092"/>
      <c r="AC769" s="1093">
        <f t="shared" si="58"/>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1"/>
      <c r="K770" s="1082"/>
      <c r="L770" s="1082"/>
      <c r="M770" s="1082"/>
      <c r="N770" s="1083"/>
      <c r="O770" s="1242"/>
      <c r="P770" s="1242"/>
      <c r="Q770" s="1242"/>
      <c r="R770" s="1242"/>
      <c r="S770" s="1242"/>
      <c r="T770" s="1087"/>
      <c r="U770" s="1088"/>
      <c r="V770" s="1088"/>
      <c r="W770" s="1089"/>
      <c r="X770" s="1090"/>
      <c r="Y770" s="1091"/>
      <c r="Z770" s="1091"/>
      <c r="AA770" s="1091"/>
      <c r="AB770" s="1092"/>
      <c r="AC770" s="1093">
        <f t="shared" si="58"/>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1"/>
      <c r="K771" s="1082"/>
      <c r="L771" s="1082"/>
      <c r="M771" s="1082"/>
      <c r="N771" s="1083"/>
      <c r="O771" s="1242"/>
      <c r="P771" s="1242"/>
      <c r="Q771" s="1242"/>
      <c r="R771" s="1242"/>
      <c r="S771" s="1242"/>
      <c r="T771" s="1087"/>
      <c r="U771" s="1088"/>
      <c r="V771" s="1088"/>
      <c r="W771" s="1089"/>
      <c r="X771" s="1090"/>
      <c r="Y771" s="1091"/>
      <c r="Z771" s="1091"/>
      <c r="AA771" s="1091"/>
      <c r="AB771" s="1092"/>
      <c r="AC771" s="1093">
        <f t="shared" si="58"/>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1"/>
      <c r="K772" s="1082"/>
      <c r="L772" s="1082"/>
      <c r="M772" s="1082"/>
      <c r="N772" s="1083"/>
      <c r="O772" s="1242"/>
      <c r="P772" s="1242"/>
      <c r="Q772" s="1242"/>
      <c r="R772" s="1242"/>
      <c r="S772" s="1242"/>
      <c r="T772" s="1087"/>
      <c r="U772" s="1088"/>
      <c r="V772" s="1088"/>
      <c r="W772" s="1089"/>
      <c r="X772" s="1090"/>
      <c r="Y772" s="1091"/>
      <c r="Z772" s="1091"/>
      <c r="AA772" s="1091"/>
      <c r="AB772" s="1092"/>
      <c r="AC772" s="1093">
        <f t="shared" si="58"/>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1"/>
      <c r="K773" s="1082"/>
      <c r="L773" s="1082"/>
      <c r="M773" s="1082"/>
      <c r="N773" s="1083"/>
      <c r="O773" s="1242"/>
      <c r="P773" s="1242"/>
      <c r="Q773" s="1242"/>
      <c r="R773" s="1242"/>
      <c r="S773" s="1242"/>
      <c r="T773" s="1087"/>
      <c r="U773" s="1088"/>
      <c r="V773" s="1088"/>
      <c r="W773" s="1089"/>
      <c r="X773" s="1090"/>
      <c r="Y773" s="1091"/>
      <c r="Z773" s="1091"/>
      <c r="AA773" s="1091"/>
      <c r="AB773" s="1092"/>
      <c r="AC773" s="1093">
        <f t="shared" si="58"/>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1"/>
      <c r="K774" s="1082"/>
      <c r="L774" s="1082"/>
      <c r="M774" s="1082"/>
      <c r="N774" s="1083"/>
      <c r="O774" s="1242"/>
      <c r="P774" s="1242"/>
      <c r="Q774" s="1242"/>
      <c r="R774" s="1242"/>
      <c r="S774" s="1242"/>
      <c r="T774" s="1087"/>
      <c r="U774" s="1088"/>
      <c r="V774" s="1088"/>
      <c r="W774" s="1089"/>
      <c r="X774" s="1090"/>
      <c r="Y774" s="1091"/>
      <c r="Z774" s="1091"/>
      <c r="AA774" s="1091"/>
      <c r="AB774" s="1092"/>
      <c r="AC774" s="1093">
        <f t="shared" si="58"/>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1"/>
      <c r="K775" s="1082"/>
      <c r="L775" s="1082"/>
      <c r="M775" s="1082"/>
      <c r="N775" s="1083"/>
      <c r="O775" s="1242"/>
      <c r="P775" s="1242"/>
      <c r="Q775" s="1242"/>
      <c r="R775" s="1242"/>
      <c r="S775" s="1242"/>
      <c r="T775" s="1087"/>
      <c r="U775" s="1088"/>
      <c r="V775" s="1088"/>
      <c r="W775" s="1089"/>
      <c r="X775" s="1090"/>
      <c r="Y775" s="1091"/>
      <c r="Z775" s="1091"/>
      <c r="AA775" s="1091"/>
      <c r="AB775" s="1092"/>
      <c r="AC775" s="1093">
        <f t="shared" si="58"/>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4" t="s">
        <v>878</v>
      </c>
      <c r="K776" s="1105"/>
      <c r="L776" s="1105"/>
      <c r="M776" s="1105"/>
      <c r="N776" s="1107"/>
      <c r="O776" s="1241">
        <f>SUM(O766:S775)</f>
        <v>0</v>
      </c>
      <c r="P776" s="1241"/>
      <c r="Q776" s="1241"/>
      <c r="R776" s="1241"/>
      <c r="S776" s="1241"/>
      <c r="X776" s="430" t="s">
        <v>877</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301">
        <f>T730+AC756+AC776</f>
        <v>27942</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301">
        <f>(T730+AC756+AC776)*12</f>
        <v>335304</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94">
        <v>43</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49" t="s">
        <v>2418</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457" t="s">
        <v>2419</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298">
        <f>'Subsidy Contract Calculation'!I40</f>
        <v>180696</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18">
        <v>3300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18">
        <v>700</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18"/>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160" t="s">
        <v>563</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229">
        <f>SUM(Z792:AE795)</f>
        <v>4000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229">
        <f>Z796+Y780+Z788</f>
        <v>520000</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0" t="s">
        <v>879</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564</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6" t="s">
        <v>695</v>
      </c>
      <c r="D804" s="1187"/>
      <c r="E804" s="1187"/>
      <c r="F804" s="1187"/>
      <c r="G804" s="1187"/>
      <c r="H804" s="1187"/>
      <c r="I804" s="54"/>
      <c r="J804" s="54"/>
      <c r="K804" s="54"/>
      <c r="L804" s="55"/>
      <c r="M804" s="1183"/>
      <c r="N804" s="1183"/>
      <c r="O804" s="1183"/>
      <c r="P804" s="1183"/>
      <c r="Q804" s="1183"/>
      <c r="R804" s="1183"/>
      <c r="S804" s="1183"/>
      <c r="T804" s="1183"/>
      <c r="U804" s="1183"/>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4" t="s">
        <v>696</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4" t="s">
        <v>71</v>
      </c>
      <c r="D806" s="1185"/>
      <c r="E806" s="1185"/>
      <c r="F806" s="1185"/>
      <c r="G806" s="1185"/>
      <c r="H806" s="1185"/>
      <c r="I806" s="66"/>
      <c r="J806" s="66"/>
      <c r="K806" s="66"/>
      <c r="L806" s="67"/>
      <c r="M806" s="1183"/>
      <c r="N806" s="1183"/>
      <c r="O806" s="1183"/>
      <c r="P806" s="1183"/>
      <c r="Q806" s="1183"/>
      <c r="R806" s="1183"/>
      <c r="S806" s="1183"/>
      <c r="T806" s="1183"/>
      <c r="U806" s="1183"/>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4" t="s">
        <v>791</v>
      </c>
      <c r="D808" s="1185"/>
      <c r="E808" s="1185"/>
      <c r="F808" s="1185"/>
      <c r="G808" s="1185"/>
      <c r="H808" s="1185"/>
      <c r="I808" s="66"/>
      <c r="J808" s="66"/>
      <c r="K808" s="66"/>
      <c r="L808" s="67"/>
      <c r="M808" s="1183"/>
      <c r="N808" s="1183"/>
      <c r="O808" s="1183"/>
      <c r="P808" s="1183"/>
      <c r="Q808" s="1183"/>
      <c r="R808" s="1183"/>
      <c r="S808" s="1183"/>
      <c r="T808" s="1183"/>
      <c r="U808" s="1183"/>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2" t="s">
        <v>944</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58" t="s">
        <v>2420</v>
      </c>
      <c r="G810" s="1161"/>
      <c r="H810" s="1161"/>
      <c r="I810" s="1161"/>
      <c r="J810" s="1161"/>
      <c r="K810" s="1161"/>
      <c r="L810" s="1161"/>
      <c r="M810" s="1183"/>
      <c r="N810" s="1183"/>
      <c r="O810" s="1183"/>
      <c r="P810" s="1183"/>
      <c r="Q810" s="1183">
        <v>109</v>
      </c>
      <c r="R810" s="1183"/>
      <c r="S810" s="1183"/>
      <c r="T810" s="1183"/>
      <c r="U810" s="1183"/>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4" t="s">
        <v>877</v>
      </c>
      <c r="D811" s="1105"/>
      <c r="E811" s="1105"/>
      <c r="F811" s="1105"/>
      <c r="G811" s="1105"/>
      <c r="H811" s="1105"/>
      <c r="I811" s="1105"/>
      <c r="J811" s="1105"/>
      <c r="K811" s="1105"/>
      <c r="L811" s="1107"/>
      <c r="M811" s="1297">
        <f>SUM(M804:P810)</f>
        <v>0</v>
      </c>
      <c r="N811" s="1297"/>
      <c r="O811" s="1297"/>
      <c r="P811" s="1297"/>
      <c r="Q811" s="1297">
        <f>SUM(Q804:T810)</f>
        <v>109</v>
      </c>
      <c r="R811" s="1297"/>
      <c r="S811" s="1297"/>
      <c r="T811" s="1297"/>
      <c r="U811" s="1297">
        <f>SUM(U804:X810)</f>
        <v>0</v>
      </c>
      <c r="V811" s="1297"/>
      <c r="W811" s="1297"/>
      <c r="X811" s="1297"/>
      <c r="Y811" s="1297">
        <f>SUM(Y804:AB810)</f>
        <v>0</v>
      </c>
      <c r="Z811" s="1297"/>
      <c r="AA811" s="1297"/>
      <c r="AB811" s="1297"/>
      <c r="AC811" s="1297">
        <f>SUM(AC804:AF810)</f>
        <v>0</v>
      </c>
      <c r="AD811" s="1297"/>
      <c r="AE811" s="1297"/>
      <c r="AF811" s="1297"/>
      <c r="AG811" s="1297">
        <f>SUM(AG804:AJ810)</f>
        <v>0</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7" t="s">
        <v>2421</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6" t="s">
        <v>369</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21">
        <v>100</v>
      </c>
      <c r="X821" s="1221"/>
      <c r="Y821" s="1221"/>
      <c r="Z821" s="1221"/>
      <c r="AA821" s="1221"/>
      <c r="AB821" s="1221"/>
      <c r="AC821" s="122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21">
        <v>3500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21">
        <v>8900</v>
      </c>
      <c r="X823" s="1221"/>
      <c r="Y823" s="1221"/>
      <c r="Z823" s="1221"/>
      <c r="AA823" s="1221"/>
      <c r="AB823" s="1221"/>
      <c r="AC823" s="122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58" t="s">
        <v>2451</v>
      </c>
      <c r="N825" s="1161"/>
      <c r="O825" s="1161"/>
      <c r="P825" s="1161"/>
      <c r="Q825" s="1161"/>
      <c r="R825" s="1161"/>
      <c r="S825" s="1161"/>
      <c r="T825" s="1161"/>
      <c r="U825" s="1161"/>
      <c r="V825" s="1162"/>
      <c r="W825" s="1221">
        <v>8765</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3" t="str">
        <f>T189</f>
        <v>Kings</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229">
        <f>SUM(W821:AC825)</f>
        <v>21265</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04" t="s">
        <v>470</v>
      </c>
      <c r="K828" s="1105"/>
      <c r="L828" s="1105"/>
      <c r="M828" s="1105"/>
      <c r="N828" s="1105"/>
      <c r="O828" s="1105"/>
      <c r="P828" s="1105"/>
      <c r="Q828" s="1105"/>
      <c r="R828" s="1105"/>
      <c r="S828" s="1105"/>
      <c r="T828" s="1105"/>
      <c r="U828" s="1105"/>
      <c r="V828" s="1107"/>
      <c r="W828" s="1218">
        <v>48504</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279"/>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79">
        <v>2700</v>
      </c>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279">
        <v>8500</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79">
        <v>29900</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41100</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16">
        <v>45000</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521">
        <v>1</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516">
        <v>49000</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521">
        <v>1</v>
      </c>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58" t="s">
        <v>2452</v>
      </c>
      <c r="N840" s="1161"/>
      <c r="O840" s="1161"/>
      <c r="P840" s="1161"/>
      <c r="Q840" s="1161"/>
      <c r="R840" s="1161"/>
      <c r="S840" s="1161"/>
      <c r="T840" s="1161"/>
      <c r="U840" s="1161"/>
      <c r="V840" s="1162"/>
      <c r="W840" s="1516">
        <v>34840</v>
      </c>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8">
        <f>SUM(W836:AC840)</f>
        <v>128840</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6">
        <v>30000</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21">
        <v>3500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21">
        <v>16000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21">
        <v>10800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21">
        <v>3800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21">
        <v>28200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21"/>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58" t="s">
        <v>2453</v>
      </c>
      <c r="N850" s="1161"/>
      <c r="O850" s="1161"/>
      <c r="P850" s="1161"/>
      <c r="Q850" s="1161"/>
      <c r="R850" s="1161"/>
      <c r="S850" s="1161"/>
      <c r="T850" s="1161"/>
      <c r="U850" s="1161"/>
      <c r="V850" s="1162"/>
      <c r="W850" s="1221">
        <v>14991</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1">
        <f>SUM(W844:AC850)</f>
        <v>77291</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160" t="s">
        <v>563</v>
      </c>
      <c r="N853" s="1161"/>
      <c r="O853" s="1161"/>
      <c r="P853" s="1161"/>
      <c r="Q853" s="1161"/>
      <c r="R853" s="1161"/>
      <c r="S853" s="1161"/>
      <c r="T853" s="1161"/>
      <c r="U853" s="1161"/>
      <c r="V853" s="1162"/>
      <c r="W853" s="1218"/>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160" t="s">
        <v>563</v>
      </c>
      <c r="N854" s="1161"/>
      <c r="O854" s="1161"/>
      <c r="P854" s="1161"/>
      <c r="Q854" s="1161"/>
      <c r="R854" s="1161"/>
      <c r="S854" s="1161"/>
      <c r="T854" s="1161"/>
      <c r="U854" s="1161"/>
      <c r="V854" s="1162"/>
      <c r="W854" s="1218"/>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0" t="s">
        <v>563</v>
      </c>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0" t="s">
        <v>563</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0" t="s">
        <v>563</v>
      </c>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9">
        <f>SUM(W853:AC857)</f>
        <v>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347000</v>
      </c>
      <c r="AD862" s="1230"/>
      <c r="AE862" s="1230"/>
      <c r="AF862" s="1230"/>
      <c r="AG862" s="1230"/>
      <c r="AH862" s="1231"/>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7">
        <f>O776+O756+G730</f>
        <v>44</v>
      </c>
      <c r="AD863" s="1538"/>
      <c r="AE863" s="1538"/>
      <c r="AF863" s="1538"/>
      <c r="AG863" s="1538"/>
      <c r="AH863" s="1539"/>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8" t="s">
        <v>347</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19">
        <f>IF(ISERROR((ROUNDDOWN(AC862/AC863,0))),0,(ROUNDDOWN(AC862/AC863,0)))</f>
        <v>7886</v>
      </c>
      <c r="AD864" s="1520"/>
      <c r="AE864" s="1520"/>
      <c r="AF864" s="1520"/>
      <c r="AG864" s="1520"/>
      <c r="AH864" s="1520"/>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7">
        <v>113314</v>
      </c>
      <c r="AD865" s="1531"/>
      <c r="AE865" s="1531"/>
      <c r="AF865" s="1531"/>
      <c r="AG865" s="1531"/>
      <c r="AH865" s="1531"/>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0"/>
      <c r="AD866" s="1221"/>
      <c r="AE866" s="1221"/>
      <c r="AF866" s="1221"/>
      <c r="AG866" s="1221"/>
      <c r="AH866" s="1221"/>
      <c r="AI866"/>
      <c r="AJ866"/>
      <c r="AK866"/>
      <c r="AL866"/>
      <c r="AM866" s="38"/>
      <c r="AN866" s="38"/>
      <c r="AV866" s="1238"/>
      <c r="AW866" s="1238"/>
      <c r="AX866" s="1238"/>
      <c r="AY866" s="1238"/>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15500</v>
      </c>
      <c r="AD867" s="1219"/>
      <c r="AE867" s="1219"/>
      <c r="AF867" s="1219"/>
      <c r="AG867" s="1219"/>
      <c r="AH867" s="1220"/>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18">
        <v>13200</v>
      </c>
      <c r="AD868" s="1219"/>
      <c r="AE868" s="1219"/>
      <c r="AF868" s="1219"/>
      <c r="AG868" s="1219"/>
      <c r="AH868" s="1220"/>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18"/>
      <c r="AD869" s="1219"/>
      <c r="AE869" s="1219"/>
      <c r="AF869" s="1219"/>
      <c r="AG869" s="1219"/>
      <c r="AH869" s="1220"/>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18">
        <v>0</v>
      </c>
      <c r="AD870" s="1219"/>
      <c r="AE870" s="1219"/>
      <c r="AF870" s="1219"/>
      <c r="AG870" s="1219"/>
      <c r="AH870" s="1220"/>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2"/>
      <c r="AD871" s="1221"/>
      <c r="AE871" s="1221"/>
      <c r="AF871" s="1221"/>
      <c r="AG871" s="1221"/>
      <c r="AH871" s="122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6" t="s">
        <v>2434</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1">
        <v>2500</v>
      </c>
      <c r="AD872" s="1221"/>
      <c r="AE872" s="1221"/>
      <c r="AF872" s="1221"/>
      <c r="AG872" s="1221"/>
      <c r="AH872" s="122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6" t="s">
        <v>1210</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1"/>
      <c r="AD873" s="1221"/>
      <c r="AE873" s="1221"/>
      <c r="AF873" s="1221"/>
      <c r="AG873" s="1221"/>
      <c r="AH873" s="122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3" t="s">
        <v>962</v>
      </c>
      <c r="G892" s="1224"/>
      <c r="H892" s="1224"/>
      <c r="I892" s="1224"/>
      <c r="J892" s="1224"/>
      <c r="K892" s="1224"/>
      <c r="L892" s="1224"/>
      <c r="M892" s="1224"/>
      <c r="N892" s="1224"/>
      <c r="O892" s="1224"/>
      <c r="P892" s="1224"/>
      <c r="Q892" s="1224"/>
      <c r="R892" s="1224"/>
      <c r="S892" s="1224"/>
      <c r="T892" s="1225"/>
      <c r="U892" s="1169" t="s">
        <v>346</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1" t="s">
        <v>1040</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4" t="s">
        <v>158</v>
      </c>
      <c r="G895" s="1315"/>
      <c r="H895" s="1315"/>
      <c r="I895" s="1315"/>
      <c r="J895" s="1315"/>
      <c r="K895" s="1315"/>
      <c r="L895" s="1315"/>
      <c r="M895" s="1315"/>
      <c r="N895" s="1315"/>
      <c r="O895" s="1315"/>
      <c r="P895" s="1315"/>
      <c r="Q895" s="1315"/>
      <c r="R895" s="1315"/>
      <c r="S895" s="1315"/>
      <c r="T895" s="1316"/>
      <c r="U895" s="1215" t="s">
        <v>124</v>
      </c>
      <c r="V895" s="1144"/>
      <c r="W895" s="1144"/>
      <c r="X895" s="1144"/>
      <c r="Y895" s="1144"/>
      <c r="Z895" s="1145"/>
      <c r="AA895" s="1175"/>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4" t="s">
        <v>160</v>
      </c>
      <c r="G896" s="1315"/>
      <c r="H896" s="1315"/>
      <c r="I896" s="1315"/>
      <c r="J896" s="1315"/>
      <c r="K896" s="1315"/>
      <c r="L896" s="1315"/>
      <c r="M896" s="1315"/>
      <c r="N896" s="1315"/>
      <c r="O896" s="1315"/>
      <c r="P896" s="1315"/>
      <c r="Q896" s="1315"/>
      <c r="R896" s="1315"/>
      <c r="S896" s="1315"/>
      <c r="T896" s="1316"/>
      <c r="U896" s="1215" t="s">
        <v>124</v>
      </c>
      <c r="V896" s="1144"/>
      <c r="W896" s="1144"/>
      <c r="X896" s="1144"/>
      <c r="Y896" s="1144"/>
      <c r="Z896" s="1145"/>
      <c r="AA896" s="1175"/>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1" t="s">
        <v>947</v>
      </c>
      <c r="G897" s="1542"/>
      <c r="H897" s="1542"/>
      <c r="I897" s="1542"/>
      <c r="J897" s="1542"/>
      <c r="K897" s="1542"/>
      <c r="L897" s="1542"/>
      <c r="M897" s="1542"/>
      <c r="N897" s="1542"/>
      <c r="O897" s="1542"/>
      <c r="P897" s="1542"/>
      <c r="Q897" s="1542"/>
      <c r="R897" s="1542"/>
      <c r="S897" s="1542"/>
      <c r="T897" s="1543"/>
      <c r="U897" s="1215" t="s">
        <v>124</v>
      </c>
      <c r="V897" s="1144"/>
      <c r="W897" s="1144"/>
      <c r="X897" s="1144"/>
      <c r="Y897" s="1144"/>
      <c r="Z897" s="1145"/>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1" t="s">
        <v>948</v>
      </c>
      <c r="G898" s="1542"/>
      <c r="H898" s="1542"/>
      <c r="I898" s="1542"/>
      <c r="J898" s="1542"/>
      <c r="K898" s="1542"/>
      <c r="L898" s="1542"/>
      <c r="M898" s="1542"/>
      <c r="N898" s="1542"/>
      <c r="O898" s="1542"/>
      <c r="P898" s="1542"/>
      <c r="Q898" s="1542"/>
      <c r="R898" s="1542"/>
      <c r="S898" s="1542"/>
      <c r="T898" s="1543"/>
      <c r="U898" s="1215" t="s">
        <v>108</v>
      </c>
      <c r="V898" s="1144"/>
      <c r="W898" s="1144"/>
      <c r="X898" s="1144"/>
      <c r="Y898" s="1144"/>
      <c r="Z898" s="1145"/>
      <c r="AA898" s="1175">
        <v>2776501</v>
      </c>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1" t="s">
        <v>949</v>
      </c>
      <c r="G899" s="1542"/>
      <c r="H899" s="1542"/>
      <c r="I899" s="1542"/>
      <c r="J899" s="1542"/>
      <c r="K899" s="1542"/>
      <c r="L899" s="1542"/>
      <c r="M899" s="1542"/>
      <c r="N899" s="1542"/>
      <c r="O899" s="1542"/>
      <c r="P899" s="1542"/>
      <c r="Q899" s="1542"/>
      <c r="R899" s="1542"/>
      <c r="S899" s="1542"/>
      <c r="T899" s="1543"/>
      <c r="U899" s="1215" t="s">
        <v>124</v>
      </c>
      <c r="V899" s="1144"/>
      <c r="W899" s="1144"/>
      <c r="X899" s="1144"/>
      <c r="Y899" s="1144"/>
      <c r="Z899" s="1145"/>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4" t="s">
        <v>159</v>
      </c>
      <c r="G900" s="1315"/>
      <c r="H900" s="1315"/>
      <c r="I900" s="1315"/>
      <c r="J900" s="1315"/>
      <c r="K900" s="1315"/>
      <c r="L900" s="1315"/>
      <c r="M900" s="1315"/>
      <c r="N900" s="1315"/>
      <c r="O900" s="1315"/>
      <c r="P900" s="1315"/>
      <c r="Q900" s="1315"/>
      <c r="R900" s="1315"/>
      <c r="S900" s="1315"/>
      <c r="T900" s="1316"/>
      <c r="U900" s="1215" t="s">
        <v>124</v>
      </c>
      <c r="V900" s="1144"/>
      <c r="W900" s="1144"/>
      <c r="X900" s="1144"/>
      <c r="Y900" s="1144"/>
      <c r="Z900" s="1145"/>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4" t="s">
        <v>2290</v>
      </c>
      <c r="G901" s="1315"/>
      <c r="H901" s="1315"/>
      <c r="I901" s="1315"/>
      <c r="J901" s="1315"/>
      <c r="K901" s="1315"/>
      <c r="L901" s="1315"/>
      <c r="M901" s="1315"/>
      <c r="N901" s="1315"/>
      <c r="O901" s="1315"/>
      <c r="P901" s="1315"/>
      <c r="Q901" s="1315"/>
      <c r="R901" s="1315"/>
      <c r="S901" s="1315"/>
      <c r="T901" s="1316"/>
      <c r="U901" s="1215" t="s">
        <v>124</v>
      </c>
      <c r="V901" s="1144"/>
      <c r="W901" s="1144"/>
      <c r="X901" s="1144"/>
      <c r="Y901" s="1144"/>
      <c r="Z901" s="1145"/>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4" t="s">
        <v>161</v>
      </c>
      <c r="G902" s="1315"/>
      <c r="H902" s="1315"/>
      <c r="I902" s="1315"/>
      <c r="J902" s="1315"/>
      <c r="K902" s="1315"/>
      <c r="L902" s="1315"/>
      <c r="M902" s="1315"/>
      <c r="N902" s="1315"/>
      <c r="O902" s="1315"/>
      <c r="P902" s="1315"/>
      <c r="Q902" s="1315"/>
      <c r="R902" s="1315"/>
      <c r="S902" s="1315"/>
      <c r="T902" s="1316"/>
      <c r="U902" s="1215" t="s">
        <v>124</v>
      </c>
      <c r="V902" s="1144"/>
      <c r="W902" s="1144"/>
      <c r="X902" s="1144"/>
      <c r="Y902" s="1144"/>
      <c r="Z902" s="1145"/>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4" t="s">
        <v>2287</v>
      </c>
      <c r="G903" s="1315"/>
      <c r="H903" s="1315"/>
      <c r="I903" s="1315"/>
      <c r="J903" s="1315"/>
      <c r="K903" s="1315"/>
      <c r="L903" s="1315"/>
      <c r="M903" s="1315"/>
      <c r="N903" s="1315"/>
      <c r="O903" s="1315"/>
      <c r="P903" s="1315"/>
      <c r="Q903" s="1315"/>
      <c r="R903" s="1315"/>
      <c r="S903" s="1315"/>
      <c r="T903" s="1316"/>
      <c r="U903" s="1215" t="s">
        <v>124</v>
      </c>
      <c r="V903" s="1144"/>
      <c r="W903" s="1144"/>
      <c r="X903" s="1144"/>
      <c r="Y903" s="1144"/>
      <c r="Z903" s="1145"/>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4" t="s">
        <v>2288</v>
      </c>
      <c r="G904" s="1315"/>
      <c r="H904" s="1315"/>
      <c r="I904" s="1315"/>
      <c r="J904" s="1315"/>
      <c r="K904" s="1315"/>
      <c r="L904" s="1315"/>
      <c r="M904" s="1315"/>
      <c r="N904" s="1315"/>
      <c r="O904" s="1315"/>
      <c r="P904" s="1315"/>
      <c r="Q904" s="1315"/>
      <c r="R904" s="1315"/>
      <c r="S904" s="1315"/>
      <c r="T904" s="1316"/>
      <c r="U904" s="1215" t="s">
        <v>124</v>
      </c>
      <c r="V904" s="1144"/>
      <c r="W904" s="1144"/>
      <c r="X904" s="1144"/>
      <c r="Y904" s="1144"/>
      <c r="Z904" s="1145"/>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4" t="s">
        <v>2289</v>
      </c>
      <c r="G905" s="1315"/>
      <c r="H905" s="1315"/>
      <c r="I905" s="1315"/>
      <c r="J905" s="1315"/>
      <c r="K905" s="1315"/>
      <c r="L905" s="1315"/>
      <c r="M905" s="1315"/>
      <c r="N905" s="1315"/>
      <c r="O905" s="1315"/>
      <c r="P905" s="1315"/>
      <c r="Q905" s="1315"/>
      <c r="R905" s="1315"/>
      <c r="S905" s="1315"/>
      <c r="T905" s="1316"/>
      <c r="U905" s="1215" t="s">
        <v>124</v>
      </c>
      <c r="V905" s="1144"/>
      <c r="W905" s="1144"/>
      <c r="X905" s="1144"/>
      <c r="Y905" s="1144"/>
      <c r="Z905" s="1145"/>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4" t="s">
        <v>2283</v>
      </c>
      <c r="G906" s="1315"/>
      <c r="H906" s="1315"/>
      <c r="I906" s="1315"/>
      <c r="J906" s="1315"/>
      <c r="K906" s="1315"/>
      <c r="L906" s="1315"/>
      <c r="M906" s="1315"/>
      <c r="N906" s="1315"/>
      <c r="O906" s="1315"/>
      <c r="P906" s="1315"/>
      <c r="Q906" s="1315"/>
      <c r="R906" s="1315"/>
      <c r="S906" s="1315"/>
      <c r="T906" s="1316"/>
      <c r="U906" s="1215" t="s">
        <v>124</v>
      </c>
      <c r="V906" s="1144"/>
      <c r="W906" s="1144"/>
      <c r="X906" s="1144"/>
      <c r="Y906" s="1144"/>
      <c r="Z906" s="1145"/>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4" t="s">
        <v>2280</v>
      </c>
      <c r="G907" s="1315"/>
      <c r="H907" s="1315"/>
      <c r="I907" s="1315"/>
      <c r="J907" s="1315"/>
      <c r="K907" s="1315"/>
      <c r="L907" s="1315"/>
      <c r="M907" s="1315"/>
      <c r="N907" s="1315"/>
      <c r="O907" s="1315"/>
      <c r="P907" s="1315"/>
      <c r="Q907" s="1315"/>
      <c r="R907" s="1315"/>
      <c r="S907" s="1315"/>
      <c r="T907" s="1316"/>
      <c r="U907" s="1215" t="s">
        <v>124</v>
      </c>
      <c r="V907" s="1144"/>
      <c r="W907" s="1144"/>
      <c r="X907" s="1144"/>
      <c r="Y907" s="1144"/>
      <c r="Z907" s="1145"/>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8" t="s">
        <v>157</v>
      </c>
      <c r="G908" s="1579"/>
      <c r="H908" s="1579"/>
      <c r="I908" s="1579"/>
      <c r="J908" s="1579"/>
      <c r="K908" s="1579"/>
      <c r="L908" s="1579"/>
      <c r="M908" s="1579"/>
      <c r="N908" s="1579"/>
      <c r="O908" s="1579"/>
      <c r="P908" s="1579"/>
      <c r="Q908" s="1579"/>
      <c r="R908" s="1579"/>
      <c r="S908" s="1579"/>
      <c r="T908" s="1580"/>
      <c r="U908" s="1215" t="s">
        <v>124</v>
      </c>
      <c r="V908" s="1144"/>
      <c r="W908" s="1144"/>
      <c r="X908" s="1144"/>
      <c r="Y908" s="1144"/>
      <c r="Z908" s="1145"/>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4" t="s">
        <v>1907</v>
      </c>
      <c r="G909" s="1315"/>
      <c r="H909" s="1315"/>
      <c r="I909" s="1315"/>
      <c r="J909" s="1315"/>
      <c r="K909" s="1315"/>
      <c r="L909" s="1315"/>
      <c r="M909" s="1315"/>
      <c r="N909" s="1315"/>
      <c r="O909" s="1315"/>
      <c r="P909" s="1315"/>
      <c r="Q909" s="1315"/>
      <c r="R909" s="1315"/>
      <c r="S909" s="1315"/>
      <c r="T909" s="1316"/>
      <c r="U909" s="1215" t="s">
        <v>124</v>
      </c>
      <c r="V909" s="1144"/>
      <c r="W909" s="1144"/>
      <c r="X909" s="1144"/>
      <c r="Y909" s="1144"/>
      <c r="Z909" s="1145"/>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1" t="s">
        <v>1009</v>
      </c>
      <c r="G910" s="1542"/>
      <c r="H910" s="1542"/>
      <c r="I910" s="1542"/>
      <c r="J910" s="1542"/>
      <c r="K910" s="1542"/>
      <c r="L910" s="1542"/>
      <c r="M910" s="1542"/>
      <c r="N910" s="1542"/>
      <c r="O910" s="1542"/>
      <c r="P910" s="1542"/>
      <c r="Q910" s="1542"/>
      <c r="R910" s="1542"/>
      <c r="S910" s="1542"/>
      <c r="T910" s="1543"/>
      <c r="U910" s="1215" t="s">
        <v>124</v>
      </c>
      <c r="V910" s="1144"/>
      <c r="W910" s="1144"/>
      <c r="X910" s="1144"/>
      <c r="Y910" s="1144"/>
      <c r="Z910" s="1145"/>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6" t="s">
        <v>2291</v>
      </c>
      <c r="G911" s="1567"/>
      <c r="H911" s="1567"/>
      <c r="I911" s="1567"/>
      <c r="J911" s="1567"/>
      <c r="K911" s="1567"/>
      <c r="L911" s="1567"/>
      <c r="M911" s="1567"/>
      <c r="N911" s="1567"/>
      <c r="O911" s="1567"/>
      <c r="P911" s="1567"/>
      <c r="Q911" s="1567"/>
      <c r="R911" s="1567"/>
      <c r="S911" s="1567"/>
      <c r="T911" s="1568"/>
      <c r="U911" s="1215" t="s">
        <v>124</v>
      </c>
      <c r="V911" s="1144"/>
      <c r="W911" s="1144"/>
      <c r="X911" s="1144"/>
      <c r="Y911" s="1144"/>
      <c r="Z911" s="1145"/>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6" t="s">
        <v>2293</v>
      </c>
      <c r="G912" s="1567"/>
      <c r="H912" s="1567"/>
      <c r="I912" s="1567"/>
      <c r="J912" s="1567"/>
      <c r="K912" s="1567"/>
      <c r="L912" s="1567"/>
      <c r="M912" s="1567"/>
      <c r="N912" s="1567"/>
      <c r="O912" s="1567"/>
      <c r="P912" s="1567"/>
      <c r="Q912" s="1567"/>
      <c r="R912" s="1567"/>
      <c r="S912" s="1567"/>
      <c r="T912" s="1568"/>
      <c r="U912" s="1215" t="s">
        <v>124</v>
      </c>
      <c r="V912" s="1144"/>
      <c r="W912" s="1144"/>
      <c r="X912" s="1144"/>
      <c r="Y912" s="1144"/>
      <c r="Z912" s="1145"/>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4" t="s">
        <v>2281</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4" t="s">
        <v>2285</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4" t="s">
        <v>2282</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6" t="s">
        <v>1905</v>
      </c>
      <c r="G916" s="1567"/>
      <c r="H916" s="1567"/>
      <c r="I916" s="1567"/>
      <c r="J916" s="1567"/>
      <c r="K916" s="1567"/>
      <c r="L916" s="1567"/>
      <c r="M916" s="1567"/>
      <c r="N916" s="1567"/>
      <c r="O916" s="1567"/>
      <c r="P916" s="1567"/>
      <c r="Q916" s="1567"/>
      <c r="R916" s="1567"/>
      <c r="S916" s="1567"/>
      <c r="T916" s="1568"/>
      <c r="U916" s="1215" t="s">
        <v>124</v>
      </c>
      <c r="V916" s="1144"/>
      <c r="W916" s="1144"/>
      <c r="X916" s="1144"/>
      <c r="Y916" s="1144"/>
      <c r="Z916" s="1145"/>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6" t="s">
        <v>2294</v>
      </c>
      <c r="G917" s="1567"/>
      <c r="H917" s="1567"/>
      <c r="I917" s="1567"/>
      <c r="J917" s="1567"/>
      <c r="K917" s="1567"/>
      <c r="L917" s="1567"/>
      <c r="M917" s="1567"/>
      <c r="N917" s="1567"/>
      <c r="O917" s="1567"/>
      <c r="P917" s="1567"/>
      <c r="Q917" s="1567"/>
      <c r="R917" s="1567"/>
      <c r="S917" s="1567"/>
      <c r="T917" s="1568"/>
      <c r="U917" s="1215" t="s">
        <v>124</v>
      </c>
      <c r="V917" s="1144"/>
      <c r="W917" s="1144"/>
      <c r="X917" s="1144"/>
      <c r="Y917" s="1144"/>
      <c r="Z917" s="1145"/>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6" t="s">
        <v>1906</v>
      </c>
      <c r="G918" s="1567"/>
      <c r="H918" s="1567"/>
      <c r="I918" s="1567"/>
      <c r="J918" s="1567"/>
      <c r="K918" s="1567"/>
      <c r="L918" s="1567"/>
      <c r="M918" s="1567"/>
      <c r="N918" s="1567"/>
      <c r="O918" s="1567"/>
      <c r="P918" s="1567"/>
      <c r="Q918" s="1567"/>
      <c r="R918" s="1567"/>
      <c r="S918" s="1567"/>
      <c r="T918" s="1568"/>
      <c r="U918" s="1215" t="s">
        <v>124</v>
      </c>
      <c r="V918" s="1144"/>
      <c r="W918" s="1144"/>
      <c r="X918" s="1144"/>
      <c r="Y918" s="1144"/>
      <c r="Z918" s="1145"/>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6" t="s">
        <v>156</v>
      </c>
      <c r="G919" s="1567"/>
      <c r="H919" s="1567"/>
      <c r="I919" s="1567"/>
      <c r="J919" s="1567"/>
      <c r="K919" s="1567"/>
      <c r="L919" s="1567"/>
      <c r="M919" s="1567"/>
      <c r="N919" s="1567"/>
      <c r="O919" s="1567"/>
      <c r="P919" s="1567"/>
      <c r="Q919" s="1567"/>
      <c r="R919" s="1567"/>
      <c r="S919" s="1567"/>
      <c r="T919" s="1568"/>
      <c r="U919" s="1215" t="s">
        <v>124</v>
      </c>
      <c r="V919" s="1144"/>
      <c r="W919" s="1144"/>
      <c r="X919" s="1144"/>
      <c r="Y919" s="1144"/>
      <c r="Z919" s="1145"/>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6" t="s">
        <v>2292</v>
      </c>
      <c r="G920" s="1567"/>
      <c r="H920" s="1567"/>
      <c r="I920" s="1567"/>
      <c r="J920" s="1567"/>
      <c r="K920" s="1567"/>
      <c r="L920" s="1567"/>
      <c r="M920" s="1567"/>
      <c r="N920" s="1567"/>
      <c r="O920" s="1567"/>
      <c r="P920" s="1567"/>
      <c r="Q920" s="1567"/>
      <c r="R920" s="1567"/>
      <c r="S920" s="1567"/>
      <c r="T920" s="1568"/>
      <c r="U920" s="1215" t="s">
        <v>124</v>
      </c>
      <c r="V920" s="1144"/>
      <c r="W920" s="1144"/>
      <c r="X920" s="1144"/>
      <c r="Y920" s="1144"/>
      <c r="Z920" s="1145"/>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081" t="s">
        <v>483</v>
      </c>
      <c r="Q921" s="1144"/>
      <c r="R921" s="1144"/>
      <c r="S921" s="1144"/>
      <c r="T921" s="1145"/>
      <c r="U921" s="1215" t="s">
        <v>124</v>
      </c>
      <c r="V921" s="1144"/>
      <c r="W921" s="1144"/>
      <c r="X921" s="1144"/>
      <c r="Y921" s="1144"/>
      <c r="Z921" s="1145"/>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4" t="s">
        <v>2284</v>
      </c>
      <c r="G922" s="1315"/>
      <c r="H922" s="1316"/>
      <c r="I922" s="1258" t="s">
        <v>563</v>
      </c>
      <c r="J922" s="1259"/>
      <c r="K922" s="1259"/>
      <c r="L922" s="1259"/>
      <c r="M922" s="1259"/>
      <c r="N922" s="1259"/>
      <c r="O922" s="1259"/>
      <c r="P922" s="1259"/>
      <c r="Q922" s="1259"/>
      <c r="R922" s="1259"/>
      <c r="S922" s="1259"/>
      <c r="T922" s="1260"/>
      <c r="U922" s="1215" t="s">
        <v>124</v>
      </c>
      <c r="V922" s="1144"/>
      <c r="W922" s="1144"/>
      <c r="X922" s="1144"/>
      <c r="Y922" s="1144"/>
      <c r="Z922" s="1145"/>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4" t="s">
        <v>374</v>
      </c>
      <c r="G923" s="1315"/>
      <c r="H923" s="1316"/>
      <c r="I923" s="1258" t="s">
        <v>563</v>
      </c>
      <c r="J923" s="1259"/>
      <c r="K923" s="1259"/>
      <c r="L923" s="1259"/>
      <c r="M923" s="1259"/>
      <c r="N923" s="1259"/>
      <c r="O923" s="1259"/>
      <c r="P923" s="1259"/>
      <c r="Q923" s="1259"/>
      <c r="R923" s="1259"/>
      <c r="S923" s="1259"/>
      <c r="T923" s="1260"/>
      <c r="U923" s="1215" t="s">
        <v>124</v>
      </c>
      <c r="V923" s="1144"/>
      <c r="W923" s="1144"/>
      <c r="X923" s="1144"/>
      <c r="Y923" s="1144"/>
      <c r="Z923" s="1145"/>
      <c r="AA923" s="1175"/>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4" t="s">
        <v>827</v>
      </c>
      <c r="G924" s="1315"/>
      <c r="H924" s="1316"/>
      <c r="I924" s="1258" t="s">
        <v>563</v>
      </c>
      <c r="J924" s="1259"/>
      <c r="K924" s="1259"/>
      <c r="L924" s="1259"/>
      <c r="M924" s="1259"/>
      <c r="N924" s="1259"/>
      <c r="O924" s="1259"/>
      <c r="P924" s="1259"/>
      <c r="Q924" s="1259"/>
      <c r="R924" s="1259"/>
      <c r="S924" s="1259"/>
      <c r="T924" s="1260"/>
      <c r="U924" s="1215" t="s">
        <v>124</v>
      </c>
      <c r="V924" s="1144"/>
      <c r="W924" s="1144"/>
      <c r="X924" s="1144"/>
      <c r="Y924" s="1144"/>
      <c r="Z924" s="1145"/>
      <c r="AA924" s="1175"/>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4" t="s">
        <v>283</v>
      </c>
      <c r="G925" s="1315"/>
      <c r="H925" s="1316"/>
      <c r="I925" s="1258" t="s">
        <v>563</v>
      </c>
      <c r="J925" s="1259"/>
      <c r="K925" s="1259"/>
      <c r="L925" s="1259"/>
      <c r="M925" s="1259"/>
      <c r="N925" s="1259"/>
      <c r="O925" s="1259"/>
      <c r="P925" s="1259"/>
      <c r="Q925" s="1259"/>
      <c r="R925" s="1259"/>
      <c r="S925" s="1259"/>
      <c r="T925" s="1260"/>
      <c r="U925" s="1215" t="s">
        <v>124</v>
      </c>
      <c r="V925" s="1144"/>
      <c r="W925" s="1144"/>
      <c r="X925" s="1144"/>
      <c r="Y925" s="1144"/>
      <c r="Z925" s="1145"/>
      <c r="AA925" s="1175"/>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4" t="s">
        <v>283</v>
      </c>
      <c r="G926" s="1315"/>
      <c r="H926" s="1316"/>
      <c r="I926" s="1258" t="s">
        <v>563</v>
      </c>
      <c r="J926" s="1259"/>
      <c r="K926" s="1259"/>
      <c r="L926" s="1259"/>
      <c r="M926" s="1259"/>
      <c r="N926" s="1259"/>
      <c r="O926" s="1259"/>
      <c r="P926" s="1259"/>
      <c r="Q926" s="1259"/>
      <c r="R926" s="1259"/>
      <c r="S926" s="1259"/>
      <c r="T926" s="1260"/>
      <c r="U926" s="1215" t="s">
        <v>124</v>
      </c>
      <c r="V926" s="1144"/>
      <c r="W926" s="1144"/>
      <c r="X926" s="1144"/>
      <c r="Y926" s="1144"/>
      <c r="Z926" s="1145"/>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261">
        <v>45104</v>
      </c>
      <c r="M931" s="1355"/>
      <c r="N931" s="1355"/>
      <c r="O931" s="1355"/>
      <c r="P931" s="1355"/>
      <c r="Q931" s="1355"/>
      <c r="R931" s="1355"/>
      <c r="S931" s="1456"/>
      <c r="U931" s="72" t="s">
        <v>828</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455" t="s">
        <v>2427</v>
      </c>
      <c r="M932" s="1355"/>
      <c r="N932" s="1355"/>
      <c r="O932" s="1355"/>
      <c r="P932" s="1355"/>
      <c r="Q932" s="1355"/>
      <c r="R932" s="1355"/>
      <c r="S932" s="1456"/>
      <c r="U932" s="72" t="s">
        <v>829</v>
      </c>
      <c r="V932" s="9"/>
      <c r="W932" s="9"/>
      <c r="X932" s="9"/>
      <c r="Y932" s="9"/>
      <c r="Z932" s="9"/>
      <c r="AA932" s="9"/>
      <c r="AB932" s="9"/>
      <c r="AC932" s="9"/>
      <c r="AD932" s="52"/>
      <c r="AE932" s="1264"/>
      <c r="AF932" s="1150"/>
      <c r="AG932" s="1150"/>
      <c r="AH932" s="1150"/>
      <c r="AI932" s="1150"/>
      <c r="AJ932" s="1150"/>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163" t="s">
        <v>79</v>
      </c>
      <c r="M933" s="1164"/>
      <c r="N933" s="1164"/>
      <c r="O933" s="1164"/>
      <c r="P933" s="1164"/>
      <c r="Q933" s="1164"/>
      <c r="R933" s="1164"/>
      <c r="S933" s="1165"/>
      <c r="U933" s="72" t="s">
        <v>1109</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197">
        <v>1</v>
      </c>
      <c r="M934" s="1198"/>
      <c r="N934" s="1198"/>
      <c r="O934" s="1198"/>
      <c r="P934" s="1198"/>
      <c r="Q934" s="1198"/>
      <c r="R934" s="1198"/>
      <c r="S934" s="1199"/>
      <c r="U934" s="72" t="s">
        <v>830</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191">
        <v>43</v>
      </c>
      <c r="M935" s="1192"/>
      <c r="N935" s="1192"/>
      <c r="O935" s="1192"/>
      <c r="P935" s="1192"/>
      <c r="Q935" s="1192"/>
      <c r="R935" s="1192"/>
      <c r="S935" s="1193"/>
      <c r="U935" s="72" t="s">
        <v>831</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18">
        <v>180696</v>
      </c>
      <c r="M936" s="1219"/>
      <c r="N936" s="1219"/>
      <c r="O936" s="1219"/>
      <c r="P936" s="1219"/>
      <c r="Q936" s="1219"/>
      <c r="R936" s="1219"/>
      <c r="S936" s="1220"/>
      <c r="U936" s="72" t="s">
        <v>832</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18">
        <v>271499</v>
      </c>
      <c r="M937" s="1219"/>
      <c r="N937" s="1219"/>
      <c r="O937" s="1219"/>
      <c r="P937" s="1219"/>
      <c r="Q937" s="1219"/>
      <c r="R937" s="1219"/>
      <c r="S937" s="1220"/>
      <c r="U937" s="72" t="s">
        <v>833</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191">
        <v>30</v>
      </c>
      <c r="M938" s="1192"/>
      <c r="N938" s="1192"/>
      <c r="O938" s="1192"/>
      <c r="P938" s="1192"/>
      <c r="Q938" s="1192"/>
      <c r="R938" s="1192"/>
      <c r="S938" s="1193"/>
      <c r="U938" s="214" t="s">
        <v>1975</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181"/>
      <c r="N943" s="1116"/>
      <c r="O943" s="1116"/>
      <c r="P943" s="1116"/>
      <c r="Q943" s="1116"/>
      <c r="R943" s="1116"/>
      <c r="S943" s="1182"/>
      <c r="T943" s="72" t="s">
        <v>951</v>
      </c>
      <c r="U943" s="9"/>
      <c r="V943" s="9"/>
      <c r="W943" s="9"/>
      <c r="X943" s="9"/>
      <c r="Y943" s="9"/>
      <c r="Z943" s="52"/>
      <c r="AA943" s="1181"/>
      <c r="AB943" s="1116"/>
      <c r="AC943" s="1116"/>
      <c r="AD943" s="1116"/>
      <c r="AE943" s="1116"/>
      <c r="AF943" s="1116"/>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181"/>
      <c r="N944" s="1116"/>
      <c r="O944" s="1116"/>
      <c r="P944" s="1116"/>
      <c r="Q944" s="1116"/>
      <c r="R944" s="1116"/>
      <c r="S944" s="1182"/>
      <c r="T944" s="72" t="s">
        <v>950</v>
      </c>
      <c r="U944" s="9"/>
      <c r="V944" s="9"/>
      <c r="W944" s="9"/>
      <c r="X944" s="9"/>
      <c r="Y944" s="9"/>
      <c r="Z944" s="52"/>
      <c r="AA944" s="1181"/>
      <c r="AB944" s="1116"/>
      <c r="AC944" s="1116"/>
      <c r="AD944" s="1116"/>
      <c r="AE944" s="1116"/>
      <c r="AF944" s="1116"/>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128" t="s">
        <v>124</v>
      </c>
      <c r="N945" s="1055"/>
      <c r="O945" s="1055"/>
      <c r="P945" s="1055"/>
      <c r="Q945" s="1055"/>
      <c r="R945" s="1055"/>
      <c r="S945" s="1129"/>
      <c r="T945" s="8" t="s">
        <v>567</v>
      </c>
      <c r="U945" s="9"/>
      <c r="V945" s="9"/>
      <c r="W945" s="9"/>
      <c r="X945" s="9"/>
      <c r="Y945" s="9"/>
      <c r="Z945" s="52"/>
      <c r="AA945" s="1181">
        <v>271499</v>
      </c>
      <c r="AB945" s="1116"/>
      <c r="AC945" s="1116"/>
      <c r="AD945" s="1116"/>
      <c r="AE945" s="1116"/>
      <c r="AF945" s="1116"/>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181"/>
      <c r="N946" s="1116"/>
      <c r="O946" s="1116"/>
      <c r="P946" s="1116"/>
      <c r="Q946" s="1116"/>
      <c r="R946" s="1116"/>
      <c r="S946" s="1182"/>
      <c r="T946" s="8" t="s">
        <v>568</v>
      </c>
      <c r="U946" s="9"/>
      <c r="V946" s="9"/>
      <c r="W946" s="9"/>
      <c r="X946" s="9"/>
      <c r="Y946" s="9"/>
      <c r="Z946" s="52"/>
      <c r="AA946" s="1181"/>
      <c r="AB946" s="1116"/>
      <c r="AC946" s="1116"/>
      <c r="AD946" s="1116"/>
      <c r="AE946" s="1116"/>
      <c r="AF946" s="1116"/>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1"/>
      <c r="N947" s="1116"/>
      <c r="O947" s="1116"/>
      <c r="P947" s="1116"/>
      <c r="Q947" s="1116"/>
      <c r="R947" s="1116"/>
      <c r="S947" s="1182"/>
      <c r="T947" s="8" t="s">
        <v>494</v>
      </c>
      <c r="U947" s="9"/>
      <c r="V947" s="9"/>
      <c r="W947" s="9"/>
      <c r="X947" s="9"/>
      <c r="Y947" s="9"/>
      <c r="Z947" s="52"/>
      <c r="AA947" s="1181"/>
      <c r="AB947" s="1116"/>
      <c r="AC947" s="1116"/>
      <c r="AD947" s="1116"/>
      <c r="AE947" s="1116"/>
      <c r="AF947" s="1116"/>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163" t="s">
        <v>79</v>
      </c>
      <c r="N948" s="1164"/>
      <c r="O948" s="1164"/>
      <c r="P948" s="1164"/>
      <c r="Q948" s="1164"/>
      <c r="R948" s="1164"/>
      <c r="S948" s="1165"/>
      <c r="T948" s="1395"/>
      <c r="U948" s="1396"/>
      <c r="V948" s="1396"/>
      <c r="W948" s="1396"/>
      <c r="X948" s="1396"/>
      <c r="Y948" s="1396"/>
      <c r="Z948" s="1397"/>
      <c r="AA948" s="1181"/>
      <c r="AB948" s="1116"/>
      <c r="AC948" s="1116"/>
      <c r="AD948" s="1116"/>
      <c r="AE948" s="1116"/>
      <c r="AF948" s="1116"/>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1"/>
      <c r="N949" s="1116"/>
      <c r="O949" s="1116"/>
      <c r="P949" s="1116"/>
      <c r="Q949" s="1116"/>
      <c r="R949" s="1116"/>
      <c r="S949" s="1182"/>
      <c r="T949" s="1395"/>
      <c r="U949" s="1396"/>
      <c r="V949" s="1396"/>
      <c r="W949" s="1396"/>
      <c r="X949" s="1396"/>
      <c r="Y949" s="1396"/>
      <c r="Z949" s="1397"/>
      <c r="AA949" s="1181"/>
      <c r="AB949" s="1116"/>
      <c r="AC949" s="1116"/>
      <c r="AD949" s="1116"/>
      <c r="AE949" s="1116"/>
      <c r="AF949" s="1116"/>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128" t="s">
        <v>108</v>
      </c>
      <c r="P950" s="1129"/>
      <c r="Q950" s="146"/>
      <c r="R950" s="146"/>
      <c r="S950" s="147"/>
      <c r="T950" s="6" t="s">
        <v>283</v>
      </c>
      <c r="U950" s="7"/>
      <c r="V950" s="7"/>
      <c r="W950" s="1390" t="s">
        <v>563</v>
      </c>
      <c r="X950" s="1391"/>
      <c r="Y950" s="1391"/>
      <c r="Z950" s="1391"/>
      <c r="AA950" s="1391"/>
      <c r="AB950" s="1391"/>
      <c r="AC950" s="1391"/>
      <c r="AD950" s="1391"/>
      <c r="AE950" s="1391"/>
      <c r="AF950" s="1391"/>
      <c r="AG950" s="139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6" t="s">
        <v>226</v>
      </c>
      <c r="G951" s="1187"/>
      <c r="H951" s="1187"/>
      <c r="I951" s="1187"/>
      <c r="J951" s="1187"/>
      <c r="K951" s="1187"/>
      <c r="L951" s="1187"/>
      <c r="M951" s="1181">
        <v>271499</v>
      </c>
      <c r="N951" s="1116"/>
      <c r="O951" s="1116"/>
      <c r="P951" s="1116"/>
      <c r="Q951" s="1116"/>
      <c r="R951" s="1116"/>
      <c r="S951" s="1182"/>
      <c r="T951" s="53"/>
      <c r="U951" s="54"/>
      <c r="V951" s="54"/>
      <c r="W951" s="54"/>
      <c r="X951" s="54"/>
      <c r="Y951" s="54"/>
      <c r="Z951" s="226" t="s">
        <v>227</v>
      </c>
      <c r="AA951" s="1393"/>
      <c r="AB951" s="1321"/>
      <c r="AC951" s="1321"/>
      <c r="AD951" s="1321"/>
      <c r="AE951" s="1321"/>
      <c r="AF951" s="1321"/>
      <c r="AG951" s="139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2.95"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425</v>
      </c>
      <c r="E960" s="1189"/>
      <c r="F960" s="1189"/>
      <c r="G960" s="1189"/>
      <c r="H960" s="1189"/>
      <c r="I960" s="1189"/>
      <c r="J960" s="1189"/>
      <c r="K960" s="1189"/>
      <c r="L960" s="1189"/>
      <c r="M960" s="1189"/>
      <c r="N960" s="1189"/>
      <c r="O960" s="1189"/>
      <c r="P960" s="1189"/>
      <c r="Q960" s="1190"/>
      <c r="R960" s="1188" t="s">
        <v>426</v>
      </c>
      <c r="S960" s="1189"/>
      <c r="T960" s="1189"/>
      <c r="U960" s="1189"/>
      <c r="V960" s="1189"/>
      <c r="W960" s="1189"/>
      <c r="X960" s="1189"/>
      <c r="Y960" s="1189"/>
      <c r="Z960" s="1189"/>
      <c r="AA960" s="1190"/>
      <c r="AB960" s="1188" t="s">
        <v>427</v>
      </c>
      <c r="AC960" s="1189"/>
      <c r="AD960" s="1189"/>
      <c r="AE960" s="1189"/>
      <c r="AF960" s="1189"/>
      <c r="AG960" s="1189"/>
      <c r="AH960" s="1189"/>
      <c r="AI960" s="1190"/>
      <c r="AJ960" s="1188" t="s">
        <v>428</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4" t="s">
        <v>420</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307732</v>
      </c>
      <c r="S961" s="1257"/>
      <c r="T961" s="1257"/>
      <c r="U961" s="1257"/>
      <c r="V961" s="1257"/>
      <c r="W961" s="1257"/>
      <c r="X961" s="1257"/>
      <c r="Y961" s="1257"/>
      <c r="Z961" s="1257"/>
      <c r="AA961" s="1257"/>
      <c r="AB961" s="1376">
        <f>BN651</f>
        <v>0</v>
      </c>
      <c r="AC961" s="1377"/>
      <c r="AD961" s="1377"/>
      <c r="AE961" s="1377"/>
      <c r="AF961" s="1377"/>
      <c r="AG961" s="1377"/>
      <c r="AH961" s="1377"/>
      <c r="AI961" s="1378"/>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4" t="s">
        <v>443</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354812</v>
      </c>
      <c r="S962" s="1257"/>
      <c r="T962" s="1257"/>
      <c r="U962" s="1257"/>
      <c r="V962" s="1257"/>
      <c r="W962" s="1257"/>
      <c r="X962" s="1257"/>
      <c r="Y962" s="1257"/>
      <c r="Z962" s="1257"/>
      <c r="AA962" s="1257"/>
      <c r="AB962" s="1376">
        <f>BS651</f>
        <v>44</v>
      </c>
      <c r="AC962" s="1377"/>
      <c r="AD962" s="1377"/>
      <c r="AE962" s="1377"/>
      <c r="AF962" s="1377"/>
      <c r="AG962" s="1377"/>
      <c r="AH962" s="1377"/>
      <c r="AI962" s="1378"/>
      <c r="AJ962" s="1232">
        <f>IF(ISERROR((R962*AB962)),0,(R962*AB962))</f>
        <v>15611728</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4" t="s">
        <v>781</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428000</v>
      </c>
      <c r="S963" s="1257"/>
      <c r="T963" s="1257"/>
      <c r="U963" s="1257"/>
      <c r="V963" s="1257"/>
      <c r="W963" s="1257"/>
      <c r="X963" s="1257"/>
      <c r="Y963" s="1257"/>
      <c r="Z963" s="1257"/>
      <c r="AA963" s="1257"/>
      <c r="AB963" s="1376">
        <f>BX651</f>
        <v>0</v>
      </c>
      <c r="AC963" s="1377"/>
      <c r="AD963" s="1377"/>
      <c r="AE963" s="1377"/>
      <c r="AF963" s="1377"/>
      <c r="AG963" s="1377"/>
      <c r="AH963" s="1377"/>
      <c r="AI963" s="1378"/>
      <c r="AJ963" s="1232">
        <f>IF(ISERROR((R963*AB963)),0,(R963*AB963))</f>
        <v>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4" t="s">
        <v>782</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547840</v>
      </c>
      <c r="S964" s="1257"/>
      <c r="T964" s="1257"/>
      <c r="U964" s="1257"/>
      <c r="V964" s="1257"/>
      <c r="W964" s="1257"/>
      <c r="X964" s="1257"/>
      <c r="Y964" s="1257"/>
      <c r="Z964" s="1257"/>
      <c r="AA964" s="1257"/>
      <c r="AB964" s="1376">
        <f>CC651</f>
        <v>0</v>
      </c>
      <c r="AC964" s="1377"/>
      <c r="AD964" s="1377"/>
      <c r="AE964" s="1377"/>
      <c r="AF964" s="1377"/>
      <c r="AG964" s="1377"/>
      <c r="AH964" s="1377"/>
      <c r="AI964" s="1378"/>
      <c r="AJ964" s="1232">
        <f>IF(ISERROR((R964*AB964)),0,(R964*AB964))</f>
        <v>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4" t="s">
        <v>792</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610328</v>
      </c>
      <c r="S965" s="1257"/>
      <c r="T965" s="1257"/>
      <c r="U965" s="1257"/>
      <c r="V965" s="1257"/>
      <c r="W965" s="1257"/>
      <c r="X965" s="1257"/>
      <c r="Y965" s="1257"/>
      <c r="Z965" s="1257"/>
      <c r="AA965" s="1257"/>
      <c r="AB965" s="1376">
        <f>CM651+CH651</f>
        <v>0</v>
      </c>
      <c r="AC965" s="1377"/>
      <c r="AD965" s="1377"/>
      <c r="AE965" s="1377"/>
      <c r="AF965" s="1377"/>
      <c r="AG965" s="1377"/>
      <c r="AH965" s="1377"/>
      <c r="AI965" s="1378"/>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3" t="s">
        <v>961</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6">
        <f>SUM(AB961:AI965)</f>
        <v>44</v>
      </c>
      <c r="AC966" s="1377"/>
      <c r="AD966" s="1377"/>
      <c r="AE966" s="1377"/>
      <c r="AF966" s="1377"/>
      <c r="AG966" s="1377"/>
      <c r="AH966" s="1377"/>
      <c r="AI966" s="1378"/>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9" t="s">
        <v>748</v>
      </c>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c r="AA967" s="1380"/>
      <c r="AB967" s="1380"/>
      <c r="AC967" s="1380"/>
      <c r="AD967" s="1380"/>
      <c r="AE967" s="1380"/>
      <c r="AF967" s="1380"/>
      <c r="AG967" s="1380"/>
      <c r="AH967" s="1380"/>
      <c r="AI967" s="1381"/>
      <c r="AJ967" s="1232">
        <f>SUM(AJ961:AQ965)</f>
        <v>15611728</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8" t="s">
        <v>480</v>
      </c>
      <c r="AG968" s="1399"/>
      <c r="AH968" s="1399"/>
      <c r="AI968" s="1400"/>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205" t="s">
        <v>1892</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61" t="s">
        <v>483</v>
      </c>
      <c r="AH969" s="1562"/>
      <c r="AI969" s="85"/>
      <c r="AJ969" s="1364">
        <f>ROUND(IF(AND(AG969="yes",D975&lt;&gt;""),AJ967*0.2,0),0)</f>
        <v>0</v>
      </c>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8" t="s">
        <v>2278</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7"/>
      <c r="AK971" s="1368"/>
      <c r="AL971" s="1368"/>
      <c r="AM971" s="1368"/>
      <c r="AN971" s="1368"/>
      <c r="AO971" s="1368"/>
      <c r="AP971" s="1368"/>
      <c r="AQ971" s="13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7"/>
      <c r="AK972" s="1368"/>
      <c r="AL972" s="1368"/>
      <c r="AM972" s="1368"/>
      <c r="AN972" s="1368"/>
      <c r="AO972" s="1368"/>
      <c r="AP972" s="1368"/>
      <c r="AQ972" s="13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7"/>
      <c r="AK973" s="1368"/>
      <c r="AL973" s="1368"/>
      <c r="AM973" s="1368"/>
      <c r="AN973" s="1368"/>
      <c r="AO973" s="1368"/>
      <c r="AP973" s="1368"/>
      <c r="AQ973" s="13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1" t="s">
        <v>2279</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7"/>
      <c r="AK974" s="1368"/>
      <c r="AL974" s="1368"/>
      <c r="AM974" s="1368"/>
      <c r="AN974" s="1368"/>
      <c r="AO974" s="1368"/>
      <c r="AP974" s="1368"/>
      <c r="AQ974" s="13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7"/>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9"/>
      <c r="AF975" s="80"/>
      <c r="AG975" s="11"/>
      <c r="AH975" s="11"/>
      <c r="AI975" s="81"/>
      <c r="AJ975" s="1370"/>
      <c r="AK975" s="1371"/>
      <c r="AL975" s="1371"/>
      <c r="AM975" s="1371"/>
      <c r="AN975" s="1371"/>
      <c r="AO975" s="1371"/>
      <c r="AP975" s="1371"/>
      <c r="AQ975" s="137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5" t="s">
        <v>2001</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6"/>
      <c r="AF976" s="82"/>
      <c r="AG976" s="1362" t="s">
        <v>483</v>
      </c>
      <c r="AH976" s="1363"/>
      <c r="AI976" s="85"/>
      <c r="AJ976" s="1364">
        <f>ROUND(IF(AG976="yes",AJ967*0.05,0),0)</f>
        <v>0</v>
      </c>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8" t="s">
        <v>1893</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7"/>
      <c r="AK978" s="1368"/>
      <c r="AL978" s="1368"/>
      <c r="AM978" s="1368"/>
      <c r="AN978" s="1368"/>
      <c r="AO978" s="1368"/>
      <c r="AP978" s="1368"/>
      <c r="AQ978" s="13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7"/>
      <c r="AK979" s="1368"/>
      <c r="AL979" s="1368"/>
      <c r="AM979" s="1368"/>
      <c r="AN979" s="1368"/>
      <c r="AO979" s="1368"/>
      <c r="AP979" s="1368"/>
      <c r="AQ979" s="13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70"/>
      <c r="AK981" s="1371"/>
      <c r="AL981" s="1371"/>
      <c r="AM981" s="1371"/>
      <c r="AN981" s="1371"/>
      <c r="AO981" s="1371"/>
      <c r="AP981" s="1371"/>
      <c r="AQ981" s="13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385" t="s">
        <v>2002</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6"/>
      <c r="AF982" s="84"/>
      <c r="AG982" s="1362" t="s">
        <v>483</v>
      </c>
      <c r="AH982" s="1363"/>
      <c r="AI982" s="85"/>
      <c r="AJ982" s="1364">
        <f>ROUND(IF(AG982="yes",AJ967*0.1,0),0)</f>
        <v>0</v>
      </c>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4" t="s">
        <v>2003</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7"/>
      <c r="AK983" s="1368"/>
      <c r="AL983" s="1368"/>
      <c r="AM983" s="1368"/>
      <c r="AN983" s="1368"/>
      <c r="AO983" s="1368"/>
      <c r="AP983" s="1368"/>
      <c r="AQ983" s="136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7"/>
      <c r="AK984" s="1368"/>
      <c r="AL984" s="1368"/>
      <c r="AM984" s="1368"/>
      <c r="AN984" s="1368"/>
      <c r="AO984" s="1368"/>
      <c r="AP984" s="1368"/>
      <c r="AQ984" s="136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80"/>
      <c r="AG985" s="11"/>
      <c r="AH985" s="11"/>
      <c r="AI985" s="81"/>
      <c r="AJ985" s="1370"/>
      <c r="AK985" s="1371"/>
      <c r="AL985" s="1371"/>
      <c r="AM985" s="1371"/>
      <c r="AN985" s="1371"/>
      <c r="AO985" s="1371"/>
      <c r="AP985" s="1371"/>
      <c r="AQ985" s="137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85" t="s">
        <v>1894</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6"/>
      <c r="AF986" s="82"/>
      <c r="AG986" s="1362" t="s">
        <v>483</v>
      </c>
      <c r="AH986" s="1363"/>
      <c r="AI986" s="85"/>
      <c r="AJ986" s="1364">
        <f>ROUND(IF(AG986="yes",AJ967*0.02,0),0)</f>
        <v>0</v>
      </c>
      <c r="AK986" s="1365"/>
      <c r="AL986" s="1365"/>
      <c r="AM986" s="1365"/>
      <c r="AN986" s="1365"/>
      <c r="AO986" s="1365"/>
      <c r="AP986" s="1365"/>
      <c r="AQ986" s="136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3" t="s">
        <v>1895</v>
      </c>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80"/>
      <c r="AG987" s="11"/>
      <c r="AH987" s="11"/>
      <c r="AI987" s="81"/>
      <c r="AJ987" s="1370"/>
      <c r="AK987" s="1371"/>
      <c r="AL987" s="1371"/>
      <c r="AM987" s="1371"/>
      <c r="AN987" s="1371"/>
      <c r="AO987" s="1371"/>
      <c r="AP987" s="1371"/>
      <c r="AQ987" s="137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85" t="s">
        <v>1896</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6"/>
      <c r="AF988" s="82"/>
      <c r="AG988" s="1362" t="s">
        <v>483</v>
      </c>
      <c r="AH988" s="1363"/>
      <c r="AI988" s="82"/>
      <c r="AJ988" s="1364">
        <f>ROUND(IF(AG988="yes",AJ967*0.02,0),0)</f>
        <v>0</v>
      </c>
      <c r="AK988" s="1365"/>
      <c r="AL988" s="1365"/>
      <c r="AM988" s="1365"/>
      <c r="AN988" s="1365"/>
      <c r="AO988" s="1365"/>
      <c r="AP988" s="1365"/>
      <c r="AQ988" s="136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4" t="s">
        <v>1897</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7"/>
      <c r="AK989" s="1368"/>
      <c r="AL989" s="1368"/>
      <c r="AM989" s="1368"/>
      <c r="AN989" s="1368"/>
      <c r="AO989" s="1368"/>
      <c r="AP989" s="1368"/>
      <c r="AQ989" s="136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3"/>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1575"/>
      <c r="AG990" s="1576"/>
      <c r="AH990" s="1576"/>
      <c r="AI990" s="1577"/>
      <c r="AJ990" s="1370"/>
      <c r="AK990" s="1371"/>
      <c r="AL990" s="1371"/>
      <c r="AM990" s="1371"/>
      <c r="AN990" s="1371"/>
      <c r="AO990" s="1371"/>
      <c r="AP990" s="1371"/>
      <c r="AQ990" s="1372"/>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205" t="s">
        <v>1898</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2" t="s">
        <v>483</v>
      </c>
      <c r="AH991" s="1363"/>
      <c r="AI991" s="85"/>
      <c r="AJ991" s="1364">
        <f>IF(AG991="yes",AJ967*BA992,0)</f>
        <v>0</v>
      </c>
      <c r="AK991" s="1365"/>
      <c r="AL991" s="1365"/>
      <c r="AM991" s="1365"/>
      <c r="AN991" s="1365"/>
      <c r="AO991" s="1365"/>
      <c r="AP991" s="1365"/>
      <c r="AQ991" s="136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4" t="s">
        <v>2004</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8" t="str">
        <f>IF(AND(AG991="Yes",BA992=0),BA994,"")</f>
        <v/>
      </c>
      <c r="AG992" s="1209"/>
      <c r="AH992" s="1209"/>
      <c r="AI992" s="1210"/>
      <c r="AJ992" s="1367"/>
      <c r="AK992" s="1368"/>
      <c r="AL992" s="1368"/>
      <c r="AM992" s="1368"/>
      <c r="AN992" s="1368"/>
      <c r="AO992" s="1368"/>
      <c r="AP992" s="1368"/>
      <c r="AQ992" s="1369"/>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8"/>
      <c r="AG993" s="1209"/>
      <c r="AH993" s="1209"/>
      <c r="AI993" s="1210"/>
      <c r="AJ993" s="1367"/>
      <c r="AK993" s="1368"/>
      <c r="AL993" s="1368"/>
      <c r="AM993" s="1368"/>
      <c r="AN993" s="1368"/>
      <c r="AO993" s="1368"/>
      <c r="AP993" s="1368"/>
      <c r="AQ993" s="136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3"/>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5"/>
      <c r="AF994" s="1556"/>
      <c r="AG994" s="1557"/>
      <c r="AH994" s="1557"/>
      <c r="AI994" s="1558"/>
      <c r="AJ994" s="1370"/>
      <c r="AK994" s="1371"/>
      <c r="AL994" s="1371"/>
      <c r="AM994" s="1371"/>
      <c r="AN994" s="1371"/>
      <c r="AO994" s="1371"/>
      <c r="AP994" s="1371"/>
      <c r="AQ994" s="137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547" t="s">
        <v>1899</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2" t="s">
        <v>483</v>
      </c>
      <c r="AH995" s="1363"/>
      <c r="AI995" s="85"/>
      <c r="AJ995" s="1364">
        <f>ROUND(IF(AND(AG995="Yes",AF998&lt;&gt;"",J999&lt;&gt;"N/A"),MIN(AF998,(0.15*AJ967)),0),0)</f>
        <v>0</v>
      </c>
      <c r="AK995" s="1365"/>
      <c r="AL995" s="1365"/>
      <c r="AM995" s="1365"/>
      <c r="AN995" s="1365"/>
      <c r="AO995" s="1365"/>
      <c r="AP995" s="1365"/>
      <c r="AQ995" s="136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8" t="str">
        <f>IF(AG995="yes","Please Select Type and Enter Amount:","")</f>
        <v/>
      </c>
      <c r="AG996" s="1209"/>
      <c r="AH996" s="1209"/>
      <c r="AI996" s="1210"/>
      <c r="AJ996" s="1367"/>
      <c r="AK996" s="1368"/>
      <c r="AL996" s="1368"/>
      <c r="AM996" s="1368"/>
      <c r="AN996" s="1368"/>
      <c r="AO996" s="1368"/>
      <c r="AP996" s="1368"/>
      <c r="AQ996" s="136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4" t="s">
        <v>1900</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8"/>
      <c r="AG997" s="1209"/>
      <c r="AH997" s="1209"/>
      <c r="AI997" s="1210"/>
      <c r="AJ997" s="1367"/>
      <c r="AK997" s="1368"/>
      <c r="AL997" s="1368"/>
      <c r="AM997" s="1368"/>
      <c r="AN997" s="1368"/>
      <c r="AO997" s="1368"/>
      <c r="AP997" s="1368"/>
      <c r="AQ997" s="136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1"/>
      <c r="AG998" s="1211"/>
      <c r="AH998" s="1211"/>
      <c r="AI998" s="1211"/>
      <c r="AJ998" s="1367"/>
      <c r="AK998" s="1368"/>
      <c r="AL998" s="1368"/>
      <c r="AM998" s="1368"/>
      <c r="AN998" s="1368"/>
      <c r="AO998" s="1368"/>
      <c r="AP998" s="1368"/>
      <c r="AQ998" s="136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1"/>
      <c r="AG999" s="1211"/>
      <c r="AH999" s="1211"/>
      <c r="AI999" s="1211"/>
      <c r="AJ999" s="1370"/>
      <c r="AK999" s="1371"/>
      <c r="AL999" s="1371"/>
      <c r="AM999" s="1371"/>
      <c r="AN999" s="1371"/>
      <c r="AO999" s="1371"/>
      <c r="AP999" s="1371"/>
      <c r="AQ999" s="137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385" t="s">
        <v>1901</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6"/>
      <c r="AF1000" s="82"/>
      <c r="AG1000" s="1362" t="s">
        <v>483</v>
      </c>
      <c r="AH1000" s="1363"/>
      <c r="AI1000" s="85"/>
      <c r="AJ1000" s="1364">
        <f>ROUND(IF(AG1000="Yes",AF1002,0),0)</f>
        <v>0</v>
      </c>
      <c r="AK1000" s="1365"/>
      <c r="AL1000" s="1365"/>
      <c r="AM1000" s="1365"/>
      <c r="AN1000" s="1365"/>
      <c r="AO1000" s="1365"/>
      <c r="AP1000" s="1365"/>
      <c r="AQ1000" s="136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4" t="s">
        <v>2005</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2" t="str">
        <f>IF(AG1000="yes","Please Enter Amount:","")</f>
        <v/>
      </c>
      <c r="AG1001" s="1213"/>
      <c r="AH1001" s="1213"/>
      <c r="AI1001" s="1214"/>
      <c r="AJ1001" s="1367"/>
      <c r="AK1001" s="1368"/>
      <c r="AL1001" s="1368"/>
      <c r="AM1001" s="1368"/>
      <c r="AN1001" s="1368"/>
      <c r="AO1001" s="1368"/>
      <c r="AP1001" s="1368"/>
      <c r="AQ1001" s="136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1"/>
      <c r="AG1002" s="1211"/>
      <c r="AH1002" s="1211"/>
      <c r="AI1002" s="1211"/>
      <c r="AJ1002" s="1367"/>
      <c r="AK1002" s="1368"/>
      <c r="AL1002" s="1368"/>
      <c r="AM1002" s="1368"/>
      <c r="AN1002" s="1368"/>
      <c r="AO1002" s="1368"/>
      <c r="AP1002" s="1368"/>
      <c r="AQ1002" s="136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3"/>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1211"/>
      <c r="AG1003" s="1211"/>
      <c r="AH1003" s="1211"/>
      <c r="AI1003" s="1211"/>
      <c r="AJ1003" s="1370"/>
      <c r="AK1003" s="1371"/>
      <c r="AL1003" s="1371"/>
      <c r="AM1003" s="1371"/>
      <c r="AN1003" s="1371"/>
      <c r="AO1003" s="1371"/>
      <c r="AP1003" s="1371"/>
      <c r="AQ1003" s="1372"/>
      <c r="AT1003" s="43"/>
      <c r="AU1003" s="43"/>
      <c r="AV1003" s="43"/>
      <c r="AW1003" s="43"/>
      <c r="AX1003" s="38"/>
      <c r="AY1003" s="38"/>
      <c r="AZ1003" s="21"/>
      <c r="BA1003" s="21"/>
      <c r="BB1003" s="21"/>
      <c r="BC1003" s="43"/>
      <c r="BD1003" s="43"/>
    </row>
    <row r="1004" spans="1:97" ht="12.95" customHeight="1">
      <c r="A1004" s="21"/>
      <c r="B1004" s="82"/>
      <c r="C1004" s="555" t="s">
        <v>579</v>
      </c>
      <c r="D1004" s="1205" t="s">
        <v>1902</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2" t="s">
        <v>483</v>
      </c>
      <c r="AH1004" s="1363"/>
      <c r="AI1004" s="85"/>
      <c r="AJ1004" s="1364">
        <f>ROUND(IF(AG1004="yes",(AJ967*0.1),0),0)</f>
        <v>0</v>
      </c>
      <c r="AK1004" s="1365"/>
      <c r="AL1004" s="1365"/>
      <c r="AM1004" s="1365"/>
      <c r="AN1004" s="1365"/>
      <c r="AO1004" s="1365"/>
      <c r="AP1004" s="1365"/>
      <c r="AQ1004" s="1366"/>
      <c r="AT1004" s="43"/>
      <c r="AU1004" s="43"/>
      <c r="AV1004" s="43"/>
      <c r="AW1004" s="43"/>
      <c r="AX1004" s="38"/>
      <c r="AY1004" s="38"/>
      <c r="AZ1004" s="21"/>
      <c r="BA1004" s="21"/>
      <c r="BB1004" s="21"/>
      <c r="BC1004" s="43"/>
      <c r="BD1004" s="43"/>
    </row>
    <row r="1005" spans="1:97" ht="12.95" customHeight="1">
      <c r="A1005" s="21"/>
      <c r="B1005" s="79"/>
      <c r="C1005" s="556"/>
      <c r="D1005" s="1524" t="s">
        <v>1903</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7"/>
      <c r="AK1005" s="1368"/>
      <c r="AL1005" s="1368"/>
      <c r="AM1005" s="1368"/>
      <c r="AN1005" s="1368"/>
      <c r="AO1005" s="1368"/>
      <c r="AP1005" s="1368"/>
      <c r="AQ1005" s="1369"/>
      <c r="AT1005" s="43"/>
      <c r="AU1005" s="43"/>
      <c r="AV1005" s="43"/>
      <c r="AW1005" s="43"/>
      <c r="AX1005" s="38"/>
      <c r="AY1005" s="38"/>
      <c r="AZ1005" s="21"/>
      <c r="BA1005" s="21"/>
      <c r="BB1005" s="21"/>
      <c r="BC1005" s="43"/>
      <c r="BD1005" s="43"/>
    </row>
    <row r="1006" spans="1:97" ht="12.95" customHeight="1">
      <c r="A1006" s="554"/>
      <c r="B1006" s="80"/>
      <c r="C1006" s="556"/>
      <c r="D1006" s="1373"/>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79"/>
      <c r="AG1006" s="21"/>
      <c r="AH1006" s="21"/>
      <c r="AI1006" s="83"/>
      <c r="AJ1006" s="1370"/>
      <c r="AK1006" s="1371"/>
      <c r="AL1006" s="1371"/>
      <c r="AM1006" s="1371"/>
      <c r="AN1006" s="1371"/>
      <c r="AO1006" s="1371"/>
      <c r="AP1006" s="1371"/>
      <c r="AQ1006" s="1372"/>
      <c r="AT1006" s="43"/>
      <c r="AU1006" s="43"/>
      <c r="AV1006" s="43"/>
      <c r="AW1006" s="43"/>
      <c r="AX1006" s="38"/>
      <c r="AY1006" s="38"/>
      <c r="AZ1006" s="21"/>
      <c r="BA1006" s="21"/>
      <c r="BB1006" s="21"/>
      <c r="BC1006" s="43"/>
      <c r="BD1006" s="43"/>
    </row>
    <row r="1007" spans="1:97" ht="12.95" customHeight="1">
      <c r="A1007" s="554"/>
      <c r="B1007" s="79"/>
      <c r="C1007" s="555" t="s">
        <v>582</v>
      </c>
      <c r="D1007" s="1385" t="s">
        <v>2006</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6"/>
      <c r="AF1007" s="82"/>
      <c r="AG1007" s="1362" t="s">
        <v>483</v>
      </c>
      <c r="AH1007" s="1363"/>
      <c r="AI1007" s="85"/>
      <c r="AJ1007" s="1364">
        <f>ROUND(IF(AG1007="yes",(AJ967*0.15),0),0)</f>
        <v>0</v>
      </c>
      <c r="AK1007" s="1365"/>
      <c r="AL1007" s="1365"/>
      <c r="AM1007" s="1365"/>
      <c r="AN1007" s="1365"/>
      <c r="AO1007" s="1365"/>
      <c r="AP1007" s="1365"/>
      <c r="AQ1007" s="1366"/>
      <c r="AT1007" s="43"/>
      <c r="AU1007" s="43"/>
      <c r="AV1007" s="43"/>
      <c r="AW1007" s="43"/>
      <c r="AX1007" s="43"/>
      <c r="AY1007" s="43"/>
      <c r="AZ1007" s="43"/>
      <c r="BA1007" s="43"/>
      <c r="BB1007" s="43"/>
      <c r="BC1007" s="43"/>
      <c r="BD1007" s="43"/>
    </row>
    <row r="1008" spans="1:97" ht="12.95" customHeight="1">
      <c r="A1008" s="554"/>
      <c r="B1008" s="79"/>
      <c r="C1008" s="556"/>
      <c r="D1008" s="1532" t="s">
        <v>2007</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3"/>
      <c r="AF1008" s="871"/>
      <c r="AG1008" s="872"/>
      <c r="AH1008" s="872"/>
      <c r="AI1008" s="873"/>
      <c r="AJ1008" s="1367"/>
      <c r="AK1008" s="1368"/>
      <c r="AL1008" s="1368"/>
      <c r="AM1008" s="1368"/>
      <c r="AN1008" s="1368"/>
      <c r="AO1008" s="1368"/>
      <c r="AP1008" s="1368"/>
      <c r="AQ1008" s="136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2"/>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3"/>
      <c r="AF1009" s="871"/>
      <c r="AG1009" s="872"/>
      <c r="AH1009" s="872"/>
      <c r="AI1009" s="873"/>
      <c r="AJ1009" s="1367"/>
      <c r="AK1009" s="1368"/>
      <c r="AL1009" s="1368"/>
      <c r="AM1009" s="1368"/>
      <c r="AN1009" s="1368"/>
      <c r="AO1009" s="1368"/>
      <c r="AP1009" s="1368"/>
      <c r="AQ1009" s="136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70"/>
      <c r="AK1010" s="1371"/>
      <c r="AL1010" s="1371"/>
      <c r="AM1010" s="1371"/>
      <c r="AN1010" s="1371"/>
      <c r="AO1010" s="1371"/>
      <c r="AP1010" s="1371"/>
      <c r="AQ1010" s="137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205" t="s">
        <v>2008</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4" t="s">
        <v>483</v>
      </c>
      <c r="AH1011" s="1545"/>
      <c r="AI1011" s="83"/>
      <c r="AJ1011" s="1364">
        <f>ROUND(IF(AG1011="yes",(AJ967*0.1),0),0)</f>
        <v>0</v>
      </c>
      <c r="AK1011" s="1365"/>
      <c r="AL1011" s="1365"/>
      <c r="AM1011" s="1365"/>
      <c r="AN1011" s="1365"/>
      <c r="AO1011" s="1365"/>
      <c r="AP1011" s="1365"/>
      <c r="AQ1011" s="136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2" t="s">
        <v>2009</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3"/>
      <c r="AF1012" s="79"/>
      <c r="AG1012" s="21"/>
      <c r="AH1012" s="21"/>
      <c r="AI1012" s="83"/>
      <c r="AJ1012" s="1367"/>
      <c r="AK1012" s="1368"/>
      <c r="AL1012" s="1368"/>
      <c r="AM1012" s="1368"/>
      <c r="AN1012" s="1368"/>
      <c r="AO1012" s="1368"/>
      <c r="AP1012" s="1368"/>
      <c r="AQ1012" s="136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2"/>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3"/>
      <c r="AF1013" s="79"/>
      <c r="AG1013" s="21"/>
      <c r="AH1013" s="21"/>
      <c r="AI1013" s="83"/>
      <c r="AJ1013" s="1367"/>
      <c r="AK1013" s="1368"/>
      <c r="AL1013" s="1368"/>
      <c r="AM1013" s="1368"/>
      <c r="AN1013" s="1368"/>
      <c r="AO1013" s="1368"/>
      <c r="AP1013" s="1368"/>
      <c r="AQ1013" s="136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2"/>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3"/>
      <c r="AF1014" s="79"/>
      <c r="AG1014" s="21"/>
      <c r="AH1014" s="21"/>
      <c r="AI1014" s="83"/>
      <c r="AJ1014" s="1367"/>
      <c r="AK1014" s="1368"/>
      <c r="AL1014" s="1368"/>
      <c r="AM1014" s="1368"/>
      <c r="AN1014" s="1368"/>
      <c r="AO1014" s="1368"/>
      <c r="AP1014" s="1368"/>
      <c r="AQ1014" s="136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7"/>
      <c r="AK1015" s="1368"/>
      <c r="AL1015" s="1368"/>
      <c r="AM1015" s="1368"/>
      <c r="AN1015" s="1368"/>
      <c r="AO1015" s="1368"/>
      <c r="AP1015" s="1368"/>
      <c r="AQ1015" s="136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385" t="s">
        <v>1904</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6"/>
      <c r="AF1016" s="82"/>
      <c r="AG1016" s="1362" t="s">
        <v>483</v>
      </c>
      <c r="AH1016" s="1363"/>
      <c r="AI1016" s="85"/>
      <c r="AJ1016" s="1364">
        <f>ROUND(IF(AG1016="yes",(AJ967*0.1),0),0)</f>
        <v>0</v>
      </c>
      <c r="AK1016" s="1365"/>
      <c r="AL1016" s="1365"/>
      <c r="AM1016" s="1365"/>
      <c r="AN1016" s="1365"/>
      <c r="AO1016" s="1365"/>
      <c r="AP1016" s="1365"/>
      <c r="AQ1016" s="136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4" t="s">
        <v>2218</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7"/>
      <c r="AK1017" s="1368"/>
      <c r="AL1017" s="1368"/>
      <c r="AM1017" s="1368"/>
      <c r="AN1017" s="1368"/>
      <c r="AO1017" s="1368"/>
      <c r="AP1017" s="1368"/>
      <c r="AQ1017" s="136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3"/>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5"/>
      <c r="AF1019" s="79"/>
      <c r="AG1019" s="21"/>
      <c r="AH1019" s="21"/>
      <c r="AI1019" s="83"/>
      <c r="AJ1019" s="1370"/>
      <c r="AK1019" s="1371"/>
      <c r="AL1019" s="1371"/>
      <c r="AM1019" s="1371"/>
      <c r="AN1019" s="1371"/>
      <c r="AO1019" s="1371"/>
      <c r="AP1019" s="1371"/>
      <c r="AQ1019" s="13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0" t="s">
        <v>749</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15611728</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9369142</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0.60013484734040967</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6" t="s">
        <v>990</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7" t="s">
        <v>124</v>
      </c>
      <c r="B1036" s="1117"/>
      <c r="C1036" s="12">
        <v>1</v>
      </c>
      <c r="D1036" s="979" t="s">
        <v>1520</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7" t="s">
        <v>124</v>
      </c>
      <c r="B1042" s="1117"/>
      <c r="C1042" s="12">
        <v>2</v>
      </c>
      <c r="D1042" s="973" t="s">
        <v>1521</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7" t="s">
        <v>124</v>
      </c>
      <c r="B1048" s="1117"/>
      <c r="C1048" s="12">
        <v>3</v>
      </c>
      <c r="D1048" s="973" t="s">
        <v>2217</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7" t="s">
        <v>124</v>
      </c>
      <c r="B1055" s="1117"/>
      <c r="C1055" s="12">
        <v>4</v>
      </c>
      <c r="D1055" s="973" t="s">
        <v>2049</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7" t="s">
        <v>124</v>
      </c>
      <c r="B1059" s="1117"/>
      <c r="C1059" s="12">
        <v>5</v>
      </c>
      <c r="D1059" s="973" t="s">
        <v>1723</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7" t="s">
        <v>124</v>
      </c>
      <c r="B1063" s="1117"/>
      <c r="C1063" s="12">
        <v>6</v>
      </c>
      <c r="D1063" s="979" t="s">
        <v>1522</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7" t="s">
        <v>124</v>
      </c>
      <c r="B1066" s="1117"/>
      <c r="C1066" s="350">
        <v>7</v>
      </c>
      <c r="D1066" s="979" t="s">
        <v>1524</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7" t="s">
        <v>124</v>
      </c>
      <c r="B1071" s="1117"/>
      <c r="C1071" s="350">
        <v>8</v>
      </c>
      <c r="D1071" s="973" t="s">
        <v>2021</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239" t="s">
        <v>124</v>
      </c>
      <c r="B1075" s="1239"/>
      <c r="C1075" s="350">
        <v>9</v>
      </c>
      <c r="D1075" s="973" t="s">
        <v>1523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J84" sqref="J8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1" t="s">
        <v>184</v>
      </c>
      <c r="G1" s="1582"/>
      <c r="H1" s="1582"/>
      <c r="I1" s="1582"/>
      <c r="J1" s="1582"/>
      <c r="K1" s="1582"/>
      <c r="L1" s="1582"/>
      <c r="M1" s="1582"/>
      <c r="N1" s="1582"/>
      <c r="O1" s="1582"/>
      <c r="P1" s="1582"/>
      <c r="Q1" s="1582"/>
      <c r="R1" s="1583"/>
      <c r="S1" s="202"/>
      <c r="T1" s="201"/>
      <c r="U1" s="203"/>
    </row>
    <row r="2" spans="1:21" s="232" customFormat="1" ht="60" customHeight="1">
      <c r="A2" s="231"/>
      <c r="B2" s="232" t="s">
        <v>798</v>
      </c>
      <c r="C2" s="232" t="s">
        <v>508</v>
      </c>
      <c r="D2" s="232" t="s">
        <v>507</v>
      </c>
      <c r="E2" s="232" t="s">
        <v>799</v>
      </c>
      <c r="F2" s="233" t="str">
        <f>Application!B621&amp;Application!C621</f>
        <v>1)USDA 515 Loans</v>
      </c>
      <c r="G2" s="233" t="str">
        <f>Application!B622&amp;Application!C622</f>
        <v>2)Deferred Developer Fee</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176000</v>
      </c>
      <c r="C4" s="241">
        <v>176000</v>
      </c>
      <c r="D4" s="241"/>
      <c r="E4" s="241"/>
      <c r="F4" s="241">
        <v>176000</v>
      </c>
      <c r="G4" s="241"/>
      <c r="H4" s="241"/>
      <c r="I4" s="241"/>
      <c r="J4" s="241"/>
      <c r="K4" s="241"/>
      <c r="L4" s="241"/>
      <c r="M4" s="241"/>
      <c r="N4" s="241"/>
      <c r="O4" s="241"/>
      <c r="P4" s="241"/>
      <c r="Q4" s="241"/>
      <c r="R4" s="241">
        <f>C4</f>
        <v>176000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176000</v>
      </c>
      <c r="C8" s="240">
        <f t="shared" ref="C8:R8" si="0">SUM(C4:C7)</f>
        <v>176000</v>
      </c>
      <c r="D8" s="240">
        <f t="shared" si="0"/>
        <v>0</v>
      </c>
      <c r="E8" s="240">
        <f t="shared" si="0"/>
        <v>0</v>
      </c>
      <c r="F8" s="240">
        <f t="shared" si="0"/>
        <v>176000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176000</v>
      </c>
      <c r="S8" s="242"/>
      <c r="T8" s="242"/>
      <c r="U8" s="237"/>
    </row>
    <row r="9" spans="1:21" s="238" customFormat="1">
      <c r="A9" s="239" t="s">
        <v>1722</v>
      </c>
      <c r="B9" s="240">
        <f>SUM(C9+D9)</f>
        <v>2024000</v>
      </c>
      <c r="C9" s="241">
        <v>2024000</v>
      </c>
      <c r="D9" s="241"/>
      <c r="E9" s="241"/>
      <c r="F9" s="241">
        <v>2024000</v>
      </c>
      <c r="G9" s="241"/>
      <c r="H9" s="241"/>
      <c r="I9" s="241"/>
      <c r="J9" s="241"/>
      <c r="K9" s="241"/>
      <c r="L9" s="241"/>
      <c r="M9" s="241"/>
      <c r="N9" s="241"/>
      <c r="O9" s="241"/>
      <c r="P9" s="241"/>
      <c r="Q9" s="241"/>
      <c r="R9" s="241">
        <f>C9</f>
        <v>2024000</v>
      </c>
      <c r="S9" s="242"/>
      <c r="T9" s="241">
        <v>2024000</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2024000</v>
      </c>
      <c r="C11" s="240">
        <f t="shared" ref="C11:T11" si="1">SUM(C9:C10)</f>
        <v>2024000</v>
      </c>
      <c r="D11" s="240">
        <f t="shared" si="1"/>
        <v>0</v>
      </c>
      <c r="E11" s="240">
        <f t="shared" si="1"/>
        <v>0</v>
      </c>
      <c r="F11" s="240">
        <f t="shared" si="1"/>
        <v>2024000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2024000</v>
      </c>
      <c r="S11" s="242"/>
      <c r="T11" s="240">
        <f t="shared" si="1"/>
        <v>2024000</v>
      </c>
      <c r="U11" s="237"/>
    </row>
    <row r="12" spans="1:21" s="238" customFormat="1">
      <c r="A12" s="243" t="s">
        <v>712</v>
      </c>
      <c r="B12" s="240">
        <f t="shared" ref="B12:R12" si="2">SUM(B8+B11)</f>
        <v>2200000</v>
      </c>
      <c r="C12" s="240">
        <f t="shared" si="2"/>
        <v>2200000</v>
      </c>
      <c r="D12" s="240">
        <f t="shared" si="2"/>
        <v>0</v>
      </c>
      <c r="E12" s="240">
        <f t="shared" si="2"/>
        <v>0</v>
      </c>
      <c r="F12" s="240">
        <f t="shared" si="2"/>
        <v>2200000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2200000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3520000</v>
      </c>
      <c r="C18" s="241">
        <v>3520000</v>
      </c>
      <c r="D18" s="241"/>
      <c r="E18" s="241">
        <v>2767868</v>
      </c>
      <c r="F18" s="241">
        <v>752132</v>
      </c>
      <c r="G18" s="241"/>
      <c r="H18" s="241"/>
      <c r="I18" s="241"/>
      <c r="J18" s="241"/>
      <c r="K18" s="241"/>
      <c r="L18" s="241"/>
      <c r="M18" s="241"/>
      <c r="N18" s="241"/>
      <c r="O18" s="241"/>
      <c r="P18" s="241"/>
      <c r="Q18" s="241"/>
      <c r="R18" s="241">
        <f>SUM(E18:Q18)</f>
        <v>3520000</v>
      </c>
      <c r="S18" s="241">
        <v>3520000</v>
      </c>
      <c r="T18" s="241"/>
      <c r="U18" s="237"/>
    </row>
    <row r="19" spans="1:21" s="238" customFormat="1">
      <c r="A19" s="239" t="s">
        <v>913</v>
      </c>
      <c r="B19" s="240">
        <f t="shared" si="3"/>
        <v>70400</v>
      </c>
      <c r="C19" s="241">
        <v>70400</v>
      </c>
      <c r="D19" s="241"/>
      <c r="E19" s="241">
        <v>70400</v>
      </c>
      <c r="F19" s="241"/>
      <c r="G19" s="241"/>
      <c r="H19" s="241"/>
      <c r="I19" s="241"/>
      <c r="J19" s="241"/>
      <c r="K19" s="241"/>
      <c r="L19" s="241"/>
      <c r="M19" s="241"/>
      <c r="N19" s="241"/>
      <c r="O19" s="241"/>
      <c r="P19" s="241"/>
      <c r="Q19" s="241"/>
      <c r="R19" s="241">
        <f>SUM(E19:Q19)</f>
        <v>70400</v>
      </c>
      <c r="S19" s="241">
        <v>70400</v>
      </c>
      <c r="T19" s="241"/>
      <c r="U19" s="237"/>
    </row>
    <row r="20" spans="1:21" s="238" customFormat="1">
      <c r="A20" s="239" t="s">
        <v>914</v>
      </c>
      <c r="B20" s="240">
        <f t="shared" si="3"/>
        <v>70400</v>
      </c>
      <c r="C20" s="241">
        <v>70400</v>
      </c>
      <c r="D20" s="241"/>
      <c r="E20" s="241">
        <v>70400</v>
      </c>
      <c r="F20" s="241"/>
      <c r="G20" s="241"/>
      <c r="H20" s="241"/>
      <c r="I20" s="241"/>
      <c r="J20" s="241"/>
      <c r="K20" s="241"/>
      <c r="L20" s="241"/>
      <c r="M20" s="241"/>
      <c r="N20" s="241"/>
      <c r="O20" s="241"/>
      <c r="P20" s="241"/>
      <c r="Q20" s="241"/>
      <c r="R20" s="241">
        <f t="shared" ref="R20:R27" si="4">SUM(E20:Q20)</f>
        <v>70400</v>
      </c>
      <c r="S20" s="241">
        <v>70400</v>
      </c>
      <c r="T20" s="241"/>
      <c r="U20" s="237"/>
    </row>
    <row r="21" spans="1:21" s="238" customFormat="1">
      <c r="A21" s="239" t="s">
        <v>915</v>
      </c>
      <c r="B21" s="240">
        <f t="shared" si="3"/>
        <v>352000</v>
      </c>
      <c r="C21" s="241">
        <v>352000</v>
      </c>
      <c r="D21" s="241"/>
      <c r="E21" s="241">
        <v>352000</v>
      </c>
      <c r="F21" s="241"/>
      <c r="G21" s="241"/>
      <c r="H21" s="241"/>
      <c r="I21" s="241"/>
      <c r="J21" s="241"/>
      <c r="K21" s="241"/>
      <c r="L21" s="241"/>
      <c r="M21" s="241"/>
      <c r="N21" s="241"/>
      <c r="O21" s="241"/>
      <c r="P21" s="241"/>
      <c r="Q21" s="241"/>
      <c r="R21" s="241">
        <f t="shared" si="4"/>
        <v>352000</v>
      </c>
      <c r="S21" s="241">
        <v>352000</v>
      </c>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250000</v>
      </c>
      <c r="C23" s="241">
        <v>250000</v>
      </c>
      <c r="D23" s="241"/>
      <c r="E23" s="241">
        <v>250000</v>
      </c>
      <c r="F23" s="241"/>
      <c r="G23" s="241"/>
      <c r="H23" s="241"/>
      <c r="I23" s="241"/>
      <c r="J23" s="241"/>
      <c r="K23" s="241"/>
      <c r="L23" s="241"/>
      <c r="M23" s="241"/>
      <c r="N23" s="241"/>
      <c r="O23" s="241"/>
      <c r="P23" s="241"/>
      <c r="Q23" s="241"/>
      <c r="R23" s="241">
        <f t="shared" si="4"/>
        <v>250000</v>
      </c>
      <c r="S23" s="241">
        <v>250000</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4262800</v>
      </c>
      <c r="C26" s="240">
        <f>SUM(C17:C25)</f>
        <v>4262800</v>
      </c>
      <c r="D26" s="240">
        <f>SUM(D17:D25)</f>
        <v>0</v>
      </c>
      <c r="E26" s="240">
        <f>SUM(E17:E25)</f>
        <v>3510668</v>
      </c>
      <c r="F26" s="240">
        <f t="shared" ref="F26:T26" si="5">SUM(F17:F25)</f>
        <v>752132</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4262800</v>
      </c>
      <c r="S26" s="244">
        <f t="shared" si="5"/>
        <v>4262800</v>
      </c>
      <c r="T26" s="244">
        <f t="shared" si="5"/>
        <v>0</v>
      </c>
      <c r="U26" s="237"/>
    </row>
    <row r="27" spans="1:21" s="238" customFormat="1">
      <c r="A27" s="243" t="s">
        <v>918</v>
      </c>
      <c r="B27" s="240">
        <f t="shared" si="3"/>
        <v>600000</v>
      </c>
      <c r="C27" s="241">
        <v>600000</v>
      </c>
      <c r="D27" s="241"/>
      <c r="E27" s="241">
        <v>600000</v>
      </c>
      <c r="F27" s="241"/>
      <c r="G27" s="241"/>
      <c r="H27" s="241"/>
      <c r="I27" s="241"/>
      <c r="J27" s="241"/>
      <c r="K27" s="241"/>
      <c r="L27" s="241"/>
      <c r="M27" s="241"/>
      <c r="N27" s="241"/>
      <c r="O27" s="241"/>
      <c r="P27" s="241"/>
      <c r="Q27" s="241"/>
      <c r="R27" s="241">
        <f t="shared" si="4"/>
        <v>600000</v>
      </c>
      <c r="S27" s="241">
        <v>600000</v>
      </c>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912</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913</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914</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915</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920</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90000</v>
      </c>
      <c r="C40" s="241">
        <v>90000</v>
      </c>
      <c r="D40" s="241"/>
      <c r="E40" s="241">
        <v>90000</v>
      </c>
      <c r="F40" s="241"/>
      <c r="G40" s="241"/>
      <c r="H40" s="241"/>
      <c r="I40" s="241"/>
      <c r="J40" s="241"/>
      <c r="K40" s="241"/>
      <c r="L40" s="241"/>
      <c r="M40" s="241"/>
      <c r="N40" s="241"/>
      <c r="O40" s="241"/>
      <c r="P40" s="241"/>
      <c r="Q40" s="241"/>
      <c r="R40" s="241">
        <f>SUM(E40:Q40)</f>
        <v>90000</v>
      </c>
      <c r="S40" s="241">
        <v>90000</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90000</v>
      </c>
      <c r="C42" s="240">
        <f>SUM(C39:C41)</f>
        <v>90000</v>
      </c>
      <c r="D42" s="240">
        <f>SUM(D39:D41)</f>
        <v>0</v>
      </c>
      <c r="E42" s="240">
        <f t="shared" ref="E42:T42" si="9">SUM(E40:E41)</f>
        <v>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90000</v>
      </c>
      <c r="S42" s="244">
        <f t="shared" si="9"/>
        <v>90000</v>
      </c>
      <c r="T42" s="244">
        <f t="shared" si="9"/>
        <v>0</v>
      </c>
      <c r="U42" s="237"/>
    </row>
    <row r="43" spans="1:21" s="238" customFormat="1">
      <c r="A43" s="243" t="s">
        <v>925</v>
      </c>
      <c r="B43" s="240">
        <f>SUM(C43:D43)</f>
        <v>70000</v>
      </c>
      <c r="C43" s="241">
        <v>70000</v>
      </c>
      <c r="D43" s="241"/>
      <c r="E43" s="241">
        <v>70000</v>
      </c>
      <c r="F43" s="241">
        <v>0</v>
      </c>
      <c r="G43" s="241"/>
      <c r="H43" s="241"/>
      <c r="I43" s="241"/>
      <c r="J43" s="241"/>
      <c r="K43" s="241"/>
      <c r="L43" s="241"/>
      <c r="M43" s="241"/>
      <c r="N43" s="241"/>
      <c r="O43" s="241"/>
      <c r="P43" s="241"/>
      <c r="Q43" s="241"/>
      <c r="R43" s="241">
        <f>SUM(E43:Q43)</f>
        <v>70000</v>
      </c>
      <c r="S43" s="241">
        <v>70000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0">SUM(C45+D45)</f>
        <v>450000</v>
      </c>
      <c r="C45" s="241">
        <v>450000</v>
      </c>
      <c r="D45" s="241"/>
      <c r="E45" s="241">
        <v>450000</v>
      </c>
      <c r="F45" s="241"/>
      <c r="G45" s="241"/>
      <c r="H45" s="241"/>
      <c r="I45" s="241"/>
      <c r="J45" s="241"/>
      <c r="K45" s="241"/>
      <c r="L45" s="241"/>
      <c r="M45" s="241"/>
      <c r="N45" s="241"/>
      <c r="O45" s="241"/>
      <c r="P45" s="241"/>
      <c r="Q45" s="241"/>
      <c r="R45" s="241">
        <f t="shared" ref="R45:R52" si="11">SUM(E45:Q45)</f>
        <v>450000</v>
      </c>
      <c r="S45" s="241">
        <v>90000</v>
      </c>
      <c r="T45" s="241"/>
      <c r="U45" s="237"/>
    </row>
    <row r="46" spans="1:21" s="238" customFormat="1">
      <c r="A46" s="239" t="s">
        <v>928</v>
      </c>
      <c r="B46" s="240">
        <f t="shared" si="10"/>
        <v>55000</v>
      </c>
      <c r="C46" s="241">
        <v>55000</v>
      </c>
      <c r="D46" s="241"/>
      <c r="E46" s="241">
        <v>55000</v>
      </c>
      <c r="F46" s="241"/>
      <c r="G46" s="241"/>
      <c r="H46" s="241"/>
      <c r="I46" s="241"/>
      <c r="J46" s="241"/>
      <c r="K46" s="241"/>
      <c r="L46" s="241"/>
      <c r="M46" s="241"/>
      <c r="N46" s="241"/>
      <c r="O46" s="241"/>
      <c r="P46" s="241"/>
      <c r="Q46" s="241"/>
      <c r="R46" s="241">
        <f t="shared" si="11"/>
        <v>55000</v>
      </c>
      <c r="S46" s="241">
        <v>55000</v>
      </c>
      <c r="T46" s="241"/>
      <c r="U46" s="237"/>
    </row>
    <row r="47" spans="1:21" s="238" customFormat="1" ht="12" customHeight="1">
      <c r="A47" s="239" t="s">
        <v>929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930</v>
      </c>
      <c r="B48" s="240">
        <f t="shared" si="10"/>
        <v>75000</v>
      </c>
      <c r="C48" s="241">
        <v>75000</v>
      </c>
      <c r="D48" s="241"/>
      <c r="E48" s="241">
        <v>75000</v>
      </c>
      <c r="F48" s="241"/>
      <c r="G48" s="241"/>
      <c r="H48" s="241"/>
      <c r="I48" s="241"/>
      <c r="J48" s="241"/>
      <c r="K48" s="241"/>
      <c r="L48" s="241"/>
      <c r="M48" s="241"/>
      <c r="N48" s="241"/>
      <c r="O48" s="241"/>
      <c r="P48" s="241"/>
      <c r="Q48" s="241"/>
      <c r="R48" s="241">
        <f t="shared" si="11"/>
        <v>75000</v>
      </c>
      <c r="S48" s="241">
        <v>75000</v>
      </c>
      <c r="T48" s="241"/>
      <c r="U48" s="237"/>
    </row>
    <row r="49" spans="1:21" s="238" customFormat="1">
      <c r="A49" s="239" t="s">
        <v>933</v>
      </c>
      <c r="B49" s="240">
        <f t="shared" si="10"/>
        <v>40000</v>
      </c>
      <c r="C49" s="241">
        <v>40000</v>
      </c>
      <c r="D49" s="241"/>
      <c r="E49" s="241">
        <v>40000</v>
      </c>
      <c r="F49" s="241"/>
      <c r="G49" s="241"/>
      <c r="H49" s="241"/>
      <c r="I49" s="241"/>
      <c r="J49" s="241"/>
      <c r="K49" s="241"/>
      <c r="L49" s="241"/>
      <c r="M49" s="241"/>
      <c r="N49" s="241"/>
      <c r="O49" s="241"/>
      <c r="P49" s="241"/>
      <c r="Q49" s="241"/>
      <c r="R49" s="241">
        <f t="shared" si="11"/>
        <v>40000</v>
      </c>
      <c r="S49" s="241">
        <v>40000</v>
      </c>
      <c r="T49" s="241"/>
      <c r="U49" s="237"/>
    </row>
    <row r="50" spans="1:21" s="238" customFormat="1">
      <c r="A50" s="239" t="s">
        <v>931</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c r="A51" s="239" t="s">
        <v>932</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2428</v>
      </c>
      <c r="B52" s="240">
        <f t="shared" si="10"/>
        <v>35000</v>
      </c>
      <c r="C52" s="241">
        <v>35000</v>
      </c>
      <c r="D52" s="241"/>
      <c r="E52" s="241">
        <v>35000</v>
      </c>
      <c r="F52" s="241"/>
      <c r="G52" s="241"/>
      <c r="H52" s="241"/>
      <c r="I52" s="241"/>
      <c r="J52" s="241"/>
      <c r="K52" s="241"/>
      <c r="L52" s="241"/>
      <c r="M52" s="241"/>
      <c r="N52" s="241"/>
      <c r="O52" s="241"/>
      <c r="P52" s="241"/>
      <c r="Q52" s="241"/>
      <c r="R52" s="241">
        <f t="shared" si="11"/>
        <v>35000</v>
      </c>
      <c r="S52" s="241">
        <v>35000</v>
      </c>
      <c r="T52" s="241"/>
      <c r="U52" s="237"/>
    </row>
    <row r="53" spans="1:21" s="248" customFormat="1">
      <c r="A53" s="243" t="s">
        <v>934</v>
      </c>
      <c r="B53" s="244">
        <f>SUM(C53:D53)</f>
        <v>660000</v>
      </c>
      <c r="C53" s="244">
        <f t="shared" ref="C53:T53" si="12">SUM(C45:C52)</f>
        <v>660000</v>
      </c>
      <c r="D53" s="244">
        <f t="shared" si="12"/>
        <v>0</v>
      </c>
      <c r="E53" s="244">
        <f t="shared" si="12"/>
        <v>660000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660000</v>
      </c>
      <c r="S53" s="244">
        <f t="shared" si="12"/>
        <v>300000</v>
      </c>
      <c r="T53" s="244">
        <f t="shared" si="12"/>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929</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933</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2438</v>
      </c>
      <c r="B60" s="240">
        <f t="shared" si="13"/>
        <v>45000</v>
      </c>
      <c r="C60" s="241">
        <v>45000</v>
      </c>
      <c r="D60" s="241"/>
      <c r="E60" s="241">
        <v>45000</v>
      </c>
      <c r="F60" s="241"/>
      <c r="G60" s="241"/>
      <c r="H60" s="241"/>
      <c r="I60" s="241"/>
      <c r="J60" s="241"/>
      <c r="K60" s="241"/>
      <c r="L60" s="241"/>
      <c r="M60" s="241"/>
      <c r="N60" s="241"/>
      <c r="O60" s="241"/>
      <c r="P60" s="241"/>
      <c r="Q60" s="241"/>
      <c r="R60" s="241">
        <f t="shared" si="14"/>
        <v>45000</v>
      </c>
      <c r="S60" s="242"/>
      <c r="T60" s="242"/>
      <c r="U60" s="237"/>
    </row>
    <row r="61" spans="1:21" s="238" customFormat="1" ht="13.9" customHeight="1">
      <c r="A61" s="243" t="s">
        <v>501</v>
      </c>
      <c r="B61" s="240">
        <f>SUM(C61:D61)</f>
        <v>45000</v>
      </c>
      <c r="C61" s="240">
        <f t="shared" ref="C61:R61" si="15">SUM(C55:C60)</f>
        <v>45000</v>
      </c>
      <c r="D61" s="240">
        <f t="shared" si="15"/>
        <v>0</v>
      </c>
      <c r="E61" s="240">
        <f t="shared" si="15"/>
        <v>45000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502</v>
      </c>
      <c r="B62" s="240">
        <f>SUM(C62:D62)</f>
        <v>7927800</v>
      </c>
      <c r="C62" s="240">
        <f t="shared" ref="C62:R62" si="16">SUM(C8+C11+C13+C14+C15+C26+C27+C38+C42+C43+C53+C61)</f>
        <v>7927800</v>
      </c>
      <c r="D62" s="240">
        <f t="shared" si="16"/>
        <v>0</v>
      </c>
      <c r="E62" s="240">
        <f t="shared" si="16"/>
        <v>4975668</v>
      </c>
      <c r="F62" s="240">
        <f t="shared" si="16"/>
        <v>2952132</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7927800</v>
      </c>
      <c r="S62" s="240">
        <f>SUM(S10+S13+S14+S15+S26+S27+S38+S42+S43+S53)</f>
        <v>5322800</v>
      </c>
      <c r="T62" s="240">
        <f>SUM(T11+T13+T14+T15+T26+T27+T38+T42+T43+T53)</f>
        <v>2024000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4">
      <c r="A65" s="239" t="s">
        <v>1958</v>
      </c>
      <c r="B65" s="240">
        <f>SUM(C65+D65)</f>
        <v>60000</v>
      </c>
      <c r="C65" s="241">
        <v>60000</v>
      </c>
      <c r="D65" s="241"/>
      <c r="E65" s="241">
        <v>60000</v>
      </c>
      <c r="F65" s="241"/>
      <c r="G65" s="241"/>
      <c r="H65" s="241"/>
      <c r="I65" s="241"/>
      <c r="J65" s="241"/>
      <c r="K65" s="241"/>
      <c r="L65" s="241"/>
      <c r="M65" s="241"/>
      <c r="N65" s="241"/>
      <c r="O65" s="241"/>
      <c r="P65" s="241"/>
      <c r="Q65" s="241"/>
      <c r="R65" s="241">
        <f>SUM(E65:Q65)</f>
        <v>60000</v>
      </c>
      <c r="S65" s="241">
        <v>0</v>
      </c>
      <c r="T65" s="241"/>
      <c r="U65" s="237"/>
    </row>
    <row r="66" spans="1:21" s="238" customFormat="1" ht="24">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2429</v>
      </c>
      <c r="B68" s="240">
        <f>SUM(C68+D68)</f>
        <v>300000</v>
      </c>
      <c r="C68" s="241">
        <v>300000</v>
      </c>
      <c r="D68" s="241"/>
      <c r="E68" s="241">
        <v>300000</v>
      </c>
      <c r="F68" s="241"/>
      <c r="G68" s="241"/>
      <c r="H68" s="241"/>
      <c r="I68" s="241"/>
      <c r="J68" s="241"/>
      <c r="K68" s="241"/>
      <c r="L68" s="241"/>
      <c r="M68" s="241"/>
      <c r="N68" s="241"/>
      <c r="O68" s="241"/>
      <c r="P68" s="241"/>
      <c r="Q68" s="241"/>
      <c r="R68" s="241">
        <f>SUM(E68:Q68)</f>
        <v>300000</v>
      </c>
      <c r="S68" s="241">
        <v>180000</v>
      </c>
      <c r="T68" s="241"/>
      <c r="U68" s="237"/>
    </row>
    <row r="69" spans="1:21" s="238" customFormat="1">
      <c r="A69" s="243" t="s">
        <v>1961</v>
      </c>
      <c r="B69" s="240">
        <f>SUM(C69:D69)</f>
        <v>420000</v>
      </c>
      <c r="C69" s="240">
        <f>SUM(C63:C68)</f>
        <v>420000</v>
      </c>
      <c r="D69" s="240">
        <f>SUM(D63:D68)</f>
        <v>0</v>
      </c>
      <c r="E69" s="240">
        <f t="shared" ref="E69:T69" si="17">SUM(E64:E68)</f>
        <v>420000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420000</v>
      </c>
      <c r="S69" s="244">
        <f t="shared" si="17"/>
        <v>240000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200000</v>
      </c>
      <c r="C71" s="241">
        <v>200000</v>
      </c>
      <c r="D71" s="241"/>
      <c r="E71" s="241">
        <v>200000</v>
      </c>
      <c r="F71" s="241"/>
      <c r="G71" s="241"/>
      <c r="H71" s="241"/>
      <c r="I71" s="241"/>
      <c r="J71" s="241"/>
      <c r="K71" s="241"/>
      <c r="L71" s="241"/>
      <c r="M71" s="241"/>
      <c r="N71" s="241"/>
      <c r="O71" s="241"/>
      <c r="P71" s="241"/>
      <c r="Q71" s="241"/>
      <c r="R71" s="241">
        <f>SUM(E71:Q71)</f>
        <v>200000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113314</v>
      </c>
      <c r="C74" s="241">
        <v>113314</v>
      </c>
      <c r="D74" s="241"/>
      <c r="E74" s="241">
        <v>113314</v>
      </c>
      <c r="F74" s="241"/>
      <c r="G74" s="241"/>
      <c r="H74" s="241"/>
      <c r="I74" s="241"/>
      <c r="J74" s="241"/>
      <c r="K74" s="241"/>
      <c r="L74" s="241"/>
      <c r="M74" s="241"/>
      <c r="N74" s="241"/>
      <c r="O74" s="241"/>
      <c r="P74" s="241"/>
      <c r="Q74" s="241"/>
      <c r="R74" s="241">
        <f>SUM(E74:Q74)</f>
        <v>113314</v>
      </c>
      <c r="S74" s="242"/>
      <c r="T74" s="242"/>
      <c r="U74" s="237"/>
    </row>
    <row r="75" spans="1:21" s="238" customFormat="1">
      <c r="A75" s="246" t="s">
        <v>2430</v>
      </c>
      <c r="B75" s="240">
        <f>SUM(C75+D75)</f>
        <v>400000</v>
      </c>
      <c r="C75" s="241">
        <v>400000</v>
      </c>
      <c r="D75" s="241"/>
      <c r="E75" s="241">
        <v>400000</v>
      </c>
      <c r="F75" s="241"/>
      <c r="G75" s="241"/>
      <c r="H75" s="241"/>
      <c r="I75" s="241"/>
      <c r="J75" s="241"/>
      <c r="K75" s="241"/>
      <c r="L75" s="241"/>
      <c r="M75" s="241"/>
      <c r="N75" s="241"/>
      <c r="O75" s="241"/>
      <c r="P75" s="241"/>
      <c r="Q75" s="241"/>
      <c r="R75" s="241">
        <f>SUM(E75:Q75)</f>
        <v>400000</v>
      </c>
      <c r="S75" s="242"/>
      <c r="T75" s="242"/>
      <c r="U75" s="237"/>
    </row>
    <row r="76" spans="1:21" s="238" customFormat="1">
      <c r="A76" s="243" t="s">
        <v>289</v>
      </c>
      <c r="B76" s="240">
        <f>SUM(C76:D76)</f>
        <v>713314</v>
      </c>
      <c r="C76" s="240">
        <f t="shared" ref="C76:Q76" si="18">SUM(C71:C75)</f>
        <v>713314</v>
      </c>
      <c r="D76" s="240">
        <f t="shared" si="18"/>
        <v>0</v>
      </c>
      <c r="E76" s="240">
        <f>SUM(E71:E75)</f>
        <v>713314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713314</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401280</v>
      </c>
      <c r="C78" s="241">
        <v>401280</v>
      </c>
      <c r="D78" s="241"/>
      <c r="E78" s="241">
        <v>401280</v>
      </c>
      <c r="F78" s="241"/>
      <c r="G78" s="241"/>
      <c r="H78" s="241"/>
      <c r="I78" s="241"/>
      <c r="J78" s="241"/>
      <c r="K78" s="241"/>
      <c r="L78" s="241"/>
      <c r="M78" s="241"/>
      <c r="N78" s="241"/>
      <c r="O78" s="241"/>
      <c r="P78" s="241"/>
      <c r="Q78" s="241"/>
      <c r="R78" s="241">
        <f>SUM(E78:Q78)</f>
        <v>401280</v>
      </c>
      <c r="S78" s="241">
        <v>401280</v>
      </c>
      <c r="T78" s="241"/>
      <c r="U78" s="237"/>
    </row>
    <row r="79" spans="1:21" s="238" customFormat="1">
      <c r="A79" s="239" t="s">
        <v>539</v>
      </c>
      <c r="B79" s="240">
        <f>SUM(C79+D79)</f>
        <v>100000</v>
      </c>
      <c r="C79" s="241">
        <v>100000</v>
      </c>
      <c r="D79" s="241"/>
      <c r="E79" s="241">
        <v>100000</v>
      </c>
      <c r="F79" s="241"/>
      <c r="G79" s="241"/>
      <c r="H79" s="241"/>
      <c r="I79" s="241"/>
      <c r="J79" s="241"/>
      <c r="K79" s="241"/>
      <c r="L79" s="241"/>
      <c r="M79" s="241"/>
      <c r="N79" s="241"/>
      <c r="O79" s="241"/>
      <c r="P79" s="241"/>
      <c r="Q79" s="241"/>
      <c r="R79" s="241">
        <f>SUM(E79:Q79)</f>
        <v>100000</v>
      </c>
      <c r="S79" s="241">
        <v>100000</v>
      </c>
      <c r="T79" s="241"/>
      <c r="U79" s="237"/>
    </row>
    <row r="80" spans="1:21" s="238" customFormat="1">
      <c r="A80" s="243" t="s">
        <v>1744</v>
      </c>
      <c r="B80" s="240">
        <f>SUM(C80:D80)</f>
        <v>501280</v>
      </c>
      <c r="C80" s="666">
        <f>SUM(C78:C79)</f>
        <v>501280</v>
      </c>
      <c r="D80" s="666">
        <f t="shared" ref="D80:R80" si="19">SUM(D78:D79)</f>
        <v>0</v>
      </c>
      <c r="E80" s="666">
        <f t="shared" si="19"/>
        <v>501280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501280</v>
      </c>
      <c r="S80" s="666">
        <f>SUM(S78:S79)</f>
        <v>501280</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49609</v>
      </c>
      <c r="C82" s="241">
        <v>49609</v>
      </c>
      <c r="D82" s="241"/>
      <c r="E82" s="241">
        <v>49609</v>
      </c>
      <c r="F82" s="241"/>
      <c r="G82" s="241"/>
      <c r="H82" s="241"/>
      <c r="I82" s="241"/>
      <c r="J82" s="241"/>
      <c r="K82" s="241"/>
      <c r="L82" s="241"/>
      <c r="M82" s="241"/>
      <c r="N82" s="241"/>
      <c r="O82" s="241"/>
      <c r="P82" s="241"/>
      <c r="Q82" s="241"/>
      <c r="R82" s="241">
        <f>SUM(E82:Q82)</f>
        <v>49609</v>
      </c>
      <c r="S82" s="242"/>
      <c r="T82" s="242"/>
      <c r="U82" s="237"/>
    </row>
    <row r="83" spans="1:21" s="238" customFormat="1">
      <c r="A83" s="239" t="s">
        <v>517</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v>20000</v>
      </c>
      <c r="T83" s="241"/>
      <c r="U83" s="237"/>
    </row>
    <row r="84" spans="1:21" s="238" customFormat="1">
      <c r="A84" s="239" t="s">
        <v>518</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519</v>
      </c>
      <c r="B85" s="240">
        <f t="shared" si="20"/>
        <v>25000</v>
      </c>
      <c r="C85" s="241">
        <v>25000</v>
      </c>
      <c r="D85" s="241"/>
      <c r="E85" s="241">
        <v>25000</v>
      </c>
      <c r="F85" s="241"/>
      <c r="G85" s="241"/>
      <c r="H85" s="241"/>
      <c r="I85" s="241"/>
      <c r="J85" s="241"/>
      <c r="K85" s="241"/>
      <c r="L85" s="241"/>
      <c r="M85" s="241"/>
      <c r="N85" s="241"/>
      <c r="O85" s="241"/>
      <c r="P85" s="241"/>
      <c r="Q85" s="241"/>
      <c r="R85" s="241">
        <f t="shared" si="21"/>
        <v>25000</v>
      </c>
      <c r="S85" s="241">
        <v>25000</v>
      </c>
      <c r="T85" s="241"/>
      <c r="U85" s="237"/>
    </row>
    <row r="86" spans="1:21" s="238" customFormat="1">
      <c r="A86" s="239" t="s">
        <v>520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521</v>
      </c>
      <c r="B87" s="240">
        <f t="shared" si="20"/>
        <v>4502</v>
      </c>
      <c r="C87" s="241">
        <v>4502</v>
      </c>
      <c r="D87" s="241"/>
      <c r="E87" s="241">
        <v>4502</v>
      </c>
      <c r="F87" s="241"/>
      <c r="G87" s="241"/>
      <c r="H87" s="241"/>
      <c r="I87" s="241"/>
      <c r="J87" s="241"/>
      <c r="K87" s="241"/>
      <c r="L87" s="241"/>
      <c r="M87" s="241"/>
      <c r="N87" s="241"/>
      <c r="O87" s="241"/>
      <c r="P87" s="241"/>
      <c r="Q87" s="241"/>
      <c r="R87" s="241">
        <f t="shared" si="21"/>
        <v>4502</v>
      </c>
      <c r="S87" s="242"/>
      <c r="T87" s="242"/>
      <c r="U87" s="237"/>
    </row>
    <row r="88" spans="1:21" s="238" customFormat="1">
      <c r="A88" s="239" t="s">
        <v>522</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c r="A89" s="239" t="s">
        <v>523</v>
      </c>
      <c r="B89" s="240">
        <f t="shared" si="20"/>
        <v>40000</v>
      </c>
      <c r="C89" s="241">
        <v>40000</v>
      </c>
      <c r="D89" s="241"/>
      <c r="E89" s="241">
        <v>40000</v>
      </c>
      <c r="F89" s="241"/>
      <c r="G89" s="241"/>
      <c r="H89" s="241"/>
      <c r="I89" s="241"/>
      <c r="J89" s="241"/>
      <c r="K89" s="241"/>
      <c r="L89" s="241"/>
      <c r="M89" s="241"/>
      <c r="N89" s="241"/>
      <c r="O89" s="241"/>
      <c r="P89" s="241"/>
      <c r="Q89" s="241"/>
      <c r="R89" s="241">
        <f t="shared" si="21"/>
        <v>40000</v>
      </c>
      <c r="S89" s="241">
        <v>40000</v>
      </c>
      <c r="T89" s="241"/>
      <c r="U89" s="237"/>
    </row>
    <row r="90" spans="1:21" s="238" customFormat="1">
      <c r="A90" s="250" t="s">
        <v>1316</v>
      </c>
      <c r="B90" s="240">
        <f t="shared" si="20"/>
        <v>60000</v>
      </c>
      <c r="C90" s="241">
        <v>60000</v>
      </c>
      <c r="D90" s="241"/>
      <c r="E90" s="241">
        <v>60000</v>
      </c>
      <c r="F90" s="241"/>
      <c r="G90" s="241"/>
      <c r="H90" s="241"/>
      <c r="I90" s="241"/>
      <c r="J90" s="241"/>
      <c r="K90" s="241"/>
      <c r="L90" s="241"/>
      <c r="M90" s="241"/>
      <c r="N90" s="241"/>
      <c r="O90" s="241"/>
      <c r="P90" s="241"/>
      <c r="Q90" s="241"/>
      <c r="R90" s="241">
        <f t="shared" si="21"/>
        <v>60000</v>
      </c>
      <c r="S90" s="241">
        <v>60000</v>
      </c>
      <c r="T90" s="241"/>
      <c r="U90" s="237"/>
    </row>
    <row r="91" spans="1:21" s="238" customFormat="1">
      <c r="A91" s="250" t="s">
        <v>1742</v>
      </c>
      <c r="B91" s="240">
        <f t="shared" si="20"/>
        <v>40000</v>
      </c>
      <c r="C91" s="241">
        <v>40000</v>
      </c>
      <c r="D91" s="241"/>
      <c r="E91" s="241">
        <v>40000</v>
      </c>
      <c r="F91" s="241"/>
      <c r="G91" s="241"/>
      <c r="H91" s="241"/>
      <c r="I91" s="241"/>
      <c r="J91" s="241"/>
      <c r="K91" s="241"/>
      <c r="L91" s="241"/>
      <c r="M91" s="241"/>
      <c r="N91" s="241"/>
      <c r="O91" s="241"/>
      <c r="P91" s="241"/>
      <c r="Q91" s="241"/>
      <c r="R91" s="241">
        <f t="shared" si="21"/>
        <v>40000</v>
      </c>
      <c r="S91" s="241">
        <v>40000</v>
      </c>
      <c r="T91" s="241"/>
      <c r="U91" s="237"/>
    </row>
    <row r="92" spans="1:21" s="238" customFormat="1">
      <c r="A92" s="246" t="s">
        <v>534</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534</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289111</v>
      </c>
      <c r="C95" s="240">
        <f t="shared" ref="C95:R95" si="22">SUM(C82:C94)</f>
        <v>289111</v>
      </c>
      <c r="D95" s="240">
        <f t="shared" si="22"/>
        <v>0</v>
      </c>
      <c r="E95" s="240">
        <f t="shared" si="22"/>
        <v>289111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289111</v>
      </c>
      <c r="S95" s="244">
        <f>SUM(S83:S86,S88:S94)</f>
        <v>235000</v>
      </c>
      <c r="T95" s="240">
        <f>SUM(T83:T86,T88:T94)</f>
        <v>0</v>
      </c>
      <c r="U95" s="237"/>
    </row>
    <row r="96" spans="1:21" s="238" customFormat="1">
      <c r="A96" s="243" t="s">
        <v>525</v>
      </c>
      <c r="B96" s="240">
        <f>SUM(C96:D96)</f>
        <v>9851505</v>
      </c>
      <c r="C96" s="240">
        <f t="shared" ref="C96:R96" si="23">SUM(C62+C69+C76+C80+C95)</f>
        <v>9851505</v>
      </c>
      <c r="D96" s="240">
        <f t="shared" si="23"/>
        <v>0</v>
      </c>
      <c r="E96" s="240">
        <f t="shared" si="23"/>
        <v>6899373</v>
      </c>
      <c r="F96" s="240">
        <f t="shared" si="23"/>
        <v>2952132</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9851505</v>
      </c>
      <c r="S96" s="244">
        <f>SUM(+S62+S69+S80+S95)</f>
        <v>6299080</v>
      </c>
      <c r="T96" s="244">
        <f>SUM(T62+T69+T80+T95)</f>
        <v>2024000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1046062</v>
      </c>
      <c r="C98" s="241">
        <v>1046062</v>
      </c>
      <c r="D98" s="241"/>
      <c r="E98" s="241">
        <v>1030020</v>
      </c>
      <c r="F98" s="241"/>
      <c r="G98" s="241">
        <v>16042</v>
      </c>
      <c r="H98" s="241"/>
      <c r="I98" s="241"/>
      <c r="J98" s="241"/>
      <c r="K98" s="241"/>
      <c r="L98" s="241"/>
      <c r="M98" s="241"/>
      <c r="N98" s="241"/>
      <c r="O98" s="241"/>
      <c r="P98" s="241"/>
      <c r="Q98" s="241"/>
      <c r="R98" s="241">
        <f>SUM(E98:Q98)</f>
        <v>1046062</v>
      </c>
      <c r="S98" s="241">
        <v>944862</v>
      </c>
      <c r="T98" s="241">
        <v>101200</v>
      </c>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1046062</v>
      </c>
      <c r="C103" s="240">
        <f t="shared" ref="C103:T103" si="24">SUM(C98:C102)</f>
        <v>1046062</v>
      </c>
      <c r="D103" s="240">
        <f t="shared" si="24"/>
        <v>0</v>
      </c>
      <c r="E103" s="240">
        <f t="shared" si="24"/>
        <v>1030020</v>
      </c>
      <c r="F103" s="240">
        <f t="shared" si="24"/>
        <v>0</v>
      </c>
      <c r="G103" s="240">
        <f t="shared" si="24"/>
        <v>16042</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1046062</v>
      </c>
      <c r="S103" s="244">
        <f t="shared" si="24"/>
        <v>944862</v>
      </c>
      <c r="T103" s="244">
        <f t="shared" si="24"/>
        <v>101200</v>
      </c>
      <c r="U103" s="237"/>
    </row>
    <row r="104" spans="1:21" s="238" customFormat="1">
      <c r="A104" s="243" t="s">
        <v>1157</v>
      </c>
      <c r="B104" s="244">
        <f>SUM(C104:D104)</f>
        <v>10897567</v>
      </c>
      <c r="C104" s="244">
        <f t="shared" ref="C104:R104" si="25">SUM(C96+C103)</f>
        <v>10897567</v>
      </c>
      <c r="D104" s="244">
        <f t="shared" si="25"/>
        <v>0</v>
      </c>
      <c r="E104" s="244">
        <f t="shared" si="25"/>
        <v>7929393</v>
      </c>
      <c r="F104" s="244">
        <f t="shared" si="25"/>
        <v>2952132</v>
      </c>
      <c r="G104" s="244">
        <f t="shared" si="25"/>
        <v>16042</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10897567</v>
      </c>
      <c r="S104" s="244">
        <f>S96+S103</f>
        <v>7243942</v>
      </c>
      <c r="T104" s="244">
        <f>T96+T103</f>
        <v>2125200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7243942</v>
      </c>
      <c r="T106" s="244">
        <f>T104+T105</f>
        <v>2125200</v>
      </c>
      <c r="U106" s="256"/>
    </row>
    <row r="107" spans="1:21" s="258" customFormat="1">
      <c r="A107" s="257" t="s">
        <v>1108</v>
      </c>
      <c r="B107" s="252"/>
      <c r="C107" s="252"/>
      <c r="D107" s="252"/>
      <c r="E107" s="240">
        <f>Application!AO634</f>
        <v>7929393</v>
      </c>
      <c r="F107" s="240">
        <f>Application!AO621</f>
        <v>2952132</v>
      </c>
      <c r="G107" s="240">
        <f>Application!AO622</f>
        <v>16042</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7" t="s">
        <v>1292</v>
      </c>
      <c r="E122" s="1587"/>
      <c r="F122" s="1587"/>
      <c r="U122" s="256"/>
    </row>
    <row r="123" spans="1:21" s="253" customFormat="1">
      <c r="A123" s="253" t="s">
        <v>1293</v>
      </c>
      <c r="B123" s="546"/>
      <c r="D123" s="1589" t="s">
        <v>1317</v>
      </c>
      <c r="E123" s="1053"/>
      <c r="F123" s="1053"/>
      <c r="G123" s="1053"/>
      <c r="H123" s="1053"/>
      <c r="I123" s="1053"/>
      <c r="J123" s="1053"/>
      <c r="K123" s="1053"/>
      <c r="L123" s="1053"/>
      <c r="M123" s="1053"/>
      <c r="N123" s="1053"/>
      <c r="O123" s="1053"/>
      <c r="P123" s="1053"/>
      <c r="Q123" s="1053"/>
      <c r="R123" s="1053"/>
      <c r="S123" s="1053"/>
      <c r="U123" s="256"/>
    </row>
    <row r="124" spans="1:21" s="253" customFormat="1" ht="12.75">
      <c r="A124" s="209" t="s">
        <v>1294</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75">
      <c r="A125" s="209" t="s">
        <v>1295</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75">
      <c r="A129" s="209" t="s">
        <v>500</v>
      </c>
      <c r="B129" s="546"/>
      <c r="C129" s="209"/>
      <c r="D129" s="1586" t="s">
        <v>1299</v>
      </c>
      <c r="E129" s="1586"/>
      <c r="F129" s="1586"/>
      <c r="G129" s="1586"/>
      <c r="H129" s="1586"/>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354"/>
      <c r="E131" s="1354"/>
      <c r="F131" s="1354"/>
      <c r="G131" s="1354"/>
      <c r="H131" s="1354"/>
      <c r="I131" s="209"/>
      <c r="J131" s="1354"/>
      <c r="K131" s="1354"/>
      <c r="L131" s="1354"/>
      <c r="M131" s="1354"/>
      <c r="N131" s="209"/>
      <c r="O131" s="209"/>
      <c r="P131" s="209"/>
      <c r="Q131" s="209"/>
      <c r="R131" s="209"/>
      <c r="S131" s="209"/>
      <c r="U131" s="256"/>
    </row>
    <row r="132" spans="1:21" s="253" customFormat="1" ht="12.75">
      <c r="A132" s="548"/>
      <c r="B132" s="209"/>
      <c r="C132" s="209"/>
      <c r="D132" s="1590" t="s">
        <v>1302</v>
      </c>
      <c r="E132" s="1590"/>
      <c r="F132" s="1590"/>
      <c r="G132" s="1590"/>
      <c r="H132" s="1590"/>
      <c r="I132" s="209"/>
      <c r="J132" s="1590" t="s">
        <v>1303</v>
      </c>
      <c r="K132" s="1590"/>
      <c r="L132" s="1590"/>
      <c r="M132" s="1590"/>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1305</v>
      </c>
      <c r="B139" s="1588"/>
      <c r="C139" s="1588"/>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J77" sqref="AJ7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1" t="s">
        <v>1748</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IF(T25=100%,"",'Sources and Basis Breakdown'!G2)</f>
        <v/>
      </c>
      <c r="Z7" s="1599"/>
      <c r="AA7" s="1599"/>
      <c r="AB7" s="1599"/>
      <c r="AC7" s="1599"/>
      <c r="AD7" s="1599" t="str">
        <f>IF(T25=100%,'Sources and Basis Breakdown'!J2,'Sources and Basis Breakdown'!I2)</f>
        <v>30% PVC for Acquisition
NON-DDA/
NON-QCT Building(s)</v>
      </c>
      <c r="AE7" s="1599"/>
      <c r="AF7" s="1599"/>
      <c r="AG7" s="1599"/>
      <c r="AH7" s="1599"/>
      <c r="AI7" s="1599" t="str">
        <f>IF(T25=100%,"",'Sources and Basis Breakdown'!J2)</f>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4" t="s">
        <v>509</v>
      </c>
      <c r="C11" s="1105"/>
      <c r="D11" s="1105"/>
      <c r="E11" s="1105"/>
      <c r="F11" s="1105"/>
      <c r="G11" s="1105"/>
      <c r="H11" s="1105"/>
      <c r="I11" s="1105"/>
      <c r="J11" s="1105"/>
      <c r="K11" s="1105"/>
      <c r="L11" s="1105"/>
      <c r="M11" s="1105"/>
      <c r="N11" s="1105"/>
      <c r="O11" s="1105"/>
      <c r="P11" s="1105"/>
      <c r="Q11" s="1105"/>
      <c r="R11" s="1105"/>
      <c r="S11" s="1107"/>
      <c r="T11" s="1629">
        <f>IF('Sources and Basis Breakdown'!F105=0,'Sources and Basis Breakdown'!E105,'Sources and Basis Breakdown'!F105)</f>
        <v>7243942</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2125200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5" customHeight="1">
      <c r="B12" s="1623" t="s">
        <v>448</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1714</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5" customHeight="1">
      <c r="B14" s="8"/>
      <c r="C14" s="1626" t="s">
        <v>769</v>
      </c>
      <c r="D14" s="1626"/>
      <c r="E14" s="1626"/>
      <c r="F14" s="1626"/>
      <c r="G14" s="1626"/>
      <c r="H14" s="1626"/>
      <c r="I14" s="1626"/>
      <c r="J14" s="1626"/>
      <c r="K14" s="1626"/>
      <c r="L14" s="1626"/>
      <c r="M14" s="1626"/>
      <c r="N14" s="1626"/>
      <c r="O14" s="1626"/>
      <c r="P14" s="1626"/>
      <c r="Q14" s="1626"/>
      <c r="R14" s="1626"/>
      <c r="S14" s="1627"/>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2.95" customHeight="1">
      <c r="B15" s="8"/>
      <c r="C15" s="1626" t="s">
        <v>770</v>
      </c>
      <c r="D15" s="1626"/>
      <c r="E15" s="1626"/>
      <c r="F15" s="1626"/>
      <c r="G15" s="1626"/>
      <c r="H15" s="1626"/>
      <c r="I15" s="1626"/>
      <c r="J15" s="1626"/>
      <c r="K15" s="1626"/>
      <c r="L15" s="1626"/>
      <c r="M15" s="1626"/>
      <c r="N15" s="1626"/>
      <c r="O15" s="1626"/>
      <c r="P15" s="1626"/>
      <c r="Q15" s="1626"/>
      <c r="R15" s="1626"/>
      <c r="S15" s="1627"/>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2.95" customHeight="1">
      <c r="B16" s="8"/>
      <c r="C16" s="1625" t="s">
        <v>1013</v>
      </c>
      <c r="D16" s="1625"/>
      <c r="E16" s="1625"/>
      <c r="F16" s="1625"/>
      <c r="G16" s="1625"/>
      <c r="H16" s="1625"/>
      <c r="I16" s="1625"/>
      <c r="J16" s="1625"/>
      <c r="K16" s="1625"/>
      <c r="L16" s="1625"/>
      <c r="M16" s="1625"/>
      <c r="N16" s="1625"/>
      <c r="O16" s="1625"/>
      <c r="P16" s="1625"/>
      <c r="Q16" s="1625"/>
      <c r="R16" s="1625"/>
      <c r="S16" s="1628"/>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2.95" customHeight="1">
      <c r="B17" s="8"/>
      <c r="C17" s="1626" t="s">
        <v>771</v>
      </c>
      <c r="D17" s="1626"/>
      <c r="E17" s="1626"/>
      <c r="F17" s="1626"/>
      <c r="G17" s="1626"/>
      <c r="H17" s="1626"/>
      <c r="I17" s="1626"/>
      <c r="J17" s="1626"/>
      <c r="K17" s="1626"/>
      <c r="L17" s="1626"/>
      <c r="M17" s="1626"/>
      <c r="N17" s="1626"/>
      <c r="O17" s="1626"/>
      <c r="P17" s="1626"/>
      <c r="Q17" s="1626"/>
      <c r="R17" s="1626"/>
      <c r="S17" s="1627"/>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2.95" customHeight="1">
      <c r="B18" s="941"/>
      <c r="C18" s="1621" t="s">
        <v>1218</v>
      </c>
      <c r="D18" s="1621"/>
      <c r="E18" s="1621"/>
      <c r="F18" s="1621"/>
      <c r="G18" s="1621"/>
      <c r="H18" s="1621"/>
      <c r="I18" s="1621"/>
      <c r="J18" s="1621"/>
      <c r="K18" s="1621"/>
      <c r="L18" s="1621"/>
      <c r="M18" s="1621"/>
      <c r="N18" s="1621"/>
      <c r="O18" s="1621"/>
      <c r="P18" s="1621"/>
      <c r="Q18" s="1621"/>
      <c r="R18" s="1621"/>
      <c r="S18" s="1622"/>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2.95" customHeight="1">
      <c r="B19" s="484"/>
      <c r="C19" s="1621" t="s">
        <v>1218</v>
      </c>
      <c r="D19" s="1621"/>
      <c r="E19" s="1621"/>
      <c r="F19" s="1621"/>
      <c r="G19" s="1621"/>
      <c r="H19" s="1621"/>
      <c r="I19" s="1621"/>
      <c r="J19" s="1621"/>
      <c r="K19" s="1621"/>
      <c r="L19" s="1621"/>
      <c r="M19" s="1621"/>
      <c r="N19" s="1621"/>
      <c r="O19" s="1621"/>
      <c r="P19" s="1621"/>
      <c r="Q19" s="1621"/>
      <c r="R19" s="1621"/>
      <c r="S19" s="1622"/>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2.95" customHeight="1">
      <c r="B20" s="1104" t="s">
        <v>772</v>
      </c>
      <c r="C20" s="1105"/>
      <c r="D20" s="1105"/>
      <c r="E20" s="1105"/>
      <c r="F20" s="1105"/>
      <c r="G20" s="1105"/>
      <c r="H20" s="1105"/>
      <c r="I20" s="1105"/>
      <c r="J20" s="1105"/>
      <c r="K20" s="1105"/>
      <c r="L20" s="1105"/>
      <c r="M20" s="1105"/>
      <c r="N20" s="1105"/>
      <c r="O20" s="1105"/>
      <c r="P20" s="1105"/>
      <c r="Q20" s="1105"/>
      <c r="R20" s="1105"/>
      <c r="S20" s="1107"/>
      <c r="T20" s="1596">
        <f>SUM(T13:X19)</f>
        <v>0</v>
      </c>
      <c r="U20" s="1297"/>
      <c r="V20" s="1297"/>
      <c r="W20" s="1297"/>
      <c r="X20" s="1297"/>
      <c r="Y20" s="1596">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1713</v>
      </c>
      <c r="C21" s="1105"/>
      <c r="D21" s="1105"/>
      <c r="E21" s="1105"/>
      <c r="F21" s="1105"/>
      <c r="G21" s="1105"/>
      <c r="H21" s="1105"/>
      <c r="I21" s="1105"/>
      <c r="J21" s="1105"/>
      <c r="K21" s="1105"/>
      <c r="L21" s="1105"/>
      <c r="M21" s="1105"/>
      <c r="N21" s="1105"/>
      <c r="O21" s="1105"/>
      <c r="P21" s="1105"/>
      <c r="Q21" s="1105"/>
      <c r="R21" s="1105"/>
      <c r="S21" s="1107"/>
      <c r="T21" s="1168"/>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2.95" customHeight="1">
      <c r="B22" s="1104" t="s">
        <v>773</v>
      </c>
      <c r="C22" s="1105"/>
      <c r="D22" s="1105"/>
      <c r="E22" s="1105"/>
      <c r="F22" s="1105"/>
      <c r="G22" s="1105"/>
      <c r="H22" s="1105"/>
      <c r="I22" s="1105"/>
      <c r="J22" s="1105"/>
      <c r="K22" s="1105"/>
      <c r="L22" s="1105"/>
      <c r="M22" s="1105"/>
      <c r="N22" s="1105"/>
      <c r="O22" s="1105"/>
      <c r="P22" s="1105"/>
      <c r="Q22" s="1105"/>
      <c r="R22" s="1105"/>
      <c r="S22" s="1107"/>
      <c r="T22" s="1630">
        <f>(ABS(T20)+ABS(T21))*-1</f>
        <v>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2.95" customHeight="1">
      <c r="B23" s="1104" t="s">
        <v>1908</v>
      </c>
      <c r="C23" s="1105"/>
      <c r="D23" s="1105"/>
      <c r="E23" s="1105"/>
      <c r="F23" s="1105"/>
      <c r="G23" s="1105"/>
      <c r="H23" s="1105"/>
      <c r="I23" s="1105"/>
      <c r="J23" s="1105"/>
      <c r="K23" s="1105"/>
      <c r="L23" s="1105"/>
      <c r="M23" s="1105"/>
      <c r="N23" s="1105"/>
      <c r="O23" s="1105"/>
      <c r="P23" s="1105"/>
      <c r="Q23" s="1105"/>
      <c r="R23" s="1105"/>
      <c r="S23" s="1107"/>
      <c r="T23" s="1596">
        <f>T11+T22</f>
        <v>7243942</v>
      </c>
      <c r="U23" s="1297"/>
      <c r="V23" s="1297"/>
      <c r="W23" s="1297"/>
      <c r="X23" s="1297"/>
      <c r="Y23" s="1596">
        <f>Y11+Y22</f>
        <v>0</v>
      </c>
      <c r="Z23" s="1297"/>
      <c r="AA23" s="1297"/>
      <c r="AB23" s="1297"/>
      <c r="AC23" s="1297"/>
      <c r="AD23" s="1596">
        <f>IF(AD11=AD21,0,AD11)</f>
        <v>2125200</v>
      </c>
      <c r="AE23" s="1297"/>
      <c r="AF23" s="1297"/>
      <c r="AG23" s="1297"/>
      <c r="AH23" s="1297"/>
      <c r="AI23" s="1596">
        <f>IF(AI11=AI21,0,AI11)</f>
        <v>0</v>
      </c>
      <c r="AJ23" s="1297"/>
      <c r="AK23" s="1297"/>
      <c r="AL23" s="1297"/>
      <c r="AM23" s="1297"/>
    </row>
    <row r="24" spans="1:39" ht="12.95" customHeight="1">
      <c r="B24" s="1104" t="s">
        <v>1219</v>
      </c>
      <c r="C24" s="1105"/>
      <c r="D24" s="1105"/>
      <c r="E24" s="1105"/>
      <c r="F24" s="1105"/>
      <c r="G24" s="1105"/>
      <c r="H24" s="1105"/>
      <c r="I24" s="1105"/>
      <c r="J24" s="1105"/>
      <c r="K24" s="1105"/>
      <c r="L24" s="1105"/>
      <c r="M24" s="1105"/>
      <c r="N24" s="1105"/>
      <c r="O24" s="1105"/>
      <c r="P24" s="1105"/>
      <c r="Q24" s="1105"/>
      <c r="R24" s="1105"/>
      <c r="S24" s="1107"/>
      <c r="T24" s="1597">
        <f>Application!AJ1020</f>
        <v>15611728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1910</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4" t="s">
        <v>775</v>
      </c>
      <c r="C26" s="1105"/>
      <c r="D26" s="1105"/>
      <c r="E26" s="1105"/>
      <c r="F26" s="1105"/>
      <c r="G26" s="1105"/>
      <c r="H26" s="1105"/>
      <c r="I26" s="1105"/>
      <c r="J26" s="1105"/>
      <c r="K26" s="1105"/>
      <c r="L26" s="1105"/>
      <c r="M26" s="1105"/>
      <c r="N26" s="1105"/>
      <c r="O26" s="1105"/>
      <c r="P26" s="1105"/>
      <c r="Q26" s="1105"/>
      <c r="R26" s="1105"/>
      <c r="S26" s="1107"/>
      <c r="T26" s="1095">
        <f>T23*T25</f>
        <v>7243942</v>
      </c>
      <c r="U26" s="1608"/>
      <c r="V26" s="1608"/>
      <c r="W26" s="1608"/>
      <c r="X26" s="1608"/>
      <c r="Y26" s="1095">
        <f>Y23*Y25</f>
        <v>0</v>
      </c>
      <c r="Z26" s="1608"/>
      <c r="AA26" s="1608"/>
      <c r="AB26" s="1608"/>
      <c r="AC26" s="1608"/>
      <c r="AD26" s="1095">
        <f>AD23*AD25</f>
        <v>2125200</v>
      </c>
      <c r="AE26" s="1608"/>
      <c r="AF26" s="1608"/>
      <c r="AG26" s="1608"/>
      <c r="AH26" s="1608"/>
      <c r="AI26" s="1095">
        <f>AI23*AI25</f>
        <v>0</v>
      </c>
      <c r="AJ26" s="1608"/>
      <c r="AK26" s="1608"/>
      <c r="AL26" s="1608"/>
      <c r="AM26" s="1608"/>
    </row>
    <row r="27" spans="1:39" ht="12.95" customHeight="1">
      <c r="A27" s="4"/>
      <c r="B27" s="1640" t="s">
        <v>880</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4" t="s">
        <v>844</v>
      </c>
      <c r="C28" s="1105"/>
      <c r="D28" s="1105"/>
      <c r="E28" s="1105"/>
      <c r="F28" s="1105"/>
      <c r="G28" s="1105"/>
      <c r="H28" s="1105"/>
      <c r="I28" s="1105"/>
      <c r="J28" s="1105"/>
      <c r="K28" s="1105"/>
      <c r="L28" s="1105"/>
      <c r="M28" s="1105"/>
      <c r="N28" s="1105"/>
      <c r="O28" s="1105"/>
      <c r="P28" s="1105"/>
      <c r="Q28" s="1105"/>
      <c r="R28" s="1105"/>
      <c r="S28" s="1107"/>
      <c r="T28" s="1095">
        <f>IF(ISERROR((T26*T27)),0,(T26*T27))</f>
        <v>7243942</v>
      </c>
      <c r="U28" s="1608"/>
      <c r="V28" s="1608"/>
      <c r="W28" s="1608"/>
      <c r="X28" s="1608"/>
      <c r="Y28" s="1095">
        <f>IF(ISERROR((Y26*Y27)),0,(Y26*Y27))</f>
        <v>0</v>
      </c>
      <c r="Z28" s="1608"/>
      <c r="AA28" s="1608"/>
      <c r="AB28" s="1608"/>
      <c r="AC28" s="1608"/>
      <c r="AD28" s="1095">
        <f>IF(ISERROR((AD26*AD27)),0,(AD26*AD27))</f>
        <v>2125200</v>
      </c>
      <c r="AE28" s="1608"/>
      <c r="AF28" s="1608"/>
      <c r="AG28" s="1608"/>
      <c r="AH28" s="1608"/>
      <c r="AI28" s="1095">
        <f>IF(ISERROR((AI26*AI27)),0,(AI26*AI27))</f>
        <v>0</v>
      </c>
      <c r="AJ28" s="1608"/>
      <c r="AK28" s="1608"/>
      <c r="AL28" s="1608"/>
      <c r="AM28" s="1608"/>
    </row>
    <row r="29" spans="1:39" ht="12.95" customHeight="1">
      <c r="B29" s="1104" t="s">
        <v>624</v>
      </c>
      <c r="C29" s="1105"/>
      <c r="D29" s="1105"/>
      <c r="E29" s="1105"/>
      <c r="F29" s="1105"/>
      <c r="G29" s="1105"/>
      <c r="H29" s="1105"/>
      <c r="I29" s="1105"/>
      <c r="J29" s="1105"/>
      <c r="K29" s="1105"/>
      <c r="L29" s="1105"/>
      <c r="M29" s="1105"/>
      <c r="N29" s="1105"/>
      <c r="O29" s="1105"/>
      <c r="P29" s="1105"/>
      <c r="Q29" s="1105"/>
      <c r="R29" s="1105"/>
      <c r="S29" s="1107"/>
      <c r="T29" s="1597">
        <f>T28+Y28+AD28+AI28</f>
        <v>9369142</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0" t="s">
        <v>1909</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2.95" customHeight="1">
      <c r="B31" s="1592" t="s">
        <v>1911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1606</v>
      </c>
      <c r="Z35" s="1599"/>
      <c r="AA35" s="1599"/>
      <c r="AB35" s="1599"/>
      <c r="AC35" s="1599"/>
      <c r="AD35" s="1228" t="s">
        <v>41</v>
      </c>
      <c r="AE35" s="1228"/>
      <c r="AF35" s="1228"/>
      <c r="AG35" s="1228"/>
      <c r="AH35" s="1228"/>
    </row>
    <row r="36" spans="1:44" ht="12.95" customHeight="1">
      <c r="B36" s="204"/>
      <c r="X36" s="71"/>
      <c r="Y36" s="1599"/>
      <c r="Z36" s="1599"/>
      <c r="AA36" s="1599"/>
      <c r="AB36" s="1599"/>
      <c r="AC36" s="1599"/>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4" ht="12.95" customHeight="1">
      <c r="A38" s="3"/>
      <c r="B38" s="1104" t="s">
        <v>844</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7243942</v>
      </c>
      <c r="Z38" s="1297"/>
      <c r="AA38" s="1297"/>
      <c r="AB38" s="1297"/>
      <c r="AC38" s="1297"/>
      <c r="AD38" s="1297">
        <f>IF(T24&gt;=(T23+Y23+AD23+AI23),AD28+AI28,0)</f>
        <v>2125200</v>
      </c>
      <c r="AE38" s="1297"/>
      <c r="AF38" s="1297"/>
      <c r="AG38" s="1297"/>
      <c r="AH38" s="1297"/>
    </row>
    <row r="39" spans="1:44" ht="12.95" customHeight="1">
      <c r="B39" s="1104" t="s">
        <v>1818</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5">
        <v>0.09</v>
      </c>
      <c r="Z39" s="1595"/>
      <c r="AA39" s="1595"/>
      <c r="AB39" s="1595"/>
      <c r="AC39" s="1595"/>
      <c r="AD39" s="1595">
        <v>0.04</v>
      </c>
      <c r="AE39" s="1595"/>
      <c r="AF39" s="1595"/>
      <c r="AG39" s="1595"/>
      <c r="AH39" s="1595"/>
    </row>
    <row r="40" spans="1:44"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651955</v>
      </c>
      <c r="Z40" s="1297"/>
      <c r="AA40" s="1297"/>
      <c r="AB40" s="1297"/>
      <c r="AC40" s="1297"/>
      <c r="AD40" s="1596">
        <f>ROUND(AD38*AD39,0)</f>
        <v>85008</v>
      </c>
      <c r="AE40" s="1297"/>
      <c r="AF40" s="1297"/>
      <c r="AG40" s="1297"/>
      <c r="AH40" s="1297"/>
    </row>
    <row r="41" spans="1:44" ht="12.95" customHeight="1">
      <c r="B41" s="1104" t="s">
        <v>618</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7">
        <f>IF(Application!Y211="No",'Basis &amp; Credits'!AR42,AR43)</f>
        <v>736963</v>
      </c>
      <c r="Z41" s="1598"/>
      <c r="AA41" s="1598"/>
      <c r="AB41" s="1598"/>
      <c r="AC41" s="1598"/>
      <c r="AD41" s="1598"/>
      <c r="AE41" s="1598"/>
      <c r="AF41" s="1598"/>
      <c r="AG41" s="1598"/>
      <c r="AH41" s="1596"/>
    </row>
    <row r="42" spans="1:44" ht="12.95" customHeight="1">
      <c r="A42" s="3"/>
      <c r="B42" s="1607" t="s">
        <v>1819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736963</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736963</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9">
        <f>'Sources and Uses Budget'!B104-(MAX(IF('Sources and Uses Budget'!B15="",0,'Sources and Uses Budget'!B15),IF(Application!AG387="",0,Application!AG387)))</f>
        <v>10897567</v>
      </c>
      <c r="AC46" s="1230"/>
      <c r="AD46" s="1230"/>
      <c r="AE46" s="1230"/>
      <c r="AF46" s="1231"/>
    </row>
    <row r="47" spans="1:44" ht="12.95" customHeight="1">
      <c r="D47" s="3" t="s">
        <v>838</v>
      </c>
      <c r="AB47" s="1229">
        <f>Application!AO633-MAX(IF('Sources and Uses Budget'!B15="",0,'Sources and Uses Budget'!B15),IF(Application!AG387="",0,Application!AG387))</f>
        <v>2968174</v>
      </c>
      <c r="AC47" s="1230"/>
      <c r="AD47" s="1230"/>
      <c r="AE47" s="1230"/>
      <c r="AF47" s="1231"/>
    </row>
    <row r="48" spans="1:44" ht="12.95" customHeight="1">
      <c r="D48" s="3" t="s">
        <v>379</v>
      </c>
      <c r="AB48" s="1229">
        <f>AB46-AB47</f>
        <v>7929393</v>
      </c>
      <c r="AC48" s="1230"/>
      <c r="AD48" s="1230"/>
      <c r="AE48" s="1230"/>
      <c r="AF48" s="1231"/>
    </row>
    <row r="49" spans="1:40" ht="12.95" customHeight="1">
      <c r="D49" s="3" t="s">
        <v>873</v>
      </c>
      <c r="AA49" s="34"/>
      <c r="AB49" s="1602">
        <v>0.83</v>
      </c>
      <c r="AC49" s="1603"/>
      <c r="AD49" s="1603"/>
      <c r="AE49" s="1603"/>
      <c r="AF49" s="1604"/>
    </row>
    <row r="50" spans="1:40" s="323" customFormat="1" ht="12.95" customHeight="1">
      <c r="A50"/>
      <c r="B50"/>
      <c r="C50"/>
      <c r="D50"/>
      <c r="E50" s="1609" t="s">
        <v>1955</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9553486</v>
      </c>
      <c r="AC53" s="1230"/>
      <c r="AD53" s="1230"/>
      <c r="AE53" s="1230"/>
      <c r="AF53" s="1231"/>
    </row>
    <row r="54" spans="1:40" ht="12.95" customHeight="1">
      <c r="D54" s="3" t="s">
        <v>562</v>
      </c>
      <c r="AB54" s="1229">
        <f>(AB53/10)</f>
        <v>955348.6</v>
      </c>
      <c r="AC54" s="1230"/>
      <c r="AD54" s="1230"/>
      <c r="AE54" s="1230"/>
      <c r="AF54" s="1231"/>
    </row>
    <row r="55" spans="1:40" ht="12.95" customHeight="1">
      <c r="D55" s="3" t="s">
        <v>342</v>
      </c>
      <c r="AB55" s="1229">
        <f>(IF((Y41&lt;AB54),Y41,AB54))</f>
        <v>736963</v>
      </c>
      <c r="AC55" s="1230"/>
      <c r="AD55" s="1230"/>
      <c r="AE55" s="1230"/>
      <c r="AF55" s="1231"/>
    </row>
    <row r="56" spans="1:40" ht="12.95" customHeight="1">
      <c r="D56" s="3" t="s">
        <v>107</v>
      </c>
      <c r="AB56" s="1229">
        <f>ROUND((10*AB55*AB49),0)</f>
        <v>6116793</v>
      </c>
      <c r="AC56" s="1230"/>
      <c r="AD56" s="1230"/>
      <c r="AE56" s="1230"/>
      <c r="AF56" s="1231"/>
    </row>
    <row r="57" spans="1:40" ht="12.95" customHeight="1">
      <c r="D57" s="3"/>
      <c r="AB57" s="276"/>
      <c r="AC57" s="276"/>
      <c r="AD57" s="276"/>
      <c r="AE57" s="276"/>
      <c r="AF57" s="276"/>
    </row>
    <row r="58" spans="1:40" ht="12.95" customHeight="1">
      <c r="D58" s="3" t="s">
        <v>106</v>
      </c>
      <c r="AB58" s="1301">
        <f>AB48-AB56</f>
        <v>1812600</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1752</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6" t="s">
        <v>298</v>
      </c>
      <c r="Z62" s="1546"/>
      <c r="AA62" s="1546"/>
      <c r="AB62" s="1546"/>
      <c r="AC62" s="1546"/>
      <c r="AD62" s="1546" t="s">
        <v>41</v>
      </c>
      <c r="AE62" s="1546"/>
      <c r="AF62" s="1546"/>
      <c r="AG62" s="1546"/>
      <c r="AH62" s="1546"/>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7243942</v>
      </c>
      <c r="Z63" s="1605"/>
      <c r="AA63" s="1605"/>
      <c r="AB63" s="1605"/>
      <c r="AC63" s="1605"/>
      <c r="AD63" s="1297">
        <f>IF(AND(T25=1.3,Application!D214="At-Risk"),AI28,IF(Application!D214&lt;&gt;"At-Risk",0,AD28))</f>
        <v>2125200</v>
      </c>
      <c r="AE63" s="1605"/>
      <c r="AF63" s="1605"/>
      <c r="AG63" s="1605"/>
      <c r="AH63" s="1605"/>
    </row>
    <row r="64" spans="1:40" ht="12.95" customHeight="1">
      <c r="C64" s="3"/>
      <c r="E64" s="1594" t="s">
        <v>1290</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942</v>
      </c>
      <c r="Y67" s="1297">
        <f>ROUND(Y63*Y66,0)</f>
        <v>2173183</v>
      </c>
      <c r="Z67" s="1605"/>
      <c r="AA67" s="1605"/>
      <c r="AB67" s="1605"/>
      <c r="AC67" s="1605"/>
      <c r="AD67" s="1297">
        <f>IF(OR(Application!D211="At-Risk",Application!D211="At-Risk/Located in Rural Census Tract",Application!D214="At-Risk"),ROUND(AD63*AD66,0),"$0")</f>
        <v>276276</v>
      </c>
      <c r="AE67" s="1297"/>
      <c r="AF67" s="1297"/>
      <c r="AG67" s="1297"/>
      <c r="AH67" s="1297"/>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02">
        <v>0.74</v>
      </c>
      <c r="AC70" s="1603"/>
      <c r="AD70" s="1603"/>
      <c r="AE70" s="1603"/>
      <c r="AF70" s="1604"/>
    </row>
    <row r="71" spans="1:34" ht="12.95" customHeight="1">
      <c r="A71" s="3"/>
      <c r="C71" s="3"/>
      <c r="D71" s="3"/>
      <c r="E71" s="1606" t="s">
        <v>2253</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2449459</v>
      </c>
      <c r="AC75" s="1278"/>
      <c r="AD75" s="1278"/>
      <c r="AE75" s="1278"/>
      <c r="AF75" s="1278"/>
    </row>
    <row r="76" spans="1:34" ht="12.95" customHeight="1">
      <c r="C76" s="3"/>
      <c r="D76" s="3" t="s">
        <v>105</v>
      </c>
      <c r="AB76" s="1178">
        <f>IF((Y67+AD67&lt;AB75),Y67+AD67,AB75)</f>
        <v>2449459</v>
      </c>
      <c r="AC76" s="1179"/>
      <c r="AD76" s="1179"/>
      <c r="AE76" s="1179"/>
      <c r="AF76" s="1180"/>
    </row>
    <row r="77" spans="1:34" ht="12.95" customHeight="1">
      <c r="C77" s="3"/>
      <c r="D77" s="3" t="s">
        <v>943</v>
      </c>
      <c r="AB77" s="1600">
        <f>AB76*AB70</f>
        <v>1812599.66</v>
      </c>
      <c r="AC77" s="1600"/>
      <c r="AD77" s="1600"/>
      <c r="AE77" s="1600"/>
      <c r="AF77" s="1600"/>
    </row>
    <row r="78" spans="1:34" ht="12.95" customHeight="1">
      <c r="C78" s="3"/>
      <c r="D78" s="3"/>
      <c r="AB78" s="598"/>
      <c r="AC78" s="598"/>
      <c r="AD78" s="598"/>
      <c r="AE78" s="598"/>
      <c r="AF78" s="598"/>
    </row>
    <row r="79" spans="1:34" ht="12.95" customHeight="1">
      <c r="D79" s="3" t="s">
        <v>106</v>
      </c>
      <c r="AB79" s="1301">
        <f>AB48-(AB56+AB77)</f>
        <v>0.33999999985098839</v>
      </c>
      <c r="AC79" s="1301"/>
      <c r="AD79" s="1301"/>
      <c r="AE79" s="1301"/>
      <c r="AF79" s="1301"/>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3" t="s">
        <v>1826</v>
      </c>
      <c r="B1" s="1644"/>
      <c r="C1" s="1644"/>
      <c r="D1" s="1644"/>
      <c r="E1" s="1644"/>
      <c r="F1" s="1644"/>
      <c r="G1" s="1644"/>
      <c r="H1" s="1644"/>
      <c r="I1" s="1644"/>
      <c r="J1" s="1645"/>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176000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176000</v>
      </c>
      <c r="C8" s="584">
        <f>SUM(C4:C7)</f>
        <v>0</v>
      </c>
      <c r="D8" s="584">
        <f>SUM(D4:D7)</f>
        <v>0</v>
      </c>
      <c r="E8" s="586"/>
      <c r="F8" s="586"/>
      <c r="G8" s="586"/>
      <c r="H8" s="586"/>
      <c r="I8" s="586"/>
      <c r="J8" s="586"/>
      <c r="K8" s="579"/>
    </row>
    <row r="9" spans="1:11" s="253" customFormat="1">
      <c r="A9" s="239" t="s">
        <v>1722</v>
      </c>
      <c r="B9" s="584">
        <f>'Sources and Uses Budget'!C9</f>
        <v>2024000</v>
      </c>
      <c r="C9" s="585"/>
      <c r="D9" s="585"/>
      <c r="E9" s="586"/>
      <c r="F9" s="586"/>
      <c r="G9" s="586"/>
      <c r="H9" s="584">
        <f>'Sources and Uses Budget'!T9</f>
        <v>2024000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2024000</v>
      </c>
      <c r="C11" s="584">
        <f>SUM(C9:C10)</f>
        <v>0</v>
      </c>
      <c r="D11" s="584">
        <f>SUM(D9:D10)</f>
        <v>0</v>
      </c>
      <c r="E11" s="586"/>
      <c r="F11" s="586"/>
      <c r="G11" s="586"/>
      <c r="H11" s="584">
        <f>'Sources and Uses Budget'!T11</f>
        <v>2024000</v>
      </c>
      <c r="I11" s="584">
        <f>SUM(I9:I10)</f>
        <v>0</v>
      </c>
      <c r="J11" s="584">
        <f>SUM(J9:J10)</f>
        <v>0</v>
      </c>
      <c r="K11" s="579"/>
    </row>
    <row r="12" spans="1:11" s="253" customFormat="1">
      <c r="A12" s="243" t="s">
        <v>712</v>
      </c>
      <c r="B12" s="584">
        <f>'Sources and Uses Budget'!C12</f>
        <v>2200000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3520000</v>
      </c>
      <c r="C18" s="585"/>
      <c r="D18" s="585"/>
      <c r="E18" s="584">
        <f>'Sources and Uses Budget'!S18</f>
        <v>3520000</v>
      </c>
      <c r="F18" s="585"/>
      <c r="G18" s="585"/>
      <c r="H18" s="584">
        <f>'Sources and Uses Budget'!T18</f>
        <v>0</v>
      </c>
      <c r="I18" s="585"/>
      <c r="J18" s="585"/>
      <c r="K18" s="579"/>
    </row>
    <row r="19" spans="1:11" s="253" customFormat="1">
      <c r="A19" s="239" t="s">
        <v>913</v>
      </c>
      <c r="B19" s="584">
        <f>'Sources and Uses Budget'!C19</f>
        <v>70400</v>
      </c>
      <c r="C19" s="585"/>
      <c r="D19" s="585"/>
      <c r="E19" s="584">
        <f>'Sources and Uses Budget'!S19</f>
        <v>70400</v>
      </c>
      <c r="F19" s="585"/>
      <c r="G19" s="585"/>
      <c r="H19" s="584">
        <f>'Sources and Uses Budget'!T19</f>
        <v>0</v>
      </c>
      <c r="I19" s="585"/>
      <c r="J19" s="585"/>
      <c r="K19" s="579"/>
    </row>
    <row r="20" spans="1:11" s="253" customFormat="1">
      <c r="A20" s="239" t="s">
        <v>914</v>
      </c>
      <c r="B20" s="584">
        <f>'Sources and Uses Budget'!C20</f>
        <v>70400</v>
      </c>
      <c r="C20" s="585"/>
      <c r="D20" s="585"/>
      <c r="E20" s="584">
        <f>'Sources and Uses Budget'!S20</f>
        <v>70400</v>
      </c>
      <c r="F20" s="585"/>
      <c r="G20" s="585"/>
      <c r="H20" s="584">
        <f>'Sources and Uses Budget'!T20</f>
        <v>0</v>
      </c>
      <c r="I20" s="585"/>
      <c r="J20" s="585"/>
      <c r="K20" s="579"/>
    </row>
    <row r="21" spans="1:11" s="253" customFormat="1">
      <c r="A21" s="239" t="s">
        <v>915</v>
      </c>
      <c r="B21" s="584">
        <f>'Sources and Uses Budget'!C21</f>
        <v>352000</v>
      </c>
      <c r="C21" s="585"/>
      <c r="D21" s="585"/>
      <c r="E21" s="584">
        <f>'Sources and Uses Budget'!S21</f>
        <v>352000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250000</v>
      </c>
      <c r="C23" s="585"/>
      <c r="D23" s="585"/>
      <c r="E23" s="584">
        <f>'Sources and Uses Budget'!S23</f>
        <v>250000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4262800</v>
      </c>
      <c r="C25" s="584">
        <f>SUM(C17:C24)</f>
        <v>0</v>
      </c>
      <c r="D25" s="584">
        <f>SUM(D17:D24)</f>
        <v>0</v>
      </c>
      <c r="E25" s="584">
        <f>'Sources and Uses Budget'!S26</f>
        <v>4262800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600000</v>
      </c>
      <c r="C26" s="585"/>
      <c r="D26" s="585"/>
      <c r="E26" s="584">
        <f>'Sources and Uses Budget'!S27</f>
        <v>600000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912</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913</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914</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915</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90000</v>
      </c>
      <c r="C39" s="585"/>
      <c r="D39" s="585"/>
      <c r="E39" s="584">
        <f>'Sources and Uses Budget'!S40</f>
        <v>90000</v>
      </c>
      <c r="F39" s="585"/>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90000</v>
      </c>
      <c r="C41" s="584">
        <f>SUM(C38:C40)</f>
        <v>0</v>
      </c>
      <c r="D41" s="584">
        <f>SUM(D38:D40)</f>
        <v>0</v>
      </c>
      <c r="E41" s="584">
        <f>'Sources and Uses Budget'!S42</f>
        <v>90000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70000</v>
      </c>
      <c r="C42" s="585"/>
      <c r="D42" s="585"/>
      <c r="E42" s="584">
        <f>'Sources and Uses Budget'!S43</f>
        <v>70000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450000</v>
      </c>
      <c r="C44" s="585"/>
      <c r="D44" s="585"/>
      <c r="E44" s="584">
        <f>'Sources and Uses Budget'!S45</f>
        <v>90000</v>
      </c>
      <c r="F44" s="585"/>
      <c r="G44" s="585"/>
      <c r="H44" s="584">
        <f>'Sources and Uses Budget'!T45</f>
        <v>0</v>
      </c>
      <c r="I44" s="585"/>
      <c r="J44" s="585"/>
      <c r="K44" s="579"/>
    </row>
    <row r="45" spans="1:11" s="253" customFormat="1">
      <c r="A45" s="239" t="s">
        <v>928</v>
      </c>
      <c r="B45" s="584">
        <f>'Sources and Uses Budget'!C46</f>
        <v>55000</v>
      </c>
      <c r="C45" s="585"/>
      <c r="D45" s="585"/>
      <c r="E45" s="584">
        <f>'Sources and Uses Budget'!S46</f>
        <v>55000</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75000</v>
      </c>
      <c r="C47" s="585"/>
      <c r="D47" s="585"/>
      <c r="E47" s="584">
        <f>'Sources and Uses Budget'!S48</f>
        <v>75000</v>
      </c>
      <c r="F47" s="585"/>
      <c r="G47" s="585"/>
      <c r="H47" s="584">
        <f>'Sources and Uses Budget'!T48</f>
        <v>0</v>
      </c>
      <c r="I47" s="585"/>
      <c r="J47" s="585"/>
      <c r="K47" s="579"/>
    </row>
    <row r="48" spans="1:11" s="253" customFormat="1">
      <c r="A48" s="239" t="s">
        <v>933</v>
      </c>
      <c r="B48" s="584">
        <f>'Sources and Uses Budget'!C49</f>
        <v>40000</v>
      </c>
      <c r="C48" s="585"/>
      <c r="D48" s="585"/>
      <c r="E48" s="584">
        <f>'Sources and Uses Budget'!S49</f>
        <v>40000</v>
      </c>
      <c r="F48" s="585"/>
      <c r="G48" s="585"/>
      <c r="H48" s="584">
        <f>'Sources and Uses Budget'!T49</f>
        <v>0</v>
      </c>
      <c r="I48" s="585"/>
      <c r="J48" s="585"/>
      <c r="K48" s="579"/>
    </row>
    <row r="49" spans="1:11" s="253" customFormat="1">
      <c r="A49" s="239" t="s">
        <v>931</v>
      </c>
      <c r="B49" s="584">
        <f>'Sources and Uses Budget'!C50</f>
        <v>5000</v>
      </c>
      <c r="C49" s="585"/>
      <c r="D49" s="585"/>
      <c r="E49" s="584">
        <f>'Sources and Uses Budget'!S50</f>
        <v>5000</v>
      </c>
      <c r="F49" s="585"/>
      <c r="G49" s="585"/>
      <c r="H49" s="584">
        <f>'Sources and Uses Budget'!T50</f>
        <v>0</v>
      </c>
      <c r="I49" s="585"/>
      <c r="J49" s="585"/>
      <c r="K49" s="579"/>
    </row>
    <row r="50" spans="1:11" s="253" customFormat="1">
      <c r="A50" s="239" t="s">
        <v>932</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Inspections and Closing Costs</v>
      </c>
      <c r="B51" s="584">
        <f>'Sources and Uses Budget'!C52</f>
        <v>35000</v>
      </c>
      <c r="C51" s="585"/>
      <c r="D51" s="585"/>
      <c r="E51" s="584">
        <f>'Sources and Uses Budget'!S52</f>
        <v>35000</v>
      </c>
      <c r="F51" s="585"/>
      <c r="G51" s="585"/>
      <c r="H51" s="584">
        <f>'Sources and Uses Budget'!T52</f>
        <v>0</v>
      </c>
      <c r="I51" s="585"/>
      <c r="J51" s="585"/>
      <c r="K51" s="579"/>
    </row>
    <row r="52" spans="1:11" s="577" customFormat="1">
      <c r="A52" s="243" t="s">
        <v>934</v>
      </c>
      <c r="B52" s="584">
        <f>'Sources and Uses Budget'!C53</f>
        <v>660000</v>
      </c>
      <c r="C52" s="587">
        <f>SUM(C44:C51)</f>
        <v>0</v>
      </c>
      <c r="D52" s="587">
        <f>SUM(D44:D51)</f>
        <v>0</v>
      </c>
      <c r="E52" s="584">
        <f>'Sources and Uses Budget'!S53</f>
        <v>300000</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Conversion Costs &amp; Expenses</v>
      </c>
      <c r="B59" s="584">
        <f>'Sources and Uses Budget'!C60</f>
        <v>45000</v>
      </c>
      <c r="C59" s="585"/>
      <c r="D59" s="585"/>
      <c r="E59" s="586"/>
      <c r="F59" s="586"/>
      <c r="G59" s="586"/>
      <c r="H59" s="586"/>
      <c r="I59" s="586"/>
      <c r="J59" s="586"/>
      <c r="K59" s="579"/>
    </row>
    <row r="60" spans="1:11" s="253" customFormat="1" ht="13.9" customHeight="1">
      <c r="A60" s="243" t="s">
        <v>501</v>
      </c>
      <c r="B60" s="584">
        <f>'Sources and Uses Budget'!C61</f>
        <v>45000</v>
      </c>
      <c r="C60" s="584">
        <f>SUM(C54:C59)</f>
        <v>0</v>
      </c>
      <c r="D60" s="584">
        <f>SUM(D54:D59)</f>
        <v>0</v>
      </c>
      <c r="E60" s="586"/>
      <c r="F60" s="586"/>
      <c r="G60" s="586"/>
      <c r="H60" s="586"/>
      <c r="I60" s="586"/>
      <c r="J60" s="586"/>
      <c r="K60" s="579"/>
    </row>
    <row r="61" spans="1:11" s="253" customFormat="1">
      <c r="A61" s="249" t="s">
        <v>502</v>
      </c>
      <c r="B61" s="584">
        <f>'Sources and Uses Budget'!C62</f>
        <v>7927800</v>
      </c>
      <c r="C61" s="584">
        <f>SUM(C8+C11+C13+C14+C15+C25+C26+C37+C41+C42+C52+C60)</f>
        <v>0</v>
      </c>
      <c r="D61" s="584">
        <f>SUM(D8+D11+D13+D14+D15+D25+D26+D37+D41+D42+D52+D60)</f>
        <v>0</v>
      </c>
      <c r="E61" s="584">
        <f>'Sources and Uses Budget'!S62</f>
        <v>5322800</v>
      </c>
      <c r="F61" s="584">
        <f>SUM(F10+F13+F14+F15+F25+F26+F37+F41+F42+F52)</f>
        <v>0</v>
      </c>
      <c r="G61" s="584">
        <f>SUM(G10+G13+G14+G15+G25+G26+G37+G41+G42+G52)</f>
        <v>0</v>
      </c>
      <c r="H61" s="584">
        <f>'Sources and Uses Budget'!T62</f>
        <v>2024000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4">
      <c r="A64" s="239" t="s">
        <v>1958</v>
      </c>
      <c r="B64" s="584">
        <f>'Sources and Uses Budget'!C65</f>
        <v>60000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Borrower's Counsel</v>
      </c>
      <c r="B67" s="584">
        <f>'Sources and Uses Budget'!C68</f>
        <v>300000</v>
      </c>
      <c r="C67" s="585"/>
      <c r="D67" s="585"/>
      <c r="E67" s="584">
        <f>'Sources and Uses Budget'!S68</f>
        <v>180000</v>
      </c>
      <c r="F67" s="585"/>
      <c r="G67" s="585"/>
      <c r="H67" s="584">
        <f>'Sources and Uses Budget'!T68</f>
        <v>0</v>
      </c>
      <c r="I67" s="585"/>
      <c r="J67" s="585"/>
      <c r="K67" s="579"/>
    </row>
    <row r="68" spans="1:11" s="253" customFormat="1">
      <c r="A68" s="243" t="s">
        <v>1961</v>
      </c>
      <c r="B68" s="584">
        <f>'Sources and Uses Budget'!C69</f>
        <v>420000</v>
      </c>
      <c r="C68" s="584">
        <f>SUM(C62:C67)</f>
        <v>0</v>
      </c>
      <c r="D68" s="584">
        <f>SUM(D62:D67)</f>
        <v>0</v>
      </c>
      <c r="E68" s="584">
        <f>'Sources and Uses Budget'!S69</f>
        <v>240000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200000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113314</v>
      </c>
      <c r="C73" s="585"/>
      <c r="D73" s="585"/>
      <c r="E73" s="586"/>
      <c r="F73" s="586"/>
      <c r="G73" s="586"/>
      <c r="H73" s="586"/>
      <c r="I73" s="586"/>
      <c r="J73" s="586"/>
      <c r="K73" s="579"/>
    </row>
    <row r="74" spans="1:11" s="253" customFormat="1">
      <c r="A74" s="239" t="str">
        <f>'Sources and Uses Budget'!$A75</f>
        <v>Required RD/Investor Reserves</v>
      </c>
      <c r="B74" s="584">
        <f>'Sources and Uses Budget'!C75</f>
        <v>400000</v>
      </c>
      <c r="C74" s="585"/>
      <c r="D74" s="585"/>
      <c r="E74" s="586"/>
      <c r="F74" s="586"/>
      <c r="G74" s="586"/>
      <c r="H74" s="586"/>
      <c r="I74" s="586"/>
      <c r="J74" s="586"/>
      <c r="K74" s="579"/>
    </row>
    <row r="75" spans="1:11" s="253" customFormat="1">
      <c r="A75" s="243" t="s">
        <v>289</v>
      </c>
      <c r="B75" s="584">
        <f>'Sources and Uses Budget'!C76</f>
        <v>713314</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401280</v>
      </c>
      <c r="C77" s="585"/>
      <c r="D77" s="585"/>
      <c r="E77" s="584">
        <f>'Sources and Uses Budget'!S78</f>
        <v>401280</v>
      </c>
      <c r="F77" s="585"/>
      <c r="G77" s="585"/>
      <c r="H77" s="584">
        <f>'Sources and Uses Budget'!T78</f>
        <v>0</v>
      </c>
      <c r="I77" s="585"/>
      <c r="J77" s="585"/>
      <c r="K77" s="579"/>
    </row>
    <row r="78" spans="1:11" s="253" customFormat="1">
      <c r="A78" s="239" t="s">
        <v>539</v>
      </c>
      <c r="B78" s="584">
        <f>'Sources and Uses Budget'!C79</f>
        <v>100000</v>
      </c>
      <c r="C78" s="585"/>
      <c r="D78" s="585"/>
      <c r="E78" s="584">
        <f>'Sources and Uses Budget'!S79</f>
        <v>100000</v>
      </c>
      <c r="F78" s="585"/>
      <c r="G78" s="585"/>
      <c r="H78" s="584">
        <f>'Sources and Uses Budget'!T79</f>
        <v>0</v>
      </c>
      <c r="I78" s="585"/>
      <c r="J78" s="585"/>
      <c r="K78" s="579"/>
    </row>
    <row r="79" spans="1:11" s="253" customFormat="1">
      <c r="A79" s="243" t="s">
        <v>1744</v>
      </c>
      <c r="B79" s="584">
        <f>'Sources and Uses Budget'!C80</f>
        <v>501280</v>
      </c>
      <c r="C79" s="667">
        <f>SUM(C77:C78)</f>
        <v>0</v>
      </c>
      <c r="D79" s="667">
        <f>SUM(D77:D78)</f>
        <v>0</v>
      </c>
      <c r="E79" s="584">
        <f>'Sources and Uses Budget'!S80</f>
        <v>501280</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49609</v>
      </c>
      <c r="C81" s="585"/>
      <c r="D81" s="585"/>
      <c r="E81" s="586"/>
      <c r="F81" s="586"/>
      <c r="G81" s="586"/>
      <c r="H81" s="586"/>
      <c r="I81" s="586"/>
      <c r="J81" s="586"/>
      <c r="K81" s="579"/>
    </row>
    <row r="82" spans="1:11" s="253" customFormat="1">
      <c r="A82" s="239" t="s">
        <v>517</v>
      </c>
      <c r="B82" s="584">
        <f>'Sources and Uses Budget'!C83</f>
        <v>20000</v>
      </c>
      <c r="C82" s="585"/>
      <c r="D82" s="585"/>
      <c r="E82" s="584">
        <f>'Sources and Uses Budget'!S83</f>
        <v>20000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25000</v>
      </c>
      <c r="C84" s="585"/>
      <c r="D84" s="585"/>
      <c r="E84" s="584">
        <f>'Sources and Uses Budget'!S85</f>
        <v>25000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4502</v>
      </c>
      <c r="C86" s="585"/>
      <c r="D86" s="585"/>
      <c r="E86" s="586"/>
      <c r="F86" s="586"/>
      <c r="G86" s="586"/>
      <c r="H86" s="586"/>
      <c r="I86" s="586"/>
      <c r="J86" s="586"/>
      <c r="K86" s="579"/>
    </row>
    <row r="87" spans="1:11" s="253" customFormat="1">
      <c r="A87" s="239" t="s">
        <v>522</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523</v>
      </c>
      <c r="B88" s="584">
        <f>'Sources and Uses Budget'!C89</f>
        <v>40000</v>
      </c>
      <c r="C88" s="585"/>
      <c r="D88" s="585"/>
      <c r="E88" s="584">
        <f>'Sources and Uses Budget'!S89</f>
        <v>40000</v>
      </c>
      <c r="F88" s="585"/>
      <c r="G88" s="585"/>
      <c r="H88" s="584">
        <f>'Sources and Uses Budget'!T89</f>
        <v>0</v>
      </c>
      <c r="I88" s="585"/>
      <c r="J88" s="585"/>
      <c r="K88" s="579"/>
    </row>
    <row r="89" spans="1:11" s="253" customFormat="1">
      <c r="A89" s="239" t="s">
        <v>1316</v>
      </c>
      <c r="B89" s="584">
        <f>'Sources and Uses Budget'!C90</f>
        <v>60000</v>
      </c>
      <c r="C89" s="585"/>
      <c r="D89" s="585"/>
      <c r="E89" s="584">
        <f>'Sources and Uses Budget'!S90</f>
        <v>60000</v>
      </c>
      <c r="F89" s="585"/>
      <c r="G89" s="585"/>
      <c r="H89" s="584">
        <f>'Sources and Uses Budget'!T90</f>
        <v>0</v>
      </c>
      <c r="I89" s="585"/>
      <c r="J89" s="585"/>
      <c r="K89" s="579"/>
    </row>
    <row r="90" spans="1:11" s="253" customFormat="1">
      <c r="A90" s="239" t="s">
        <v>1742</v>
      </c>
      <c r="B90" s="584">
        <f>'Sources and Uses Budget'!C91</f>
        <v>40000</v>
      </c>
      <c r="C90" s="585"/>
      <c r="D90" s="585"/>
      <c r="E90" s="584">
        <f>'Sources and Uses Budget'!S91</f>
        <v>40000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289111</v>
      </c>
      <c r="C94" s="584">
        <f>SUM(C81:C93)</f>
        <v>0</v>
      </c>
      <c r="D94" s="584">
        <f>SUM(D81:D93)</f>
        <v>0</v>
      </c>
      <c r="E94" s="584">
        <f>'Sources and Uses Budget'!S95</f>
        <v>235000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9851505</v>
      </c>
      <c r="C95" s="584">
        <f>SUM(C61+C68+C75+C79+C94)</f>
        <v>0</v>
      </c>
      <c r="D95" s="584">
        <f>SUM(D61+D68+D75+D79+D94)</f>
        <v>0</v>
      </c>
      <c r="E95" s="584">
        <f>'Sources and Uses Budget'!S96</f>
        <v>6299080</v>
      </c>
      <c r="F95" s="587">
        <f>SUM(+F61+F68+F79+F94)</f>
        <v>0</v>
      </c>
      <c r="G95" s="587">
        <f>SUM(+G61+G68+G79+G94)</f>
        <v>0</v>
      </c>
      <c r="H95" s="584">
        <f>'Sources and Uses Budget'!T96</f>
        <v>2024000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1046062</v>
      </c>
      <c r="C97" s="585"/>
      <c r="D97" s="585"/>
      <c r="E97" s="584">
        <f>'Sources and Uses Budget'!S98</f>
        <v>944862</v>
      </c>
      <c r="F97" s="585"/>
      <c r="G97" s="585"/>
      <c r="H97" s="584">
        <f>'Sources and Uses Budget'!T98</f>
        <v>101200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1046062</v>
      </c>
      <c r="C102" s="584">
        <f>SUM(C97:C101)</f>
        <v>0</v>
      </c>
      <c r="D102" s="584">
        <f>SUM(D97:D101)</f>
        <v>0</v>
      </c>
      <c r="E102" s="584">
        <f>'Sources and Uses Budget'!S103</f>
        <v>944862</v>
      </c>
      <c r="F102" s="587">
        <f>SUM(F97:F101)</f>
        <v>0</v>
      </c>
      <c r="G102" s="587">
        <f>SUM(G97:G101)</f>
        <v>0</v>
      </c>
      <c r="H102" s="584">
        <f>'Sources and Uses Budget'!T103</f>
        <v>101200</v>
      </c>
      <c r="I102" s="587">
        <f>SUM(I97:I101)</f>
        <v>0</v>
      </c>
      <c r="J102" s="587">
        <f>SUM(J97:J101)</f>
        <v>0</v>
      </c>
      <c r="K102" s="579"/>
    </row>
    <row r="103" spans="1:11" s="253" customFormat="1">
      <c r="A103" s="243" t="s">
        <v>1358</v>
      </c>
      <c r="B103" s="584">
        <f>'Sources and Uses Budget'!C104</f>
        <v>10897567</v>
      </c>
      <c r="C103" s="587">
        <f>SUM(C95+C102)</f>
        <v>0</v>
      </c>
      <c r="D103" s="587">
        <f>SUM(D95+D102)</f>
        <v>0</v>
      </c>
      <c r="E103" s="584">
        <f>'Sources and Uses Budget'!S104</f>
        <v>7243942</v>
      </c>
      <c r="F103" s="587">
        <f>F95+F102</f>
        <v>0</v>
      </c>
      <c r="G103" s="587">
        <f>G95+G102</f>
        <v>0</v>
      </c>
      <c r="H103" s="584">
        <f>'Sources and Uses Budget'!T104</f>
        <v>2125200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7243942</v>
      </c>
      <c r="F105" s="587">
        <f>F103+F104</f>
        <v>0</v>
      </c>
      <c r="G105" s="587">
        <f>G103+G104</f>
        <v>0</v>
      </c>
      <c r="H105" s="584">
        <f>'Sources and Uses Budget'!T106</f>
        <v>2125200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0" workbookViewId="0">
      <selection activeCell="AA322" sqref="AA32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2" t="s">
        <v>847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4" t="s">
        <v>365</v>
      </c>
      <c r="AF4" s="1684"/>
      <c r="AG4" s="1684"/>
      <c r="AH4" s="1684"/>
      <c r="AI4" s="1684"/>
      <c r="AJ4" s="1684"/>
      <c r="AK4" s="1684"/>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92" t="s">
        <v>855</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2319</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797" t="s">
        <v>1244</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797" t="s">
        <v>1120</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2211</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797" t="s">
        <v>2398</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97" t="s">
        <v>1248</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1120</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1471</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2204</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4" t="s">
        <v>365</v>
      </c>
      <c r="AF64" s="1684"/>
      <c r="AG64" s="1684"/>
      <c r="AH64" s="1684"/>
      <c r="AI64" s="1684"/>
      <c r="AJ64" s="1684"/>
      <c r="AK64" s="1684"/>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97" t="s">
        <v>565</v>
      </c>
      <c r="C66" s="1797"/>
      <c r="D66" s="1797"/>
      <c r="E66" s="1797"/>
      <c r="F66" s="1797"/>
      <c r="G66" s="1797"/>
      <c r="H66" s="1797"/>
      <c r="I66" s="1797"/>
      <c r="J66" s="1797"/>
      <c r="K66" s="1797"/>
      <c r="AF66" s="1692" t="s">
        <v>939</v>
      </c>
      <c r="AG66" s="1692"/>
      <c r="AH66" s="1692"/>
      <c r="AI66" s="1692"/>
      <c r="AJ66" s="1692"/>
      <c r="AK66" s="1692"/>
      <c r="AL66" s="1692"/>
      <c r="AN66" s="281"/>
      <c r="AP66" s="4" t="s">
        <v>124</v>
      </c>
      <c r="AS66" s="4" t="s">
        <v>666</v>
      </c>
      <c r="AT66" s="4">
        <v>10</v>
      </c>
    </row>
    <row r="67" spans="1:46" s="4" customFormat="1" ht="12.75" customHeight="1">
      <c r="B67" s="1798" t="s">
        <v>1320</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0">
        <f>VLOOKUP($B$66,$AS$64:$AU$69,2,FALSE)</f>
        <v>10</v>
      </c>
      <c r="AL68" s="1071"/>
      <c r="AM68" s="1071"/>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978</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2119</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92" t="s">
        <v>855</v>
      </c>
      <c r="AG90" s="1692"/>
      <c r="AH90" s="1692"/>
      <c r="AI90" s="1692"/>
      <c r="AJ90" s="1692"/>
      <c r="AK90" s="1692"/>
      <c r="AL90" s="1692"/>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732</v>
      </c>
      <c r="I112" s="1683"/>
      <c r="J112" s="116"/>
      <c r="K112" s="116"/>
      <c r="L112" s="116"/>
      <c r="M112" s="937" t="s">
        <v>2103</v>
      </c>
      <c r="R112" s="1801" t="s">
        <v>2105</v>
      </c>
      <c r="S112" s="1801"/>
      <c r="T112" s="1801"/>
      <c r="U112" s="1801"/>
      <c r="V112" s="1801"/>
      <c r="W112" s="1801"/>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2"/>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2"/>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3" t="s">
        <v>2252</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1472</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5" t="s">
        <v>124</v>
      </c>
      <c r="C120" s="1115"/>
      <c r="D120" s="49"/>
      <c r="E120" s="1646" t="s">
        <v>1771</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799" t="s">
        <v>1840</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582</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582</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0">
        <f>VLOOKUP(H149,AO140:AP142,2,FALSE)</f>
        <v>3</v>
      </c>
      <c r="AK151" s="1073"/>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6" t="s">
        <v>747</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1" t="s">
        <v>59</v>
      </c>
      <c r="AG156" s="1111"/>
      <c r="AH156" s="1111"/>
      <c r="AI156" s="1111"/>
      <c r="AJ156" s="1111"/>
      <c r="AK156" s="1111"/>
      <c r="AL156" s="1111"/>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1715</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1" t="s">
        <v>60</v>
      </c>
      <c r="AG160" s="1111"/>
      <c r="AH160" s="1111"/>
      <c r="AI160" s="1111"/>
      <c r="AJ160" s="1111"/>
      <c r="AK160" s="1111"/>
      <c r="AL160" s="1111"/>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6" t="s">
        <v>1716</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1" t="s">
        <v>61</v>
      </c>
      <c r="AG164" s="1111"/>
      <c r="AH164" s="1111"/>
      <c r="AI164" s="1111"/>
      <c r="AJ164" s="1111"/>
      <c r="AK164" s="1111"/>
      <c r="AL164" s="1111"/>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1"/>
      <c r="AF165" s="1111"/>
      <c r="AG165" s="1111"/>
      <c r="AH165" s="1111"/>
      <c r="AI165" s="1111"/>
      <c r="AJ165" s="1111"/>
      <c r="AK165" s="1111"/>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6" t="s">
        <v>1717</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1" t="s">
        <v>60</v>
      </c>
      <c r="AG168" s="1111"/>
      <c r="AH168" s="1111"/>
      <c r="AI168" s="1111"/>
      <c r="AJ168" s="1111"/>
      <c r="AK168" s="1111"/>
      <c r="AL168" s="1111"/>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46" t="s">
        <v>1718</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1" t="s">
        <v>61</v>
      </c>
      <c r="AG172" s="1111"/>
      <c r="AH172" s="1111"/>
      <c r="AI172" s="1111"/>
      <c r="AJ172" s="1111"/>
      <c r="AK172" s="1111"/>
      <c r="AL172" s="1111"/>
      <c r="AM172" s="20"/>
      <c r="AN172" s="281"/>
      <c r="AO172" s="26" t="s">
        <v>891</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1474</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1" t="s">
        <v>103</v>
      </c>
      <c r="AG176" s="1111"/>
      <c r="AH176" s="1111"/>
      <c r="AI176" s="1111"/>
      <c r="AJ176" s="1111"/>
      <c r="AK176" s="1111"/>
      <c r="AL176" s="1111"/>
      <c r="AM176" s="20"/>
      <c r="AN176" s="281"/>
      <c r="AO176" s="26" t="s">
        <v>281</v>
      </c>
      <c r="AP176" s="4">
        <v>1</v>
      </c>
    </row>
    <row r="177" spans="1:61" s="4" customFormat="1" ht="22.9"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1475</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1" t="s">
        <v>319</v>
      </c>
      <c r="AG179" s="1111"/>
      <c r="AH179" s="1111"/>
      <c r="AI179" s="1111"/>
      <c r="AJ179" s="1111"/>
      <c r="AK179" s="1111"/>
      <c r="AL179" s="1111"/>
      <c r="AM179" s="20"/>
      <c r="AN179" s="281"/>
    </row>
    <row r="180" spans="1:61" s="4" customFormat="1" ht="22.9"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582</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0">
        <f>VLOOKUP($H$182,$AO$169:$AP$176,2,FALSE)</f>
        <v>5</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1" t="s">
        <v>2317</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7" t="s">
        <v>61</v>
      </c>
      <c r="AG188" s="1137"/>
      <c r="AH188" s="1137"/>
      <c r="AI188" s="1137"/>
      <c r="AJ188" s="1137"/>
      <c r="AK188" s="1137"/>
      <c r="AL188" s="1137"/>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2238</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1" t="s">
        <v>61</v>
      </c>
      <c r="AG191" s="1111"/>
      <c r="AH191" s="1111"/>
      <c r="AI191" s="1111"/>
      <c r="AJ191" s="1111"/>
      <c r="AK191" s="1111"/>
      <c r="AL191" s="1111"/>
      <c r="AN191" s="281"/>
      <c r="AO191" s="26" t="s">
        <v>582</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1"/>
      <c r="AG192" s="1111"/>
      <c r="AH192" s="1111"/>
      <c r="AI192" s="1111"/>
      <c r="AJ192" s="1111"/>
      <c r="AK192" s="1111"/>
      <c r="AL192" s="1111"/>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891</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6" t="s">
        <v>2239</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1" t="s">
        <v>103</v>
      </c>
      <c r="AG196" s="1111"/>
      <c r="AH196" s="1111"/>
      <c r="AI196" s="1111"/>
      <c r="AJ196" s="1111"/>
      <c r="AK196" s="1111"/>
      <c r="AL196" s="1111"/>
      <c r="AN196" s="281"/>
      <c r="AY196" s="4" t="s">
        <v>2240</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1"/>
      <c r="AG197" s="1111"/>
      <c r="AH197" s="1111"/>
      <c r="AI197" s="1111"/>
      <c r="AJ197" s="1111"/>
      <c r="AK197" s="1111"/>
      <c r="AL197" s="1111"/>
      <c r="AN197" s="281"/>
      <c r="AO197" s="127" t="b">
        <f>IF(OR(Application!D214="Special Needs",Application!D211="At-Risk and Special Needs"),IF(Application!E217="Large Family",IF(BA203&gt;=0.25,TRUE,FALSE),IF(AZ203&gt;=0.25,TRUE,FALSE)))</f>
        <v>0</v>
      </c>
      <c r="AY197" s="4" t="s">
        <v>2241</v>
      </c>
      <c r="AZ197" s="959">
        <f>Application!G730</f>
        <v>43</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2243</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2297</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0">
        <f>VLOOKUP($H$204,$AO$190:$AP$193,2,FALSE)</f>
        <v>0</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4" t="s">
        <v>1255</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61</v>
      </c>
      <c r="AG210" s="1692"/>
      <c r="AH210" s="1692"/>
      <c r="AI210" s="1692"/>
      <c r="AJ210" s="1692"/>
      <c r="AK210" s="1692"/>
      <c r="AL210" s="1692"/>
      <c r="AM210" s="4"/>
      <c r="AN210" s="204"/>
      <c r="AO210" s="4" t="s">
        <v>124</v>
      </c>
      <c r="AP210" s="472">
        <v>0</v>
      </c>
    </row>
    <row r="211" spans="1:52" customFormat="1" ht="11.8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582</v>
      </c>
      <c r="AP211" s="4">
        <v>3</v>
      </c>
    </row>
    <row r="212" spans="1:52" customFormat="1" ht="13.9"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3.9" customHeight="1">
      <c r="A213" s="4"/>
      <c r="B213" s="5"/>
      <c r="C213" s="45"/>
      <c r="D213" s="26" t="s">
        <v>197</v>
      </c>
      <c r="E213" s="1691" t="s">
        <v>1256</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3" t="s">
        <v>582</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0">
        <f>VLOOKUP($H$216,$AO$210:$AP$212,2,FALSE)</f>
        <v>3</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6" t="s">
        <v>1491</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883</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6" t="s">
        <v>1124</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6" t="s">
        <v>1125</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582</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0">
        <f>VLOOKUP($H$242,$AO$225:$AP$227,2,FALSE)</f>
        <v>3</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6" t="s">
        <v>318</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6" t="s">
        <v>1257</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319</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582</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46" t="s">
        <v>1953</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1954</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46" t="s">
        <v>2213</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1634</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23</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2462</v>
      </c>
      <c r="I287" s="1057"/>
      <c r="J287" s="1057"/>
      <c r="K287" s="1057"/>
      <c r="L287" s="1057"/>
      <c r="M287" s="1057"/>
      <c r="N287" s="1057"/>
      <c r="O287" s="1057"/>
      <c r="P287" s="1057"/>
      <c r="Q287" s="1057"/>
      <c r="R287" s="1057"/>
      <c r="S287"/>
      <c r="T287" s="41" t="s">
        <v>89</v>
      </c>
      <c r="U287"/>
      <c r="V287" s="41"/>
      <c r="W287" s="41"/>
      <c r="X287" s="41"/>
      <c r="Y287" s="41"/>
      <c r="Z287"/>
      <c r="AA287" s="1057" t="s">
        <v>2467</v>
      </c>
      <c r="AB287" s="1057"/>
      <c r="AC287" s="1057"/>
      <c r="AD287" s="1057"/>
      <c r="AE287" s="1057"/>
      <c r="AF287" s="1057"/>
      <c r="AG287" s="1057"/>
      <c r="AH287" s="1057"/>
      <c r="AI287" s="1057"/>
      <c r="AJ287" s="1057"/>
      <c r="AK287" s="1057"/>
      <c r="AL287" s="10"/>
      <c r="AN287" s="281"/>
      <c r="AP287" t="s">
        <v>91</v>
      </c>
    </row>
    <row r="288" spans="1:82" s="4" customFormat="1" ht="12.75" customHeight="1">
      <c r="B288" s="41" t="s">
        <v>700</v>
      </c>
      <c r="C288" s="41"/>
      <c r="D288" s="41"/>
      <c r="E288" s="41"/>
      <c r="F288" s="41"/>
      <c r="G288"/>
      <c r="H288" s="1055" t="s">
        <v>2326</v>
      </c>
      <c r="I288" s="1055"/>
      <c r="J288" s="1055"/>
      <c r="K288" s="1055"/>
      <c r="L288" s="1055"/>
      <c r="M288" s="1055"/>
      <c r="N288" s="1055"/>
      <c r="O288" s="1055"/>
      <c r="P288" s="1055"/>
      <c r="Q288" s="1055"/>
      <c r="R288" s="1055"/>
      <c r="S288"/>
      <c r="T288" s="41" t="s">
        <v>700</v>
      </c>
      <c r="U288"/>
      <c r="V288" s="41"/>
      <c r="W288" s="41"/>
      <c r="X288" s="41"/>
      <c r="Y288" s="41"/>
      <c r="Z288"/>
      <c r="AA288" s="1055" t="s">
        <v>2468</v>
      </c>
      <c r="AB288" s="1055"/>
      <c r="AC288" s="1055"/>
      <c r="AD288" s="1055"/>
      <c r="AE288" s="1055"/>
      <c r="AF288" s="1055"/>
      <c r="AG288" s="1055"/>
      <c r="AH288" s="1055"/>
      <c r="AI288" s="1055"/>
      <c r="AJ288" s="1055"/>
      <c r="AK288" s="1055"/>
      <c r="AL288" s="10"/>
      <c r="AN288" s="281"/>
      <c r="AP288" t="s">
        <v>92</v>
      </c>
    </row>
    <row r="289" spans="1:42" s="4" customFormat="1" ht="12.75" customHeight="1">
      <c r="B289" s="41" t="s">
        <v>99</v>
      </c>
      <c r="C289" s="41"/>
      <c r="D289" s="41"/>
      <c r="E289" s="41"/>
      <c r="F289" s="41"/>
      <c r="G289"/>
      <c r="H289" s="1055" t="s">
        <v>2463</v>
      </c>
      <c r="I289" s="1055"/>
      <c r="J289" s="1055"/>
      <c r="K289" s="1055"/>
      <c r="L289" s="1055"/>
      <c r="M289" s="1055"/>
      <c r="N289" s="1055"/>
      <c r="O289" s="1055"/>
      <c r="P289" s="1055"/>
      <c r="Q289" s="1055"/>
      <c r="R289" s="1055"/>
      <c r="S289"/>
      <c r="T289" s="41" t="s">
        <v>99</v>
      </c>
      <c r="U289"/>
      <c r="V289" s="41"/>
      <c r="W289" s="41"/>
      <c r="X289" s="41"/>
      <c r="Y289" s="41"/>
      <c r="Z289"/>
      <c r="AA289" s="1055" t="s">
        <v>2463</v>
      </c>
      <c r="AB289" s="1055"/>
      <c r="AC289" s="1055"/>
      <c r="AD289" s="1055"/>
      <c r="AE289" s="1055"/>
      <c r="AF289" s="1055"/>
      <c r="AG289" s="1055"/>
      <c r="AH289" s="1055"/>
      <c r="AI289" s="1055"/>
      <c r="AJ289" s="1055"/>
      <c r="AK289" s="1055"/>
      <c r="AL289" s="10"/>
      <c r="AN289" s="281"/>
      <c r="AO289" s="211"/>
      <c r="AP289" t="s">
        <v>93</v>
      </c>
    </row>
    <row r="290" spans="1:42" s="4" customFormat="1" ht="12.75" customHeight="1">
      <c r="B290" s="41" t="s">
        <v>375</v>
      </c>
      <c r="C290" s="41"/>
      <c r="D290" s="41"/>
      <c r="E290" s="41"/>
      <c r="F290" s="41"/>
      <c r="G290"/>
      <c r="H290" s="1055" t="s">
        <v>2464</v>
      </c>
      <c r="I290" s="1055"/>
      <c r="J290" s="1055"/>
      <c r="K290" s="1055"/>
      <c r="L290" s="1055"/>
      <c r="M290" s="1055"/>
      <c r="N290" s="1055"/>
      <c r="O290" s="1055"/>
      <c r="P290" s="1055"/>
      <c r="Q290" s="1055"/>
      <c r="R290" s="1055"/>
      <c r="S290"/>
      <c r="T290" s="41" t="s">
        <v>375</v>
      </c>
      <c r="U290"/>
      <c r="V290" s="41"/>
      <c r="W290" s="41"/>
      <c r="X290" s="41"/>
      <c r="Y290" s="41"/>
      <c r="Z290"/>
      <c r="AA290" s="1055" t="s">
        <v>2469</v>
      </c>
      <c r="AB290" s="1055"/>
      <c r="AC290" s="1055"/>
      <c r="AD290" s="1055"/>
      <c r="AE290" s="1055"/>
      <c r="AF290" s="1055"/>
      <c r="AG290" s="1055"/>
      <c r="AH290" s="1055"/>
      <c r="AI290" s="1055"/>
      <c r="AJ290" s="1055"/>
      <c r="AK290" s="1055"/>
      <c r="AL290" s="10"/>
      <c r="AN290" s="281"/>
      <c r="AO290" s="211"/>
      <c r="AP290" t="s">
        <v>348</v>
      </c>
    </row>
    <row r="291" spans="1:42" s="4" customFormat="1" ht="12.75" customHeight="1">
      <c r="B291" s="41" t="s">
        <v>376</v>
      </c>
      <c r="C291" s="41"/>
      <c r="D291" s="41"/>
      <c r="E291" s="41"/>
      <c r="F291" s="41"/>
      <c r="G291" s="41"/>
      <c r="H291" s="1149" t="s">
        <v>2327</v>
      </c>
      <c r="I291" s="1058"/>
      <c r="J291" s="1058"/>
      <c r="K291" s="1058"/>
      <c r="L291" s="1058"/>
      <c r="M291" s="1058"/>
      <c r="N291" s="5" t="s">
        <v>819</v>
      </c>
      <c r="O291" s="5"/>
      <c r="P291" s="1054">
        <v>2701</v>
      </c>
      <c r="Q291" s="1054"/>
      <c r="R291" s="1054"/>
      <c r="S291" s="41"/>
      <c r="T291" s="41" t="s">
        <v>376</v>
      </c>
      <c r="U291"/>
      <c r="V291" s="41"/>
      <c r="W291" s="41"/>
      <c r="X291" s="41"/>
      <c r="Y291" s="41"/>
      <c r="Z291"/>
      <c r="AA291" s="1149" t="s">
        <v>2470</v>
      </c>
      <c r="AB291" s="1058"/>
      <c r="AC291" s="1058"/>
      <c r="AD291" s="1058"/>
      <c r="AE291" s="1058"/>
      <c r="AF291" s="1058"/>
      <c r="AG291" s="5" t="s">
        <v>819</v>
      </c>
      <c r="AH291" s="5"/>
      <c r="AI291" s="1054"/>
      <c r="AJ291" s="1054"/>
      <c r="AK291" s="1054"/>
      <c r="AL291" s="10"/>
      <c r="AN291" s="281"/>
      <c r="AO291" s="211"/>
      <c r="AP291" t="s">
        <v>100</v>
      </c>
    </row>
    <row r="292" spans="1:42" s="4" customFormat="1" ht="12.75" customHeight="1">
      <c r="B292" s="41" t="s">
        <v>88</v>
      </c>
      <c r="C292" s="41"/>
      <c r="D292" s="41"/>
      <c r="E292" s="41"/>
      <c r="F292" s="41"/>
      <c r="G292" s="41"/>
      <c r="H292" s="1055" t="s">
        <v>91</v>
      </c>
      <c r="I292" s="1055"/>
      <c r="J292" s="1055"/>
      <c r="K292" s="1055"/>
      <c r="L292" s="1055"/>
      <c r="M292" s="1055"/>
      <c r="N292" s="1055"/>
      <c r="O292" s="1055"/>
      <c r="P292" s="1055"/>
      <c r="Q292" s="1055"/>
      <c r="R292" s="1055"/>
      <c r="S292" s="41"/>
      <c r="T292" s="41" t="s">
        <v>88</v>
      </c>
      <c r="U292"/>
      <c r="V292" s="41"/>
      <c r="W292" s="41"/>
      <c r="X292" s="41"/>
      <c r="Y292" s="41"/>
      <c r="Z292"/>
      <c r="AA292" s="1055" t="s">
        <v>92</v>
      </c>
      <c r="AB292" s="1055"/>
      <c r="AC292" s="1055"/>
      <c r="AD292" s="1055"/>
      <c r="AE292" s="1055"/>
      <c r="AF292" s="1055"/>
      <c r="AG292" s="1055"/>
      <c r="AH292" s="1055"/>
      <c r="AI292" s="1055"/>
      <c r="AJ292" s="1055"/>
      <c r="AK292" s="1055"/>
      <c r="AL292" s="10"/>
      <c r="AN292" s="281"/>
      <c r="AO292" s="211"/>
      <c r="AP292" t="s">
        <v>97</v>
      </c>
    </row>
    <row r="293" spans="1:42" s="4" customFormat="1" ht="12.75" customHeight="1">
      <c r="B293" s="41" t="s">
        <v>90</v>
      </c>
      <c r="C293" s="41"/>
      <c r="D293" s="41"/>
      <c r="E293" s="41"/>
      <c r="F293" s="41"/>
      <c r="G293" s="41"/>
      <c r="H293" s="1055" t="s">
        <v>2465</v>
      </c>
      <c r="I293" s="1055"/>
      <c r="J293" s="1055"/>
      <c r="K293" s="1055"/>
      <c r="L293" s="1055"/>
      <c r="M293" s="1055"/>
      <c r="N293" s="1055"/>
      <c r="O293" s="1055"/>
      <c r="P293" s="1055"/>
      <c r="Q293" s="1055"/>
      <c r="R293" s="1055"/>
      <c r="S293" s="41"/>
      <c r="T293" s="41" t="s">
        <v>90</v>
      </c>
      <c r="U293"/>
      <c r="V293" s="41"/>
      <c r="W293" s="41"/>
      <c r="X293" s="41"/>
      <c r="Y293" s="41"/>
      <c r="Z293"/>
      <c r="AA293" s="1055" t="s">
        <v>2465</v>
      </c>
      <c r="AB293" s="1055"/>
      <c r="AC293" s="1055"/>
      <c r="AD293" s="1055"/>
      <c r="AE293" s="1055"/>
      <c r="AF293" s="1055"/>
      <c r="AG293" s="1055"/>
      <c r="AH293" s="1055"/>
      <c r="AI293" s="1055"/>
      <c r="AJ293" s="1055"/>
      <c r="AK293" s="1055"/>
      <c r="AL293" s="10"/>
      <c r="AN293" s="281"/>
      <c r="AP293" t="s">
        <v>98</v>
      </c>
    </row>
    <row r="294" spans="1:42" s="4" customFormat="1" ht="12.75" customHeight="1">
      <c r="B294" s="41" t="s">
        <v>101</v>
      </c>
      <c r="C294" s="41"/>
      <c r="D294" s="41"/>
      <c r="E294" s="41"/>
      <c r="F294" s="41"/>
      <c r="G294" s="41"/>
      <c r="H294" s="1859" t="s">
        <v>2466</v>
      </c>
      <c r="I294" s="1859"/>
      <c r="J294" s="1859"/>
      <c r="K294" s="1859"/>
      <c r="L294" s="1859"/>
      <c r="M294" s="1859"/>
      <c r="N294" s="1859"/>
      <c r="O294" s="1859"/>
      <c r="P294" s="1859"/>
      <c r="Q294" s="1859"/>
      <c r="R294" s="1859"/>
      <c r="S294" s="41"/>
      <c r="T294" s="41" t="s">
        <v>101</v>
      </c>
      <c r="U294" s="41"/>
      <c r="V294" s="41"/>
      <c r="W294" s="41"/>
      <c r="X294" s="41"/>
      <c r="Y294" s="41"/>
      <c r="Z294" s="12"/>
      <c r="AA294" s="1859" t="s">
        <v>2477</v>
      </c>
      <c r="AB294" s="1859"/>
      <c r="AC294" s="1859"/>
      <c r="AD294" s="1859"/>
      <c r="AE294" s="1859"/>
      <c r="AF294" s="1859"/>
      <c r="AG294" s="1859"/>
      <c r="AH294" s="1859"/>
      <c r="AI294" s="1859"/>
      <c r="AJ294" s="1859"/>
      <c r="AK294" s="185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7" t="s">
        <v>2471</v>
      </c>
      <c r="I296" s="1057"/>
      <c r="J296" s="1057"/>
      <c r="K296" s="1057"/>
      <c r="L296" s="1057"/>
      <c r="M296" s="1057"/>
      <c r="N296" s="1057"/>
      <c r="O296" s="1057"/>
      <c r="P296" s="1057"/>
      <c r="Q296" s="1057"/>
      <c r="R296" s="1057"/>
      <c r="S296"/>
      <c r="T296" s="41" t="s">
        <v>89</v>
      </c>
      <c r="U296"/>
      <c r="V296" s="41"/>
      <c r="W296" s="41"/>
      <c r="X296" s="41"/>
      <c r="Y296" s="41"/>
      <c r="Z296"/>
      <c r="AA296" s="1057" t="s">
        <v>2478</v>
      </c>
      <c r="AB296" s="1057"/>
      <c r="AC296" s="1057"/>
      <c r="AD296" s="1057"/>
      <c r="AE296" s="1057"/>
      <c r="AF296" s="1057"/>
      <c r="AG296" s="1057"/>
      <c r="AH296" s="1057"/>
      <c r="AI296" s="1057"/>
      <c r="AJ296" s="1057"/>
      <c r="AK296" s="1057"/>
      <c r="AL296" s="10"/>
      <c r="AN296" s="281"/>
      <c r="AP296" s="48" t="s">
        <v>349</v>
      </c>
    </row>
    <row r="297" spans="1:42" s="20" customFormat="1" ht="12.75" customHeight="1">
      <c r="A297" s="4"/>
      <c r="B297" s="41" t="s">
        <v>700</v>
      </c>
      <c r="C297" s="41"/>
      <c r="D297" s="41"/>
      <c r="E297" s="41"/>
      <c r="F297" s="41"/>
      <c r="G297"/>
      <c r="H297" s="1055" t="s">
        <v>2472</v>
      </c>
      <c r="I297" s="1055"/>
      <c r="J297" s="1055"/>
      <c r="K297" s="1055"/>
      <c r="L297" s="1055"/>
      <c r="M297" s="1055"/>
      <c r="N297" s="1055"/>
      <c r="O297" s="1055"/>
      <c r="P297" s="1055"/>
      <c r="Q297" s="1055"/>
      <c r="R297" s="1055"/>
      <c r="S297"/>
      <c r="T297" s="41" t="s">
        <v>700</v>
      </c>
      <c r="U297"/>
      <c r="V297" s="41"/>
      <c r="W297" s="41"/>
      <c r="X297" s="41"/>
      <c r="Y297" s="41"/>
      <c r="Z297"/>
      <c r="AA297" s="1055" t="s">
        <v>2479</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99</v>
      </c>
      <c r="C298" s="41"/>
      <c r="D298" s="41"/>
      <c r="E298" s="41"/>
      <c r="F298" s="41"/>
      <c r="G298"/>
      <c r="H298" s="1055" t="s">
        <v>2463</v>
      </c>
      <c r="I298" s="1055"/>
      <c r="J298" s="1055"/>
      <c r="K298" s="1055"/>
      <c r="L298" s="1055"/>
      <c r="M298" s="1055"/>
      <c r="N298" s="1055"/>
      <c r="O298" s="1055"/>
      <c r="P298" s="1055"/>
      <c r="Q298" s="1055"/>
      <c r="R298" s="1055"/>
      <c r="S298"/>
      <c r="T298" s="41" t="s">
        <v>99</v>
      </c>
      <c r="U298"/>
      <c r="V298" s="41"/>
      <c r="W298" s="41"/>
      <c r="X298" s="41"/>
      <c r="Y298" s="41"/>
      <c r="Z298"/>
      <c r="AA298" s="1055" t="s">
        <v>2463</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375</v>
      </c>
      <c r="C299" s="41"/>
      <c r="D299" s="41"/>
      <c r="E299" s="41"/>
      <c r="F299" s="41"/>
      <c r="G299"/>
      <c r="H299" s="1055" t="s">
        <v>2473</v>
      </c>
      <c r="I299" s="1055"/>
      <c r="J299" s="1055"/>
      <c r="K299" s="1055"/>
      <c r="L299" s="1055"/>
      <c r="M299" s="1055"/>
      <c r="N299" s="1055"/>
      <c r="O299" s="1055"/>
      <c r="P299" s="1055"/>
      <c r="Q299" s="1055"/>
      <c r="R299" s="1055"/>
      <c r="S299"/>
      <c r="T299" s="41" t="s">
        <v>375</v>
      </c>
      <c r="U299"/>
      <c r="V299" s="41"/>
      <c r="W299" s="41"/>
      <c r="X299" s="41"/>
      <c r="Y299" s="41"/>
      <c r="Z299"/>
      <c r="AA299" s="1055" t="s">
        <v>2480</v>
      </c>
      <c r="AB299" s="1055"/>
      <c r="AC299" s="1055"/>
      <c r="AD299" s="1055"/>
      <c r="AE299" s="1055"/>
      <c r="AF299" s="1055"/>
      <c r="AG299" s="1055"/>
      <c r="AH299" s="1055"/>
      <c r="AI299" s="1055"/>
      <c r="AJ299" s="1055"/>
      <c r="AK299" s="1055"/>
      <c r="AL299" s="10"/>
      <c r="AN299" s="281"/>
    </row>
    <row r="300" spans="1:42" s="4" customFormat="1" ht="12.75" customHeight="1">
      <c r="B300" s="41" t="s">
        <v>376</v>
      </c>
      <c r="C300" s="41"/>
      <c r="D300" s="41"/>
      <c r="E300" s="41"/>
      <c r="F300" s="41"/>
      <c r="G300" s="41"/>
      <c r="H300" s="1149" t="s">
        <v>2474</v>
      </c>
      <c r="I300" s="1058"/>
      <c r="J300" s="1058"/>
      <c r="K300" s="1058"/>
      <c r="L300" s="1058"/>
      <c r="M300" s="1058"/>
      <c r="N300" s="5" t="s">
        <v>819</v>
      </c>
      <c r="O300" s="5"/>
      <c r="P300" s="1054"/>
      <c r="Q300" s="1054"/>
      <c r="R300" s="1054"/>
      <c r="S300" s="41"/>
      <c r="T300" s="41" t="s">
        <v>376</v>
      </c>
      <c r="U300"/>
      <c r="V300" s="41"/>
      <c r="W300" s="41"/>
      <c r="X300" s="41"/>
      <c r="Y300" s="41"/>
      <c r="Z300"/>
      <c r="AA300" s="1149" t="s">
        <v>2481</v>
      </c>
      <c r="AB300" s="1058"/>
      <c r="AC300" s="1058"/>
      <c r="AD300" s="1058"/>
      <c r="AE300" s="1058"/>
      <c r="AF300" s="1058"/>
      <c r="AG300" s="5" t="s">
        <v>819</v>
      </c>
      <c r="AH300" s="5"/>
      <c r="AI300" s="1054"/>
      <c r="AJ300" s="1054"/>
      <c r="AK300" s="1054"/>
      <c r="AL300" s="10"/>
      <c r="AN300" s="281"/>
    </row>
    <row r="301" spans="1:42" s="4" customFormat="1" ht="12.75" customHeight="1">
      <c r="B301" s="41" t="s">
        <v>88</v>
      </c>
      <c r="C301" s="41"/>
      <c r="D301" s="41"/>
      <c r="E301" s="41"/>
      <c r="F301" s="41"/>
      <c r="G301" s="41"/>
      <c r="H301" s="1055" t="s">
        <v>93</v>
      </c>
      <c r="I301" s="1055"/>
      <c r="J301" s="1055"/>
      <c r="K301" s="1055"/>
      <c r="L301" s="1055"/>
      <c r="M301" s="1055"/>
      <c r="N301" s="1055"/>
      <c r="O301" s="1055"/>
      <c r="P301" s="1055"/>
      <c r="Q301" s="1055"/>
      <c r="R301" s="1055"/>
      <c r="S301" s="41"/>
      <c r="T301" s="41" t="s">
        <v>88</v>
      </c>
      <c r="U301"/>
      <c r="V301" s="41"/>
      <c r="W301" s="41"/>
      <c r="X301" s="41"/>
      <c r="Y301" s="41"/>
      <c r="Z301"/>
      <c r="AA301" s="1055" t="s">
        <v>348</v>
      </c>
      <c r="AB301" s="1055"/>
      <c r="AC301" s="1055"/>
      <c r="AD301" s="1055"/>
      <c r="AE301" s="1055"/>
      <c r="AF301" s="1055"/>
      <c r="AG301" s="1055"/>
      <c r="AH301" s="1055"/>
      <c r="AI301" s="1055"/>
      <c r="AJ301" s="1055"/>
      <c r="AK301" s="1055"/>
      <c r="AL301" s="10"/>
      <c r="AN301" s="281"/>
    </row>
    <row r="302" spans="1:42" s="4" customFormat="1" ht="12.75" customHeight="1">
      <c r="B302" s="41" t="s">
        <v>90</v>
      </c>
      <c r="C302" s="41"/>
      <c r="D302" s="41"/>
      <c r="E302" s="41"/>
      <c r="F302" s="41"/>
      <c r="G302" s="41"/>
      <c r="H302" s="1055" t="s">
        <v>2475</v>
      </c>
      <c r="I302" s="1055"/>
      <c r="J302" s="1055"/>
      <c r="K302" s="1055"/>
      <c r="L302" s="1055"/>
      <c r="M302" s="1055"/>
      <c r="N302" s="1055"/>
      <c r="O302" s="1055"/>
      <c r="P302" s="1055"/>
      <c r="Q302" s="1055"/>
      <c r="R302" s="1055"/>
      <c r="S302" s="41"/>
      <c r="T302" s="41" t="s">
        <v>90</v>
      </c>
      <c r="U302"/>
      <c r="V302" s="41"/>
      <c r="W302" s="41"/>
      <c r="X302" s="41"/>
      <c r="Y302" s="41"/>
      <c r="Z302"/>
      <c r="AA302" s="1055" t="s">
        <v>2482</v>
      </c>
      <c r="AB302" s="1055"/>
      <c r="AC302" s="1055"/>
      <c r="AD302" s="1055"/>
      <c r="AE302" s="1055"/>
      <c r="AF302" s="1055"/>
      <c r="AG302" s="1055"/>
      <c r="AH302" s="1055"/>
      <c r="AI302" s="1055"/>
      <c r="AJ302" s="1055"/>
      <c r="AK302" s="1055"/>
      <c r="AL302" s="10"/>
      <c r="AN302" s="281"/>
    </row>
    <row r="303" spans="1:42" s="4" customFormat="1" ht="12.75" customHeight="1">
      <c r="B303" s="41" t="s">
        <v>101</v>
      </c>
      <c r="C303" s="41"/>
      <c r="D303" s="41"/>
      <c r="E303" s="41"/>
      <c r="F303" s="41"/>
      <c r="G303" s="41"/>
      <c r="H303" s="1859" t="s">
        <v>2476</v>
      </c>
      <c r="I303" s="1859"/>
      <c r="J303" s="1859"/>
      <c r="K303" s="1859"/>
      <c r="L303" s="1859"/>
      <c r="M303" s="1859"/>
      <c r="N303" s="1859"/>
      <c r="O303" s="1859"/>
      <c r="P303" s="1859"/>
      <c r="Q303" s="1859"/>
      <c r="R303" s="1859"/>
      <c r="S303" s="41"/>
      <c r="T303" s="41" t="s">
        <v>101</v>
      </c>
      <c r="U303" s="41"/>
      <c r="V303" s="41"/>
      <c r="W303" s="41"/>
      <c r="X303" s="41"/>
      <c r="Y303" s="41"/>
      <c r="Z303" s="12"/>
      <c r="AA303" s="1859" t="s">
        <v>2477</v>
      </c>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2483</v>
      </c>
      <c r="I305" s="1057"/>
      <c r="J305" s="1057"/>
      <c r="K305" s="1057"/>
      <c r="L305" s="1057"/>
      <c r="M305" s="1057"/>
      <c r="N305" s="1057"/>
      <c r="O305" s="1057"/>
      <c r="P305" s="1057"/>
      <c r="Q305" s="1057"/>
      <c r="R305" s="1057"/>
      <c r="S305"/>
      <c r="T305" s="41" t="s">
        <v>89</v>
      </c>
      <c r="U305"/>
      <c r="V305" s="41"/>
      <c r="W305" s="41"/>
      <c r="X305" s="41"/>
      <c r="Y305" s="41"/>
      <c r="Z305"/>
      <c r="AA305" s="1057" t="s">
        <v>2489</v>
      </c>
      <c r="AB305" s="1057"/>
      <c r="AC305" s="1057"/>
      <c r="AD305" s="1057"/>
      <c r="AE305" s="1057"/>
      <c r="AF305" s="1057"/>
      <c r="AG305" s="1057"/>
      <c r="AH305" s="1057"/>
      <c r="AI305" s="1057"/>
      <c r="AJ305" s="1057"/>
      <c r="AK305" s="1057"/>
      <c r="AL305" s="10"/>
      <c r="AN305" s="281"/>
    </row>
    <row r="306" spans="2:40" s="4" customFormat="1" ht="12.75" customHeight="1">
      <c r="B306" s="41" t="s">
        <v>700</v>
      </c>
      <c r="C306" s="41"/>
      <c r="D306" s="41"/>
      <c r="E306" s="41"/>
      <c r="F306" s="41"/>
      <c r="G306"/>
      <c r="H306" s="1055" t="s">
        <v>2484</v>
      </c>
      <c r="I306" s="1055"/>
      <c r="J306" s="1055"/>
      <c r="K306" s="1055"/>
      <c r="L306" s="1055"/>
      <c r="M306" s="1055"/>
      <c r="N306" s="1055"/>
      <c r="O306" s="1055"/>
      <c r="P306" s="1055"/>
      <c r="Q306" s="1055"/>
      <c r="R306" s="1055"/>
      <c r="S306"/>
      <c r="T306" s="41" t="s">
        <v>700</v>
      </c>
      <c r="U306"/>
      <c r="V306" s="41"/>
      <c r="W306" s="41"/>
      <c r="X306" s="41"/>
      <c r="Y306" s="41"/>
      <c r="Z306"/>
      <c r="AA306" s="1055" t="s">
        <v>2490</v>
      </c>
      <c r="AB306" s="1055"/>
      <c r="AC306" s="1055"/>
      <c r="AD306" s="1055"/>
      <c r="AE306" s="1055"/>
      <c r="AF306" s="1055"/>
      <c r="AG306" s="1055"/>
      <c r="AH306" s="1055"/>
      <c r="AI306" s="1055"/>
      <c r="AJ306" s="1055"/>
      <c r="AK306" s="1055"/>
      <c r="AL306" s="10"/>
      <c r="AN306" s="281"/>
    </row>
    <row r="307" spans="2:40" s="4" customFormat="1" ht="12.75" customHeight="1">
      <c r="B307" s="41" t="s">
        <v>99</v>
      </c>
      <c r="C307" s="41"/>
      <c r="D307" s="41"/>
      <c r="E307" s="41"/>
      <c r="F307" s="41"/>
      <c r="G307"/>
      <c r="H307" s="1055" t="s">
        <v>2463</v>
      </c>
      <c r="I307" s="1055"/>
      <c r="J307" s="1055"/>
      <c r="K307" s="1055"/>
      <c r="L307" s="1055"/>
      <c r="M307" s="1055"/>
      <c r="N307" s="1055"/>
      <c r="O307" s="1055"/>
      <c r="P307" s="1055"/>
      <c r="Q307" s="1055"/>
      <c r="R307" s="1055"/>
      <c r="S307"/>
      <c r="T307" s="41" t="s">
        <v>99</v>
      </c>
      <c r="U307"/>
      <c r="V307" s="41"/>
      <c r="W307" s="41"/>
      <c r="X307" s="41"/>
      <c r="Y307" s="41"/>
      <c r="Z307"/>
      <c r="AA307" s="1055" t="s">
        <v>2463</v>
      </c>
      <c r="AB307" s="1055"/>
      <c r="AC307" s="1055"/>
      <c r="AD307" s="1055"/>
      <c r="AE307" s="1055"/>
      <c r="AF307" s="1055"/>
      <c r="AG307" s="1055"/>
      <c r="AH307" s="1055"/>
      <c r="AI307" s="1055"/>
      <c r="AJ307" s="1055"/>
      <c r="AK307" s="1055"/>
      <c r="AL307" s="10"/>
      <c r="AN307" s="281"/>
    </row>
    <row r="308" spans="2:40" s="4" customFormat="1" ht="12.75" customHeight="1">
      <c r="B308" s="41" t="s">
        <v>375</v>
      </c>
      <c r="C308" s="41"/>
      <c r="D308" s="41"/>
      <c r="E308" s="41"/>
      <c r="F308" s="41"/>
      <c r="G308"/>
      <c r="H308" s="1055" t="s">
        <v>2485</v>
      </c>
      <c r="I308" s="1055"/>
      <c r="J308" s="1055"/>
      <c r="K308" s="1055"/>
      <c r="L308" s="1055"/>
      <c r="M308" s="1055"/>
      <c r="N308" s="1055"/>
      <c r="O308" s="1055"/>
      <c r="P308" s="1055"/>
      <c r="Q308" s="1055"/>
      <c r="R308" s="1055"/>
      <c r="S308"/>
      <c r="T308" s="41" t="s">
        <v>375</v>
      </c>
      <c r="U308"/>
      <c r="V308" s="41"/>
      <c r="W308" s="41"/>
      <c r="X308" s="41"/>
      <c r="Y308" s="41"/>
      <c r="Z308"/>
      <c r="AA308" s="1055" t="s">
        <v>2491</v>
      </c>
      <c r="AB308" s="1055"/>
      <c r="AC308" s="1055"/>
      <c r="AD308" s="1055"/>
      <c r="AE308" s="1055"/>
      <c r="AF308" s="1055"/>
      <c r="AG308" s="1055"/>
      <c r="AH308" s="1055"/>
      <c r="AI308" s="1055"/>
      <c r="AJ308" s="1055"/>
      <c r="AK308" s="1055"/>
      <c r="AL308" s="10"/>
      <c r="AN308" s="281"/>
    </row>
    <row r="309" spans="2:40" s="4" customFormat="1" ht="12.75" customHeight="1">
      <c r="B309" s="41" t="s">
        <v>376</v>
      </c>
      <c r="C309" s="41"/>
      <c r="D309" s="41"/>
      <c r="E309" s="41"/>
      <c r="F309" s="41"/>
      <c r="G309" s="41"/>
      <c r="H309" s="1149" t="s">
        <v>2486</v>
      </c>
      <c r="I309" s="1058"/>
      <c r="J309" s="1058"/>
      <c r="K309" s="1058"/>
      <c r="L309" s="1058"/>
      <c r="M309" s="1058"/>
      <c r="N309" s="5" t="s">
        <v>819</v>
      </c>
      <c r="O309" s="5"/>
      <c r="P309" s="1054"/>
      <c r="Q309" s="1054"/>
      <c r="R309" s="1054"/>
      <c r="S309" s="41"/>
      <c r="T309" s="41" t="s">
        <v>376</v>
      </c>
      <c r="U309"/>
      <c r="V309" s="41"/>
      <c r="W309" s="41"/>
      <c r="X309" s="41"/>
      <c r="Y309" s="41"/>
      <c r="Z309"/>
      <c r="AA309" s="1149" t="s">
        <v>2492</v>
      </c>
      <c r="AB309" s="1058"/>
      <c r="AC309" s="1058"/>
      <c r="AD309" s="1058"/>
      <c r="AE309" s="1058"/>
      <c r="AF309" s="1058"/>
      <c r="AG309" s="5" t="s">
        <v>819</v>
      </c>
      <c r="AH309" s="5"/>
      <c r="AI309" s="1054"/>
      <c r="AJ309" s="1054"/>
      <c r="AK309" s="1054"/>
      <c r="AL309" s="10"/>
      <c r="AN309" s="281"/>
    </row>
    <row r="310" spans="2:40" s="4" customFormat="1" ht="12.75" customHeight="1">
      <c r="B310" s="41" t="s">
        <v>88</v>
      </c>
      <c r="C310" s="41"/>
      <c r="D310" s="41"/>
      <c r="E310" s="41"/>
      <c r="F310" s="41"/>
      <c r="G310" s="41"/>
      <c r="H310" s="1055" t="s">
        <v>97</v>
      </c>
      <c r="I310" s="1055"/>
      <c r="J310" s="1055"/>
      <c r="K310" s="1055"/>
      <c r="L310" s="1055"/>
      <c r="M310" s="1055"/>
      <c r="N310" s="1055"/>
      <c r="O310" s="1055"/>
      <c r="P310" s="1055"/>
      <c r="Q310" s="1055"/>
      <c r="R310" s="1055"/>
      <c r="S310" s="41"/>
      <c r="T310" s="41" t="s">
        <v>88</v>
      </c>
      <c r="U310"/>
      <c r="V310" s="41"/>
      <c r="W310" s="41"/>
      <c r="X310" s="41"/>
      <c r="Y310" s="41"/>
      <c r="Z310"/>
      <c r="AA310" s="1055" t="s">
        <v>95</v>
      </c>
      <c r="AB310" s="1055"/>
      <c r="AC310" s="1055"/>
      <c r="AD310" s="1055"/>
      <c r="AE310" s="1055"/>
      <c r="AF310" s="1055"/>
      <c r="AG310" s="1055"/>
      <c r="AH310" s="1055"/>
      <c r="AI310" s="1055"/>
      <c r="AJ310" s="1055"/>
      <c r="AK310" s="1055"/>
      <c r="AL310" s="10"/>
      <c r="AN310" s="281"/>
    </row>
    <row r="311" spans="2:40" s="4" customFormat="1" ht="12.75" customHeight="1">
      <c r="B311" s="41" t="s">
        <v>90</v>
      </c>
      <c r="C311" s="41"/>
      <c r="D311" s="41"/>
      <c r="E311" s="41"/>
      <c r="F311" s="41"/>
      <c r="G311" s="41"/>
      <c r="H311" s="1055" t="s">
        <v>2487</v>
      </c>
      <c r="I311" s="1055"/>
      <c r="J311" s="1055"/>
      <c r="K311" s="1055"/>
      <c r="L311" s="1055"/>
      <c r="M311" s="1055"/>
      <c r="N311" s="1055"/>
      <c r="O311" s="1055"/>
      <c r="P311" s="1055"/>
      <c r="Q311" s="1055"/>
      <c r="R311" s="1055"/>
      <c r="S311" s="41"/>
      <c r="T311" s="41" t="s">
        <v>90</v>
      </c>
      <c r="U311"/>
      <c r="V311" s="41"/>
      <c r="W311" s="41"/>
      <c r="X311" s="41"/>
      <c r="Y311" s="41"/>
      <c r="Z311"/>
      <c r="AA311" s="1055" t="s">
        <v>2493</v>
      </c>
      <c r="AB311" s="1055"/>
      <c r="AC311" s="1055"/>
      <c r="AD311" s="1055"/>
      <c r="AE311" s="1055"/>
      <c r="AF311" s="1055"/>
      <c r="AG311" s="1055"/>
      <c r="AH311" s="1055"/>
      <c r="AI311" s="1055"/>
      <c r="AJ311" s="1055"/>
      <c r="AK311" s="1055"/>
      <c r="AL311" s="10"/>
      <c r="AN311" s="281"/>
    </row>
    <row r="312" spans="2:40" s="4" customFormat="1" ht="12.75" customHeight="1">
      <c r="B312" s="41" t="s">
        <v>101</v>
      </c>
      <c r="C312" s="41"/>
      <c r="D312" s="41"/>
      <c r="E312" s="41"/>
      <c r="F312" s="41"/>
      <c r="G312" s="41"/>
      <c r="H312" s="1859" t="s">
        <v>2488</v>
      </c>
      <c r="I312" s="1859"/>
      <c r="J312" s="1859"/>
      <c r="K312" s="1859"/>
      <c r="L312" s="1859"/>
      <c r="M312" s="1859"/>
      <c r="N312" s="1859"/>
      <c r="O312" s="1859"/>
      <c r="P312" s="1859"/>
      <c r="Q312" s="1859"/>
      <c r="R312" s="1859"/>
      <c r="S312" s="41"/>
      <c r="T312" s="41" t="s">
        <v>101</v>
      </c>
      <c r="U312" s="41"/>
      <c r="V312" s="41"/>
      <c r="W312" s="41"/>
      <c r="X312" s="41"/>
      <c r="Y312" s="41"/>
      <c r="Z312" s="12"/>
      <c r="AA312" s="1859" t="s">
        <v>2494</v>
      </c>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t="s">
        <v>2495</v>
      </c>
      <c r="I314" s="1057"/>
      <c r="J314" s="1057"/>
      <c r="K314" s="1057"/>
      <c r="L314" s="1057"/>
      <c r="M314" s="1057"/>
      <c r="N314" s="1057"/>
      <c r="O314" s="1057"/>
      <c r="P314" s="1057"/>
      <c r="Q314" s="1057"/>
      <c r="R314" s="1057"/>
      <c r="S314"/>
      <c r="T314" s="41" t="s">
        <v>89</v>
      </c>
      <c r="U314"/>
      <c r="V314" s="41"/>
      <c r="W314" s="41"/>
      <c r="X314" s="41"/>
      <c r="Y314" s="41"/>
      <c r="Z314"/>
      <c r="AA314" s="1057" t="s">
        <v>2499</v>
      </c>
      <c r="AB314" s="1057"/>
      <c r="AC314" s="1057"/>
      <c r="AD314" s="1057"/>
      <c r="AE314" s="1057"/>
      <c r="AF314" s="1057"/>
      <c r="AG314" s="1057"/>
      <c r="AH314" s="1057"/>
      <c r="AI314" s="1057"/>
      <c r="AJ314" s="1057"/>
      <c r="AK314" s="1057"/>
      <c r="AL314" s="10"/>
      <c r="AN314" s="281"/>
    </row>
    <row r="315" spans="2:40" s="4" customFormat="1" ht="12.75" customHeight="1">
      <c r="B315" s="41" t="s">
        <v>700</v>
      </c>
      <c r="C315" s="41"/>
      <c r="D315" s="41"/>
      <c r="E315" s="41"/>
      <c r="F315" s="41"/>
      <c r="G315"/>
      <c r="H315" s="1055" t="s">
        <v>2496</v>
      </c>
      <c r="I315" s="1055"/>
      <c r="J315" s="1055"/>
      <c r="K315" s="1055"/>
      <c r="L315" s="1055"/>
      <c r="M315" s="1055"/>
      <c r="N315" s="1055"/>
      <c r="O315" s="1055"/>
      <c r="P315" s="1055"/>
      <c r="Q315" s="1055"/>
      <c r="R315" s="1055"/>
      <c r="S315"/>
      <c r="T315" s="41" t="s">
        <v>700</v>
      </c>
      <c r="U315"/>
      <c r="V315" s="41"/>
      <c r="W315" s="41"/>
      <c r="X315" s="41"/>
      <c r="Y315" s="41"/>
      <c r="Z315"/>
      <c r="AA315" s="1055" t="s">
        <v>2500</v>
      </c>
      <c r="AB315" s="1055"/>
      <c r="AC315" s="1055"/>
      <c r="AD315" s="1055"/>
      <c r="AE315" s="1055"/>
      <c r="AF315" s="1055"/>
      <c r="AG315" s="1055"/>
      <c r="AH315" s="1055"/>
      <c r="AI315" s="1055"/>
      <c r="AJ315" s="1055"/>
      <c r="AK315" s="1055"/>
      <c r="AL315" s="10"/>
      <c r="AN315" s="281"/>
    </row>
    <row r="316" spans="2:40" s="4" customFormat="1" ht="12.75" customHeight="1">
      <c r="B316" s="41" t="s">
        <v>99</v>
      </c>
      <c r="C316" s="41"/>
      <c r="D316" s="41"/>
      <c r="E316" s="41"/>
      <c r="F316" s="41"/>
      <c r="G316"/>
      <c r="H316" s="1055" t="s">
        <v>2463</v>
      </c>
      <c r="I316" s="1055"/>
      <c r="J316" s="1055"/>
      <c r="K316" s="1055"/>
      <c r="L316" s="1055"/>
      <c r="M316" s="1055"/>
      <c r="N316" s="1055"/>
      <c r="O316" s="1055"/>
      <c r="P316" s="1055"/>
      <c r="Q316" s="1055"/>
      <c r="R316" s="1055"/>
      <c r="S316"/>
      <c r="T316" s="41" t="s">
        <v>99</v>
      </c>
      <c r="U316"/>
      <c r="V316" s="41"/>
      <c r="W316" s="41"/>
      <c r="X316" s="41"/>
      <c r="Y316" s="41"/>
      <c r="Z316"/>
      <c r="AA316" s="1055" t="s">
        <v>2463</v>
      </c>
      <c r="AB316" s="1055"/>
      <c r="AC316" s="1055"/>
      <c r="AD316" s="1055"/>
      <c r="AE316" s="1055"/>
      <c r="AF316" s="1055"/>
      <c r="AG316" s="1055"/>
      <c r="AH316" s="1055"/>
      <c r="AI316" s="1055"/>
      <c r="AJ316" s="1055"/>
      <c r="AK316" s="1055"/>
      <c r="AL316" s="10"/>
      <c r="AN316" s="281"/>
    </row>
    <row r="317" spans="2:40" s="4" customFormat="1" ht="12.75" customHeight="1">
      <c r="B317" s="41" t="s">
        <v>375</v>
      </c>
      <c r="C317" s="41"/>
      <c r="D317" s="41"/>
      <c r="E317" s="41"/>
      <c r="F317" s="41"/>
      <c r="G317"/>
      <c r="H317" s="1055" t="s">
        <v>2491</v>
      </c>
      <c r="I317" s="1055"/>
      <c r="J317" s="1055"/>
      <c r="K317" s="1055"/>
      <c r="L317" s="1055"/>
      <c r="M317" s="1055"/>
      <c r="N317" s="1055"/>
      <c r="O317" s="1055"/>
      <c r="P317" s="1055"/>
      <c r="Q317" s="1055"/>
      <c r="R317" s="1055"/>
      <c r="S317"/>
      <c r="T317" s="41" t="s">
        <v>375</v>
      </c>
      <c r="U317"/>
      <c r="V317" s="41"/>
      <c r="W317" s="41"/>
      <c r="X317" s="41"/>
      <c r="Y317" s="41"/>
      <c r="Z317"/>
      <c r="AA317" s="1055" t="s">
        <v>2501</v>
      </c>
      <c r="AB317" s="1055"/>
      <c r="AC317" s="1055"/>
      <c r="AD317" s="1055"/>
      <c r="AE317" s="1055"/>
      <c r="AF317" s="1055"/>
      <c r="AG317" s="1055"/>
      <c r="AH317" s="1055"/>
      <c r="AI317" s="1055"/>
      <c r="AJ317" s="1055"/>
      <c r="AK317" s="1055"/>
      <c r="AL317" s="10"/>
      <c r="AN317" s="281"/>
    </row>
    <row r="318" spans="2:40" s="4" customFormat="1" ht="12.75" customHeight="1">
      <c r="B318" s="41" t="s">
        <v>376</v>
      </c>
      <c r="C318" s="41"/>
      <c r="D318" s="41"/>
      <c r="E318" s="41"/>
      <c r="F318" s="41"/>
      <c r="G318" s="41"/>
      <c r="H318" s="1149" t="s">
        <v>2497</v>
      </c>
      <c r="I318" s="1058"/>
      <c r="J318" s="1058"/>
      <c r="K318" s="1058"/>
      <c r="L318" s="1058"/>
      <c r="M318" s="1058"/>
      <c r="N318" s="5" t="s">
        <v>819</v>
      </c>
      <c r="O318" s="5"/>
      <c r="P318" s="1054"/>
      <c r="Q318" s="1054"/>
      <c r="R318" s="1054"/>
      <c r="S318" s="41"/>
      <c r="T318" s="41" t="s">
        <v>376</v>
      </c>
      <c r="U318"/>
      <c r="V318" s="41"/>
      <c r="W318" s="41"/>
      <c r="X318" s="41"/>
      <c r="Y318" s="41"/>
      <c r="Z318"/>
      <c r="AA318" s="1149" t="s">
        <v>2502</v>
      </c>
      <c r="AB318" s="1058"/>
      <c r="AC318" s="1058"/>
      <c r="AD318" s="1058"/>
      <c r="AE318" s="1058"/>
      <c r="AF318" s="1058"/>
      <c r="AG318" s="5" t="s">
        <v>819</v>
      </c>
      <c r="AH318" s="5"/>
      <c r="AI318" s="1054"/>
      <c r="AJ318" s="1054"/>
      <c r="AK318" s="1054"/>
      <c r="AL318" s="10"/>
      <c r="AN318" s="281"/>
    </row>
    <row r="319" spans="2:40" s="4" customFormat="1" ht="12.75" customHeight="1">
      <c r="B319" s="41" t="s">
        <v>88</v>
      </c>
      <c r="C319" s="41"/>
      <c r="D319" s="41"/>
      <c r="E319" s="41"/>
      <c r="F319" s="41"/>
      <c r="G319" s="41"/>
      <c r="H319" s="1055" t="s">
        <v>95</v>
      </c>
      <c r="I319" s="1055"/>
      <c r="J319" s="1055"/>
      <c r="K319" s="1055"/>
      <c r="L319" s="1055"/>
      <c r="M319" s="1055"/>
      <c r="N319" s="1055"/>
      <c r="O319" s="1055"/>
      <c r="P319" s="1055"/>
      <c r="Q319" s="1055"/>
      <c r="R319" s="1055"/>
      <c r="S319" s="41"/>
      <c r="T319" s="41" t="s">
        <v>88</v>
      </c>
      <c r="U319"/>
      <c r="V319" s="41"/>
      <c r="W319" s="41"/>
      <c r="X319" s="41"/>
      <c r="Y319" s="41"/>
      <c r="Z319"/>
      <c r="AA319" s="1055" t="s">
        <v>96</v>
      </c>
      <c r="AB319" s="1055"/>
      <c r="AC319" s="1055"/>
      <c r="AD319" s="1055"/>
      <c r="AE319" s="1055"/>
      <c r="AF319" s="1055"/>
      <c r="AG319" s="1055"/>
      <c r="AH319" s="1055"/>
      <c r="AI319" s="1055"/>
      <c r="AJ319" s="1055"/>
      <c r="AK319" s="1055"/>
      <c r="AL319" s="10"/>
      <c r="AN319" s="281"/>
    </row>
    <row r="320" spans="2:40" s="4" customFormat="1" ht="12.75" customHeight="1">
      <c r="B320" s="41" t="s">
        <v>90</v>
      </c>
      <c r="C320" s="41"/>
      <c r="D320" s="41"/>
      <c r="E320" s="41"/>
      <c r="F320" s="41"/>
      <c r="G320" s="41"/>
      <c r="H320" s="1055" t="s">
        <v>2498</v>
      </c>
      <c r="I320" s="1055"/>
      <c r="J320" s="1055"/>
      <c r="K320" s="1055"/>
      <c r="L320" s="1055"/>
      <c r="M320" s="1055"/>
      <c r="N320" s="1055"/>
      <c r="O320" s="1055"/>
      <c r="P320" s="1055"/>
      <c r="Q320" s="1055"/>
      <c r="R320" s="1055"/>
      <c r="S320" s="41"/>
      <c r="T320" s="41" t="s">
        <v>90</v>
      </c>
      <c r="U320"/>
      <c r="V320" s="41"/>
      <c r="W320" s="41"/>
      <c r="X320" s="41"/>
      <c r="Y320" s="41"/>
      <c r="Z320"/>
      <c r="AA320" s="1055" t="s">
        <v>2503</v>
      </c>
      <c r="AB320" s="1055"/>
      <c r="AC320" s="1055"/>
      <c r="AD320" s="1055"/>
      <c r="AE320" s="1055"/>
      <c r="AF320" s="1055"/>
      <c r="AG320" s="1055"/>
      <c r="AH320" s="1055"/>
      <c r="AI320" s="1055"/>
      <c r="AJ320" s="1055"/>
      <c r="AK320" s="1055"/>
      <c r="AL320" s="10"/>
      <c r="AN320" s="281"/>
    </row>
    <row r="321" spans="1:76" s="4" customFormat="1" ht="12.75" customHeight="1">
      <c r="B321" s="41" t="s">
        <v>101</v>
      </c>
      <c r="C321" s="41"/>
      <c r="D321" s="41"/>
      <c r="E321" s="41"/>
      <c r="F321" s="41"/>
      <c r="G321" s="41"/>
      <c r="H321" s="1859" t="s">
        <v>2476</v>
      </c>
      <c r="I321" s="1859"/>
      <c r="J321" s="1859"/>
      <c r="K321" s="1859"/>
      <c r="L321" s="1859"/>
      <c r="M321" s="1859"/>
      <c r="N321" s="1859"/>
      <c r="O321" s="1859"/>
      <c r="P321" s="1859"/>
      <c r="Q321" s="1859"/>
      <c r="R321" s="1859"/>
      <c r="S321" s="41"/>
      <c r="T321" s="41" t="s">
        <v>101</v>
      </c>
      <c r="U321" s="41"/>
      <c r="V321" s="41"/>
      <c r="W321" s="41"/>
      <c r="X321" s="41"/>
      <c r="Y321" s="41"/>
      <c r="Z321" s="12"/>
      <c r="AA321" s="1859" t="s">
        <v>2504</v>
      </c>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700</v>
      </c>
      <c r="C324" s="41"/>
      <c r="D324" s="41"/>
      <c r="E324" s="41"/>
      <c r="F324" s="41"/>
      <c r="G324"/>
      <c r="H324" s="1055"/>
      <c r="I324" s="1055"/>
      <c r="J324" s="1055"/>
      <c r="K324" s="1055"/>
      <c r="L324" s="1055"/>
      <c r="M324" s="1055"/>
      <c r="N324" s="1055"/>
      <c r="O324" s="1055"/>
      <c r="P324" s="1055"/>
      <c r="Q324" s="1055"/>
      <c r="R324" s="1055"/>
      <c r="S324"/>
      <c r="T324" s="41" t="s">
        <v>700</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99</v>
      </c>
      <c r="C325" s="41"/>
      <c r="D325" s="41"/>
      <c r="E325" s="41"/>
      <c r="F325" s="41"/>
      <c r="G325"/>
      <c r="H325" s="1055"/>
      <c r="I325" s="1055"/>
      <c r="J325" s="1055"/>
      <c r="K325" s="1055"/>
      <c r="L325" s="1055"/>
      <c r="M325" s="1055"/>
      <c r="N325" s="1055"/>
      <c r="O325" s="1055"/>
      <c r="P325" s="1055"/>
      <c r="Q325" s="1055"/>
      <c r="R325" s="1055"/>
      <c r="S325"/>
      <c r="T325" s="41" t="s">
        <v>99</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375</v>
      </c>
      <c r="C326" s="41"/>
      <c r="D326" s="41"/>
      <c r="E326" s="41"/>
      <c r="F326" s="41"/>
      <c r="G326"/>
      <c r="H326" s="1055"/>
      <c r="I326" s="1055"/>
      <c r="J326" s="1055"/>
      <c r="K326" s="1055"/>
      <c r="L326" s="1055"/>
      <c r="M326" s="1055"/>
      <c r="N326" s="1055"/>
      <c r="O326" s="1055"/>
      <c r="P326" s="1055"/>
      <c r="Q326" s="1055"/>
      <c r="R326" s="1055"/>
      <c r="S326"/>
      <c r="T326" s="41" t="s">
        <v>375</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376</v>
      </c>
      <c r="C327" s="41"/>
      <c r="D327" s="41"/>
      <c r="E327" s="41"/>
      <c r="F327" s="41"/>
      <c r="G327" s="41"/>
      <c r="H327" s="1058"/>
      <c r="I327" s="1058"/>
      <c r="J327" s="1058"/>
      <c r="K327" s="1058"/>
      <c r="L327" s="1058"/>
      <c r="M327" s="1058"/>
      <c r="N327" s="5" t="s">
        <v>819</v>
      </c>
      <c r="O327" s="5"/>
      <c r="P327" s="1054"/>
      <c r="Q327" s="1054"/>
      <c r="R327" s="1054"/>
      <c r="S327" s="41"/>
      <c r="T327" s="41" t="s">
        <v>376</v>
      </c>
      <c r="U327"/>
      <c r="V327" s="41"/>
      <c r="W327" s="41"/>
      <c r="X327" s="41"/>
      <c r="Y327" s="41"/>
      <c r="Z327"/>
      <c r="AA327" s="1058"/>
      <c r="AB327" s="1058"/>
      <c r="AC327" s="1058"/>
      <c r="AD327" s="1058"/>
      <c r="AE327" s="1058"/>
      <c r="AF327" s="1058"/>
      <c r="AG327" s="5" t="s">
        <v>819</v>
      </c>
      <c r="AH327" s="5"/>
      <c r="AI327" s="1054"/>
      <c r="AJ327" s="1054"/>
      <c r="AK327" s="1054"/>
      <c r="AL327" s="41"/>
      <c r="AN327" s="281"/>
    </row>
    <row r="328" spans="1:76" s="4" customFormat="1" ht="12.75" customHeight="1">
      <c r="B328" s="41" t="s">
        <v>88</v>
      </c>
      <c r="C328" s="41"/>
      <c r="D328" s="41"/>
      <c r="E328" s="41"/>
      <c r="F328" s="41"/>
      <c r="G328" s="41"/>
      <c r="H328" s="1055"/>
      <c r="I328" s="1055"/>
      <c r="J328" s="1055"/>
      <c r="K328" s="1055"/>
      <c r="L328" s="1055"/>
      <c r="M328" s="1055"/>
      <c r="N328" s="1055"/>
      <c r="O328" s="1055"/>
      <c r="P328" s="1055"/>
      <c r="Q328" s="1055"/>
      <c r="R328" s="1055"/>
      <c r="S328" s="41"/>
      <c r="T328" s="41" t="s">
        <v>88</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90</v>
      </c>
      <c r="C329" s="41"/>
      <c r="D329" s="41"/>
      <c r="E329" s="41"/>
      <c r="F329" s="41"/>
      <c r="G329" s="41"/>
      <c r="H329" s="1055"/>
      <c r="I329" s="1055"/>
      <c r="J329" s="1055"/>
      <c r="K329" s="1055"/>
      <c r="L329" s="1055"/>
      <c r="M329" s="1055"/>
      <c r="N329" s="1055"/>
      <c r="O329" s="1055"/>
      <c r="P329" s="1055"/>
      <c r="Q329" s="1055"/>
      <c r="R329" s="1055"/>
      <c r="S329" s="41"/>
      <c r="T329" s="41" t="s">
        <v>90</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101</v>
      </c>
      <c r="C330" s="41"/>
      <c r="D330" s="41"/>
      <c r="E330" s="41"/>
      <c r="F330" s="41"/>
      <c r="G330" s="41"/>
      <c r="H330" s="1859"/>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4" t="s">
        <v>365</v>
      </c>
      <c r="AF333" s="1684"/>
      <c r="AG333" s="1684"/>
      <c r="AH333" s="1684"/>
      <c r="AI333" s="1684"/>
      <c r="AJ333" s="1684"/>
      <c r="AK333" s="1684"/>
      <c r="AL333" s="3"/>
      <c r="AM333" s="827"/>
      <c r="AN333" s="3"/>
    </row>
    <row r="334" spans="1:76" s="4" customFormat="1" ht="12.75" customHeight="1">
      <c r="A334" s="3"/>
      <c r="B334" s="5"/>
      <c r="C334" s="1858" t="s">
        <v>1841</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1842</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4"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2298</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1843</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8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901</v>
      </c>
      <c r="AP354" s="71">
        <f>IF(C379="Yes",5,0)</f>
        <v>0</v>
      </c>
      <c r="AS354" s="3" t="s">
        <v>1779</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902</v>
      </c>
      <c r="AP356" s="71">
        <f>IF(C389="Yes",5,0)</f>
        <v>0</v>
      </c>
      <c r="AS356" s="3" t="s">
        <v>1812</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908</v>
      </c>
      <c r="AP358" s="71">
        <f>IF(C399="Yes",7,0)</f>
        <v>7</v>
      </c>
    </row>
    <row r="359" spans="1:46" s="4" customFormat="1" ht="12.75" customHeight="1">
      <c r="A359" s="27"/>
      <c r="B359" s="26"/>
      <c r="C359" s="1858" t="s">
        <v>1844</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432</v>
      </c>
      <c r="AP361" s="71">
        <f>IF(C409="Yes",5,0)</f>
        <v>0</v>
      </c>
    </row>
    <row r="362" spans="1:46" s="4" customFormat="1" ht="11.8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3</v>
      </c>
    </row>
    <row r="363" spans="1:46" s="4" customFormat="1" ht="12.4"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435</v>
      </c>
      <c r="AP365" s="71">
        <f>IF(C423="Yes",5,0)</f>
        <v>0</v>
      </c>
    </row>
    <row r="366" spans="1:46" s="4" customFormat="1" ht="12.75" customHeight="1">
      <c r="A366" s="27"/>
      <c r="B366" s="26"/>
      <c r="C366" s="1858" t="s">
        <v>1845</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099999999999994"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611</v>
      </c>
      <c r="AP368" s="168">
        <f>SUM(AP354:AP367)</f>
        <v>10</v>
      </c>
      <c r="AQ368" s="1228">
        <f>IF(AP368&gt;0,AP368,0)</f>
        <v>10</v>
      </c>
      <c r="AR368" s="1228"/>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3">
        <f>Application!CQ649-U371</f>
        <v>43</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1" t="s">
        <v>1788</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7"/>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320</v>
      </c>
      <c r="AG379" s="1546"/>
      <c r="AH379" s="1546"/>
      <c r="AI379" s="1546"/>
      <c r="AJ379" s="1546"/>
      <c r="AK379" s="1546"/>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1787</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7"/>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320</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1952</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7"/>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964</v>
      </c>
      <c r="AG399" s="1546"/>
      <c r="AH399" s="1546"/>
      <c r="AI399" s="1546"/>
      <c r="AJ399" s="1546"/>
      <c r="AK399" s="1546"/>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7"/>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320</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1786</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7"/>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320</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108</v>
      </c>
      <c r="D411" s="1117"/>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963</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7"/>
      <c r="E414" s="698" t="s">
        <v>193</v>
      </c>
      <c r="F414" s="1701" t="s">
        <v>1790</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320</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1792</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7"/>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320</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7"/>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963</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1" t="s">
        <v>1793</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124</v>
      </c>
      <c r="D432" s="1117"/>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320</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701" t="s">
        <v>1794</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124</v>
      </c>
      <c r="D444" s="1117"/>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320</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1" t="s">
        <v>1797</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7"/>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320</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968</v>
      </c>
      <c r="F455" s="1701" t="s">
        <v>970</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320</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5" t="s">
        <v>124</v>
      </c>
      <c r="D459" s="1706"/>
      <c r="E459" s="698" t="s">
        <v>969</v>
      </c>
      <c r="F459" s="1701" t="s">
        <v>1834</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320</v>
      </c>
      <c r="AG459" s="1868"/>
      <c r="AH459" s="1868"/>
      <c r="AI459" s="1868"/>
      <c r="AJ459" s="1868"/>
      <c r="AK459" s="1868"/>
      <c r="AL459" s="1869"/>
      <c r="AM459"/>
      <c r="AN459" s="670"/>
      <c r="AO459" s="4" t="s">
        <v>1336</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1332</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1333</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01" t="s">
        <v>1835</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976</v>
      </c>
      <c r="BA465" s="345" t="s">
        <v>977</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9" t="s">
        <v>124</v>
      </c>
      <c r="D468" s="1117"/>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320</v>
      </c>
      <c r="AG468" s="1546"/>
      <c r="AH468" s="1546"/>
      <c r="AI468" s="1546"/>
      <c r="AJ468" s="1546"/>
      <c r="AK468" s="1546"/>
      <c r="AL468" s="1700"/>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6" t="s">
        <v>1258</v>
      </c>
      <c r="AF477" s="1546"/>
      <c r="AG477" s="1546"/>
      <c r="AH477" s="1546"/>
      <c r="AI477" s="1546"/>
      <c r="AJ477" s="1546"/>
      <c r="AK477" s="1546"/>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08" t="s">
        <v>124</v>
      </c>
      <c r="D483" s="1709"/>
      <c r="E483" s="749" t="s">
        <v>195</v>
      </c>
      <c r="F483" s="1710" t="s">
        <v>973</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1335</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658</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124</v>
      </c>
      <c r="D506" s="1709"/>
      <c r="E506" s="742" t="s">
        <v>195</v>
      </c>
      <c r="F506" s="1710" t="s">
        <v>973</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5" t="s">
        <v>1499</v>
      </c>
      <c r="AQ507" s="1286"/>
      <c r="AR507" s="1287"/>
      <c r="AS507" s="624">
        <v>80</v>
      </c>
      <c r="AT507" s="4">
        <v>0</v>
      </c>
      <c r="AU507" s="160">
        <v>10</v>
      </c>
      <c r="AV507" s="160">
        <v>25</v>
      </c>
      <c r="AW507" s="160">
        <v>37.5</v>
      </c>
      <c r="AX507" s="160">
        <v>35</v>
      </c>
      <c r="AY507" s="160">
        <v>37.5</v>
      </c>
      <c r="AZ507" s="160">
        <v>50</v>
      </c>
      <c r="BA507" s="160">
        <v>50</v>
      </c>
      <c r="BB507" s="21"/>
      <c r="BC507" s="21"/>
      <c r="BE507" s="1285" t="s">
        <v>1499</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975</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303</v>
      </c>
      <c r="F510" s="1712" t="s">
        <v>1159</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8" t="s">
        <v>124</v>
      </c>
      <c r="D515" s="1709"/>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0"/>
      <c r="D517" s="1429"/>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875</v>
      </c>
      <c r="G524" s="1646" t="s">
        <v>984</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57">
        <f>BJ528</f>
        <v>43</v>
      </c>
      <c r="BE524" s="1857"/>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7">
        <f>SUM(E581:J589)</f>
        <v>43</v>
      </c>
      <c r="BE525" s="1857"/>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7"/>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0">
        <f>Application!AG433</f>
        <v>43</v>
      </c>
      <c r="BK528" s="1861"/>
      <c r="BM528" s="1748"/>
      <c r="BN528" s="1749"/>
      <c r="BO528" s="1748"/>
      <c r="BP528" s="1749"/>
      <c r="BQ528" s="1761"/>
      <c r="BR528" s="1763"/>
      <c r="BS528" s="1761"/>
      <c r="BT528" s="1763"/>
      <c r="BU528" s="1748">
        <f>IF(T611&gt;0,1,0)</f>
        <v>0</v>
      </c>
      <c r="BV528" s="1749"/>
      <c r="BW528" s="1748">
        <f>IF(Y611&gt;=0.1,1,0)</f>
        <v>0</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0</v>
      </c>
      <c r="CD530" s="1749"/>
      <c r="CE530" s="1748">
        <f>IF(Y613&gt;=0.1,1,0)</f>
        <v>0</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0</v>
      </c>
      <c r="BV531" s="1749"/>
      <c r="BW531" s="1748">
        <f>SUM(BW526:BX530)</f>
        <v>0</v>
      </c>
      <c r="BX531" s="1749"/>
      <c r="BY531" s="1748">
        <f>SUM(BY526:BZ530)</f>
        <v>1</v>
      </c>
      <c r="BZ531" s="1749"/>
      <c r="CA531" s="1748">
        <f>SUM(CA526:CB530)</f>
        <v>1</v>
      </c>
      <c r="CB531" s="1749"/>
      <c r="CC531" s="1748">
        <f>SUM(CC526:CD530)</f>
        <v>0</v>
      </c>
      <c r="CD531" s="1749"/>
      <c r="CE531" s="1748">
        <f>SUM(CE526:CF530)</f>
        <v>0</v>
      </c>
      <c r="CF531" s="1749"/>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456</v>
      </c>
      <c r="AQ532" s="1866"/>
      <c r="AR532" s="1866"/>
      <c r="AS532" s="1866"/>
      <c r="AT532" s="1867"/>
      <c r="AU532" s="1865" t="s">
        <v>457</v>
      </c>
      <c r="AV532" s="1866"/>
      <c r="AW532" s="1866"/>
      <c r="AX532" s="1866"/>
      <c r="AY532" s="1867"/>
      <c r="BM532" s="1761">
        <f>SUM(BM531:BP531)</f>
        <v>0</v>
      </c>
      <c r="BN532" s="1762"/>
      <c r="BO532" s="1762"/>
      <c r="BP532" s="1763"/>
      <c r="BQ532" s="1761">
        <f>SUM(BQ531:BT531)</f>
        <v>0</v>
      </c>
      <c r="BR532" s="1762"/>
      <c r="BS532" s="1762"/>
      <c r="BT532" s="1763"/>
      <c r="BU532" s="1761">
        <f>SUM(BU531:BX531)</f>
        <v>0</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5</v>
      </c>
      <c r="AQ535" s="1863"/>
      <c r="AR535" s="1863"/>
      <c r="AS535" s="1863"/>
      <c r="AT535" s="1864"/>
      <c r="AU535" s="1862">
        <f>RANK(Y611,$Y$609:$AC$613,0)+COUNTIF($Y$609:$AC$613,Y611)-1</f>
        <v>5</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1</v>
      </c>
      <c r="AQ536" s="1863"/>
      <c r="AR536" s="1863"/>
      <c r="AS536" s="1863"/>
      <c r="AT536" s="1864"/>
      <c r="AU536" s="1862">
        <f>RANK(Y612,$Y$609:$AC$613,0)+COUNTIF($Y$609:$AC$613,Y612)-1</f>
        <v>1</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48">
        <f>SUM(O609:S613)</f>
        <v>43</v>
      </c>
      <c r="AZ541" s="1749"/>
      <c r="CG541"/>
      <c r="CH541" s="1793" t="s">
        <v>776</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48" t="str">
        <f>IF(AY541=BK568,"passed","failed")</f>
        <v>passed</v>
      </c>
      <c r="AT542" s="1753"/>
      <c r="AU542" s="1749"/>
      <c r="AV542" s="151"/>
      <c r="AW542" s="151"/>
      <c r="AX542" s="151"/>
      <c r="AY542" s="151"/>
      <c r="AZ542" s="152"/>
      <c r="CG542"/>
      <c r="CH542" s="1461"/>
      <c r="CI542" s="1462"/>
      <c r="CJ542" s="1462"/>
      <c r="CK542" s="1463"/>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366</v>
      </c>
      <c r="AF543" s="1684"/>
      <c r="AG543" s="1684"/>
      <c r="AH543" s="1684"/>
      <c r="AI543" s="1684"/>
      <c r="AJ543" s="1684"/>
      <c r="AK543" s="1684"/>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61"/>
      <c r="CI543" s="1462"/>
      <c r="CJ543" s="1462"/>
      <c r="CK543" s="1463"/>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717</v>
      </c>
      <c r="BJ544" s="1762"/>
      <c r="BK544" s="1762"/>
      <c r="BL544" s="1763"/>
      <c r="BM544" s="1761" t="s">
        <v>718</v>
      </c>
      <c r="BN544" s="1762"/>
      <c r="BO544" s="1762"/>
      <c r="BP544" s="1763"/>
      <c r="BQ544" s="1761" t="s">
        <v>719</v>
      </c>
      <c r="BR544" s="1762"/>
      <c r="BS544" s="1762"/>
      <c r="BT544" s="1763"/>
      <c r="BU544" s="1761" t="s">
        <v>720</v>
      </c>
      <c r="BV544" s="1762"/>
      <c r="BW544" s="1762"/>
      <c r="BX544" s="1763"/>
      <c r="BY544" s="1761" t="s">
        <v>224</v>
      </c>
      <c r="BZ544" s="1762"/>
      <c r="CA544" s="1762"/>
      <c r="CB544" s="1763"/>
      <c r="CC544"/>
      <c r="CG544"/>
      <c r="CH544" s="1461"/>
      <c r="CI544" s="1462"/>
      <c r="CJ544" s="1462"/>
      <c r="CK544" s="1463"/>
    </row>
    <row r="545" spans="1:89" s="4" customFormat="1" ht="12.75" customHeight="1">
      <c r="A545" s="3"/>
      <c r="B545" s="1874" t="s">
        <v>1721</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614</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612</v>
      </c>
      <c r="AQ546" s="438"/>
      <c r="AR546" s="438"/>
      <c r="AS546" s="438"/>
      <c r="AT546" s="438"/>
      <c r="AU546" s="1783">
        <f>ROUNDUP(BK568*0.1,0)</f>
        <v>5</v>
      </c>
      <c r="AV546" s="1785"/>
      <c r="AW546" s="438"/>
      <c r="AX546" s="438">
        <f>AU546-AP548</f>
        <v>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5</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607</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7"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 customHeight="1">
      <c r="B551" s="1764" t="s">
        <v>1500</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4" t="s">
        <v>1763</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607</v>
      </c>
      <c r="AU554" s="151"/>
      <c r="AV554" s="1748" t="str">
        <f>IF(BJ590&gt;0,"failed","passed")</f>
        <v>passed</v>
      </c>
      <c r="AW554" s="1753"/>
      <c r="AX554" s="1753"/>
      <c r="AY554" s="1749"/>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1501</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1762</v>
      </c>
      <c r="R559" s="1681"/>
      <c r="S559" s="1850" t="s">
        <v>204</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714</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608</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1127</v>
      </c>
      <c r="BA565" s="1794" t="s">
        <v>715</v>
      </c>
      <c r="BB565" s="1795"/>
      <c r="BC565" s="1795"/>
      <c r="BD565" s="1795"/>
      <c r="BE565" s="1796"/>
      <c r="BF565" s="1758">
        <f>SUM(O609:S613)</f>
        <v>43</v>
      </c>
      <c r="BG565" s="1759"/>
      <c r="BH565" s="1759"/>
      <c r="BI565" s="1759"/>
      <c r="BJ565" s="1760"/>
      <c r="BK565" s="1663">
        <f>SUM(T609:X613)</f>
        <v>5</v>
      </c>
      <c r="BL565" s="1664"/>
      <c r="BM565" s="1664"/>
      <c r="BN565" s="1664"/>
      <c r="BO565" s="1665"/>
    </row>
    <row r="566" spans="1:96" s="4" customFormat="1" ht="12.75" customHeight="1">
      <c r="B566" s="35"/>
      <c r="I566" s="1288" t="s">
        <v>1499</v>
      </c>
      <c r="J566" s="1289"/>
      <c r="K566" s="1289"/>
      <c r="L566" s="1289"/>
      <c r="M566" s="1289"/>
      <c r="N566" s="1290"/>
      <c r="O566" s="1659">
        <v>0.5</v>
      </c>
      <c r="P566" s="1660"/>
      <c r="Q566" s="1672"/>
      <c r="R566" s="1673"/>
      <c r="S566" s="1662"/>
      <c r="T566" s="1662"/>
      <c r="U566" s="1694" t="s">
        <v>1503</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8"/>
      <c r="J567" s="1289"/>
      <c r="K567" s="1289"/>
      <c r="L567" s="1289"/>
      <c r="M567" s="1289"/>
      <c r="N567" s="1290"/>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8"/>
      <c r="J568" s="1289"/>
      <c r="K568" s="1289"/>
      <c r="L568" s="1289"/>
      <c r="M568" s="1289"/>
      <c r="N568" s="1290"/>
      <c r="O568" s="1659">
        <v>0.4</v>
      </c>
      <c r="P568" s="1660"/>
      <c r="Q568" s="1661"/>
      <c r="R568" s="1662"/>
      <c r="S568" s="1674" t="s">
        <v>1502</v>
      </c>
      <c r="T568" s="1674"/>
      <c r="U568" s="1676">
        <v>20</v>
      </c>
      <c r="V568" s="1676"/>
      <c r="W568" s="1676">
        <v>30</v>
      </c>
      <c r="X568" s="1676"/>
      <c r="Y568" s="1676"/>
      <c r="Z568" s="1676"/>
      <c r="AA568" s="1676"/>
      <c r="AB568" s="1676"/>
      <c r="AC568" s="1676"/>
      <c r="AD568" s="1676"/>
      <c r="AE568" s="1696"/>
      <c r="AF568" s="1697"/>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43</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59">
        <v>0.35</v>
      </c>
      <c r="P569" s="1660"/>
      <c r="Q569" s="1661"/>
      <c r="R569" s="1662"/>
      <c r="S569" s="1674" t="s">
        <v>1764</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59">
        <v>0.3</v>
      </c>
      <c r="P570" s="1660"/>
      <c r="Q570" s="1661"/>
      <c r="R570" s="1662"/>
      <c r="S570" s="1674" t="s">
        <v>1765</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8"/>
      <c r="J571" s="1289"/>
      <c r="K571" s="1289"/>
      <c r="L571" s="1289"/>
      <c r="M571" s="1289"/>
      <c r="N571" s="1290"/>
      <c r="O571" s="1659">
        <v>0.25</v>
      </c>
      <c r="P571" s="1660"/>
      <c r="Q571" s="1661"/>
      <c r="R571" s="1662"/>
      <c r="S571" s="1674" t="s">
        <v>1766</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6">
        <f t="shared" ref="AU571:AU576" si="1">O608</f>
        <v>0</v>
      </c>
      <c r="AV571" s="1377"/>
      <c r="AW571" s="1377"/>
      <c r="AX571" s="1377"/>
      <c r="AY571" s="1378"/>
      <c r="AZ571" s="1376">
        <f t="shared" ref="AZ571:AZ576" si="2">T608</f>
        <v>0</v>
      </c>
      <c r="BA571" s="1377"/>
      <c r="BB571" s="1377"/>
      <c r="BC571" s="1377"/>
      <c r="BD571" s="1378"/>
      <c r="BE571" s="1750">
        <f t="shared" ref="BE571:BE576" si="3">Y608</f>
        <v>0</v>
      </c>
      <c r="BF571" s="1751"/>
      <c r="BG571" s="1751"/>
      <c r="BH571" s="1751"/>
      <c r="BI571" s="1752"/>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8"/>
      <c r="J572" s="1289"/>
      <c r="K572" s="1289"/>
      <c r="L572" s="1289"/>
      <c r="M572" s="1289"/>
      <c r="N572" s="1290"/>
      <c r="O572" s="1659">
        <v>0.2</v>
      </c>
      <c r="P572" s="1660"/>
      <c r="Q572" s="1661"/>
      <c r="R572" s="1662"/>
      <c r="S572" s="1690" t="s">
        <v>1769</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6">
        <f t="shared" si="1"/>
        <v>0</v>
      </c>
      <c r="AV572" s="1377"/>
      <c r="AW572" s="1377"/>
      <c r="AX572" s="1377"/>
      <c r="AY572" s="1378"/>
      <c r="AZ572" s="1376">
        <f t="shared" si="2"/>
        <v>0</v>
      </c>
      <c r="BA572" s="1377"/>
      <c r="BB572" s="1377"/>
      <c r="BC572" s="1377"/>
      <c r="BD572" s="1378"/>
      <c r="BE572" s="1750">
        <f t="shared" si="3"/>
        <v>0</v>
      </c>
      <c r="BF572" s="1751"/>
      <c r="BG572" s="1751"/>
      <c r="BH572" s="1751"/>
      <c r="BI572" s="1752"/>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8"/>
      <c r="J573" s="1289"/>
      <c r="K573" s="1289"/>
      <c r="L573" s="1289"/>
      <c r="M573" s="1289"/>
      <c r="N573" s="1290"/>
      <c r="O573" s="1659">
        <v>0.15</v>
      </c>
      <c r="P573" s="1660"/>
      <c r="Q573" s="1661"/>
      <c r="R573" s="1662"/>
      <c r="S573" s="1674" t="s">
        <v>1767</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6">
        <f t="shared" si="1"/>
        <v>0</v>
      </c>
      <c r="AV573" s="1377"/>
      <c r="AW573" s="1377"/>
      <c r="AX573" s="1377"/>
      <c r="AY573" s="1378"/>
      <c r="AZ573" s="1376">
        <f t="shared" si="2"/>
        <v>0</v>
      </c>
      <c r="BA573" s="1377"/>
      <c r="BB573" s="1377"/>
      <c r="BC573" s="1377"/>
      <c r="BD573" s="1378"/>
      <c r="BE573" s="1750">
        <f t="shared" si="3"/>
        <v>0</v>
      </c>
      <c r="BF573" s="1751"/>
      <c r="BG573" s="1751"/>
      <c r="BH573" s="1751"/>
      <c r="BI573" s="1752"/>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1"/>
      <c r="J574" s="1292"/>
      <c r="K574" s="1292"/>
      <c r="L574" s="1292"/>
      <c r="M574" s="1292"/>
      <c r="N574" s="1293"/>
      <c r="O574" s="1659">
        <v>0.1</v>
      </c>
      <c r="P574" s="1660"/>
      <c r="Q574" s="1688"/>
      <c r="R574" s="1689"/>
      <c r="S574" s="1674" t="s">
        <v>1768</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6">
        <f t="shared" si="1"/>
        <v>0</v>
      </c>
      <c r="AV574" s="1377"/>
      <c r="AW574" s="1377"/>
      <c r="AX574" s="1377"/>
      <c r="AY574" s="1378"/>
      <c r="AZ574" s="1376">
        <f t="shared" si="2"/>
        <v>0</v>
      </c>
      <c r="BA574" s="1377"/>
      <c r="BB574" s="1377"/>
      <c r="BC574" s="1377"/>
      <c r="BD574" s="1378"/>
      <c r="BE574" s="1750">
        <f t="shared" si="3"/>
        <v>0</v>
      </c>
      <c r="BF574" s="1751"/>
      <c r="BG574" s="1751"/>
      <c r="BH574" s="1751"/>
      <c r="BI574" s="1752"/>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940</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5" t="str">
        <f t="shared" si="0"/>
        <v>1 BR</v>
      </c>
      <c r="AQ575" s="1756"/>
      <c r="AR575" s="1756"/>
      <c r="AS575" s="1756"/>
      <c r="AT575" s="1757"/>
      <c r="AU575" s="1376">
        <f t="shared" si="1"/>
        <v>43</v>
      </c>
      <c r="AV575" s="1377"/>
      <c r="AW575" s="1377"/>
      <c r="AX575" s="1377"/>
      <c r="AY575" s="1378"/>
      <c r="AZ575" s="1376">
        <f t="shared" si="2"/>
        <v>5</v>
      </c>
      <c r="BA575" s="1377"/>
      <c r="BB575" s="1377"/>
      <c r="BC575" s="1377"/>
      <c r="BD575" s="1378"/>
      <c r="BE575" s="1750">
        <f t="shared" si="3"/>
        <v>0.11627906976744186</v>
      </c>
      <c r="BF575" s="1751"/>
      <c r="BG575" s="1751"/>
      <c r="BH575" s="1751"/>
      <c r="BI575" s="1752"/>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5"/>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6"/>
      <c r="AN576" s="281"/>
      <c r="AP576" s="1755" t="str">
        <f t="shared" si="0"/>
        <v>SRO</v>
      </c>
      <c r="AQ576" s="1756"/>
      <c r="AR576" s="1756"/>
      <c r="AS576" s="1756"/>
      <c r="AT576" s="1757"/>
      <c r="AU576" s="1376">
        <f t="shared" si="1"/>
        <v>0</v>
      </c>
      <c r="AV576" s="1377"/>
      <c r="AW576" s="1377"/>
      <c r="AX576" s="1377"/>
      <c r="AY576" s="1378"/>
      <c r="AZ576" s="1376">
        <f t="shared" si="2"/>
        <v>0</v>
      </c>
      <c r="BA576" s="1377"/>
      <c r="BB576" s="1377"/>
      <c r="BC576" s="1377"/>
      <c r="BD576" s="1378"/>
      <c r="BE576" s="1750">
        <f t="shared" si="3"/>
        <v>0</v>
      </c>
      <c r="BF576" s="1751"/>
      <c r="BG576" s="1751"/>
      <c r="BH576" s="1751"/>
      <c r="BI576" s="1752"/>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5" t="s">
        <v>1509</v>
      </c>
      <c r="F577" s="1886"/>
      <c r="G577" s="1886"/>
      <c r="H577" s="1886"/>
      <c r="I577" s="1886"/>
      <c r="J577" s="1887"/>
      <c r="K577" s="1885" t="s">
        <v>1760</v>
      </c>
      <c r="L577" s="1886"/>
      <c r="M577" s="1886"/>
      <c r="N577" s="1886"/>
      <c r="O577" s="1886"/>
      <c r="P577" s="1887"/>
      <c r="Q577" s="1285" t="s">
        <v>1505</v>
      </c>
      <c r="R577" s="1286"/>
      <c r="S577" s="1286"/>
      <c r="T577" s="1286"/>
      <c r="U577" s="1286"/>
      <c r="V577" s="1287"/>
      <c r="W577" s="1285" t="str">
        <f>I566</f>
        <v>Percent of Low-Income Units (exclusive of manager’s units)</v>
      </c>
      <c r="X577" s="1286"/>
      <c r="Y577" s="1286"/>
      <c r="Z577" s="1286"/>
      <c r="AA577" s="1286"/>
      <c r="AB577" s="1287"/>
      <c r="AC577" s="1285" t="s">
        <v>1508</v>
      </c>
      <c r="AD577" s="1286"/>
      <c r="AE577" s="1286"/>
      <c r="AF577" s="1286"/>
      <c r="AG577" s="1286"/>
      <c r="AH577" s="1287"/>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8"/>
      <c r="F578" s="1889"/>
      <c r="G578" s="1889"/>
      <c r="H578" s="1889"/>
      <c r="I578" s="1889"/>
      <c r="J578" s="1890"/>
      <c r="K578" s="1888"/>
      <c r="L578" s="1889"/>
      <c r="M578" s="1889"/>
      <c r="N578" s="1889"/>
      <c r="O578" s="1889"/>
      <c r="P578" s="1890"/>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88"/>
      <c r="F579" s="1889"/>
      <c r="G579" s="1889"/>
      <c r="H579" s="1889"/>
      <c r="I579" s="1889"/>
      <c r="J579" s="1890"/>
      <c r="K579" s="1888"/>
      <c r="L579" s="1889"/>
      <c r="M579" s="1889"/>
      <c r="N579" s="1889"/>
      <c r="O579" s="1889"/>
      <c r="P579" s="1890"/>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88"/>
      <c r="F580" s="1889"/>
      <c r="G580" s="1889"/>
      <c r="H580" s="1889"/>
      <c r="I580" s="1889"/>
      <c r="J580" s="1890"/>
      <c r="K580" s="1888"/>
      <c r="L580" s="1889"/>
      <c r="M580" s="1889"/>
      <c r="N580" s="1889"/>
      <c r="O580" s="1889"/>
      <c r="P580" s="1890"/>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1128</v>
      </c>
      <c r="BH580" s="3" t="s">
        <v>1129</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795</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5</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11.627906976744185</v>
      </c>
      <c r="R582" s="1667"/>
      <c r="S582" s="1667"/>
      <c r="T582" s="1667"/>
      <c r="U582" s="1667"/>
      <c r="V582" s="1668"/>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3">
        <f t="shared" si="5"/>
        <v>0</v>
      </c>
      <c r="AQ582" s="1664"/>
      <c r="AR582" s="1664"/>
      <c r="AS582" s="1664"/>
      <c r="AT582" s="1665"/>
      <c r="AX582" s="1771" t="s">
        <v>617</v>
      </c>
      <c r="AY582" s="1772"/>
      <c r="AZ582" s="1076" t="s">
        <v>617</v>
      </c>
      <c r="BA582" s="1077"/>
      <c r="BB582" s="1771" t="s">
        <v>265</v>
      </c>
      <c r="BC582" s="1772"/>
      <c r="BD582" s="1761" t="s">
        <v>265</v>
      </c>
      <c r="BE582" s="1763"/>
      <c r="BF582" s="1771" t="s">
        <v>264</v>
      </c>
      <c r="BG582" s="1772"/>
      <c r="BH582" s="1761" t="s">
        <v>264</v>
      </c>
      <c r="BI582" s="1763"/>
      <c r="BJ582" s="1771" t="s">
        <v>263</v>
      </c>
      <c r="BK582" s="1772"/>
      <c r="BL582" s="1761" t="s">
        <v>263</v>
      </c>
      <c r="BM582" s="1763"/>
      <c r="BN582" s="1771" t="s">
        <v>616</v>
      </c>
      <c r="BO582" s="1772"/>
      <c r="BP582" s="1761" t="s">
        <v>616</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v>5</v>
      </c>
      <c r="F585" s="1648"/>
      <c r="G585" s="1648"/>
      <c r="H585" s="1648"/>
      <c r="I585" s="1648"/>
      <c r="J585" s="1649"/>
      <c r="K585" s="1663">
        <v>45</v>
      </c>
      <c r="L585" s="1664"/>
      <c r="M585" s="1664"/>
      <c r="N585" s="1664"/>
      <c r="O585" s="1664"/>
      <c r="P585" s="1665"/>
      <c r="Q585" s="1666">
        <f t="shared" si="6"/>
        <v>11.627906976744185</v>
      </c>
      <c r="R585" s="1667"/>
      <c r="S585" s="1667"/>
      <c r="T585" s="1667"/>
      <c r="U585" s="1667"/>
      <c r="V585" s="1668"/>
      <c r="W585" s="1669">
        <f>IF(FLOOR(Q585,5)&gt;65,65,FLOOR(Q585,5))</f>
        <v>10</v>
      </c>
      <c r="X585" s="1670"/>
      <c r="Y585" s="1670"/>
      <c r="Z585" s="1670"/>
      <c r="AA585" s="1670"/>
      <c r="AB585" s="1671"/>
      <c r="AC585" s="1669">
        <f t="shared" si="4"/>
        <v>7.5</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0</v>
      </c>
      <c r="BM585" s="1763"/>
      <c r="BN585" s="1769"/>
      <c r="BO585" s="1770"/>
      <c r="BP585" s="1761">
        <f>IF(AND(T611&gt;0,AP535&gt;0),1,0)</f>
        <v>0</v>
      </c>
      <c r="BQ585" s="1763"/>
    </row>
    <row r="586" spans="5:96" s="4" customFormat="1" ht="12.75" customHeight="1">
      <c r="E586" s="1647"/>
      <c r="F586" s="1648"/>
      <c r="G586" s="1648"/>
      <c r="H586" s="1648"/>
      <c r="I586" s="1648"/>
      <c r="J586" s="1649"/>
      <c r="K586" s="1663" t="str">
        <f>IF(OR(Application!D211="Rural",Application!D211="Rural apportionment (Section 514)",Application!D211="Rural apportionment (Section 515)",Application!D211="Rural apportionment (HOME)",Application!D211="Rural (Native American apportionment)"),"",50)</f>
        <v/>
      </c>
      <c r="L586" s="1664"/>
      <c r="M586" s="1664"/>
      <c r="N586" s="1664"/>
      <c r="O586" s="1664"/>
      <c r="P586" s="1665"/>
      <c r="Q586" s="1666">
        <f t="shared" si="6"/>
        <v>0</v>
      </c>
      <c r="R586" s="1667"/>
      <c r="S586" s="1667"/>
      <c r="T586" s="1667"/>
      <c r="U586" s="1667"/>
      <c r="V586" s="1668"/>
      <c r="W586" s="1669">
        <f>IF(FLOOR(Q586,5)&gt;40,40,FLOOR(Q586,5))</f>
        <v>0</v>
      </c>
      <c r="X586" s="1670"/>
      <c r="Y586" s="1670"/>
      <c r="Z586" s="1670"/>
      <c r="AA586" s="1670"/>
      <c r="AB586" s="1671"/>
      <c r="AC586" s="1669">
        <f t="shared" si="4"/>
        <v>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v>22</v>
      </c>
      <c r="F587" s="1741"/>
      <c r="G587" s="1741"/>
      <c r="H587" s="1741"/>
      <c r="I587" s="1741"/>
      <c r="J587" s="1742"/>
      <c r="K587" s="1736">
        <f>IF(OR(Application!D211="Rural",Application!D211="Rural apportionment (Section 514)",Application!D211="Rural apportionment (Section 515)",Application!D211="Rural apportionment (HOME)",Application!D211="Rural apportionment (CDBG-DR)",Application!D211="Rural (Native American apportionment)"),50,"")</f>
        <v>50</v>
      </c>
      <c r="L587" s="1737"/>
      <c r="M587" s="1738" t="s">
        <v>2431</v>
      </c>
      <c r="N587" s="1738"/>
      <c r="O587" s="1738"/>
      <c r="P587" s="1739"/>
      <c r="Q587" s="1666">
        <f t="shared" si="6"/>
        <v>51.162790697674424</v>
      </c>
      <c r="R587" s="1667"/>
      <c r="S587" s="1667"/>
      <c r="T587" s="1667"/>
      <c r="U587" s="1667"/>
      <c r="V587" s="1668"/>
      <c r="W587" s="1669">
        <f>IF(FLOOR(Q587,5)&gt;50,50,FLOOR(Q587,5))</f>
        <v>50</v>
      </c>
      <c r="X587" s="1670"/>
      <c r="Y587" s="1670"/>
      <c r="Z587" s="1670"/>
      <c r="AA587" s="1670"/>
      <c r="AB587" s="1671"/>
      <c r="AC587" s="1669">
        <f>IFERROR(IF(W587&gt;0,INDEX($AT$507:$BA$521,MATCH(W587,$AS$507:$AS$521,0),MATCH(K587,$AT$506:$BA$506,0)),0),0)</f>
        <v>25</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v>5</v>
      </c>
      <c r="F588" s="1741"/>
      <c r="G588" s="1741"/>
      <c r="H588" s="1741"/>
      <c r="I588" s="1741"/>
      <c r="J588" s="1742"/>
      <c r="K588" s="1736">
        <f>IF(OR(Application!D211="Rural",Application!D211="Rural apportionment (Section 514)",Application!D211="Rural apportionment (Section 515)",Application!D211="Rural apportionment (HOME)",Application!D211="Rural apportionment (CDBG-DR)",Application!D211="Rural (Native American apportionment)"),55,"")</f>
        <v>55</v>
      </c>
      <c r="L588" s="1737"/>
      <c r="M588" s="1738" t="s">
        <v>2431</v>
      </c>
      <c r="N588" s="1738"/>
      <c r="O588" s="1738"/>
      <c r="P588" s="1739"/>
      <c r="Q588" s="1666">
        <f t="shared" si="6"/>
        <v>11.627906976744185</v>
      </c>
      <c r="R588" s="1667"/>
      <c r="S588" s="1667"/>
      <c r="T588" s="1667"/>
      <c r="U588" s="1667"/>
      <c r="V588" s="1668"/>
      <c r="W588" s="1669">
        <f>IF(FLOOR(Q588,5)&gt;40,40,FLOOR(Q588,5))</f>
        <v>10</v>
      </c>
      <c r="X588" s="1670"/>
      <c r="Y588" s="1670"/>
      <c r="Z588" s="1670"/>
      <c r="AA588" s="1670"/>
      <c r="AB588" s="1671"/>
      <c r="AC588" s="1669">
        <f>IFERROR(IF(W588&gt;0,INDEX($AT$507:$BA$521,MATCH(W588,$AS$507:$AS$521,0),MATCH(K588,$AT$506:$BA$506,0)),0),0)</f>
        <v>2.5</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0</v>
      </c>
      <c r="BM588" s="1763"/>
      <c r="BN588" s="1771">
        <f>SUM(BN583:BO587)</f>
        <v>0</v>
      </c>
      <c r="BO588" s="1772"/>
      <c r="BP588" s="1761">
        <f>SUM(BP583:BQ587)</f>
        <v>1</v>
      </c>
      <c r="BQ588" s="1763"/>
    </row>
    <row r="589" spans="5:96" s="4" customFormat="1" ht="12.75" customHeight="1">
      <c r="E589" s="1647">
        <v>6</v>
      </c>
      <c r="F589" s="1648"/>
      <c r="G589" s="1648"/>
      <c r="H589" s="1648"/>
      <c r="I589" s="1648"/>
      <c r="J589" s="1649"/>
      <c r="K589" s="1663" t="s">
        <v>2132</v>
      </c>
      <c r="L589" s="1664"/>
      <c r="M589" s="1664"/>
      <c r="N589" s="1664"/>
      <c r="O589" s="1664"/>
      <c r="P589" s="1665"/>
      <c r="Q589" s="1666">
        <f t="shared" si="6"/>
        <v>13.953488372093023</v>
      </c>
      <c r="R589" s="1667"/>
      <c r="S589" s="1667"/>
      <c r="T589" s="1667"/>
      <c r="U589" s="1667"/>
      <c r="V589" s="1668"/>
      <c r="W589" s="1669">
        <f t="shared" si="7"/>
        <v>10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2133</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611</v>
      </c>
      <c r="BJ590" s="1766">
        <f>AX589+BB589+BF589+BJ589+BN589</f>
        <v>0</v>
      </c>
      <c r="BK590" s="1767"/>
      <c r="BL590" s="1767"/>
      <c r="BM590" s="1768"/>
      <c r="BN590"/>
      <c r="BO590"/>
      <c r="BP590"/>
      <c r="BQ590"/>
    </row>
    <row r="591" spans="5:96" s="4" customFormat="1" ht="12.75" customHeight="1">
      <c r="E591" s="1647"/>
      <c r="F591" s="1648"/>
      <c r="G591" s="1648"/>
      <c r="H591" s="1648"/>
      <c r="I591" s="1648"/>
      <c r="J591" s="1649"/>
      <c r="K591" s="1663" t="s">
        <v>2134</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610</v>
      </c>
      <c r="BK591"/>
      <c r="BL591"/>
      <c r="BM591"/>
      <c r="BN591"/>
      <c r="BO591"/>
      <c r="BP591"/>
      <c r="BQ591"/>
    </row>
    <row r="592" spans="5:96" s="4" customFormat="1" ht="12.75" customHeight="1">
      <c r="E592" s="1715">
        <f>SUM(E581:J591)</f>
        <v>43</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606</v>
      </c>
      <c r="AC592" s="1847">
        <f>IF(SUM(AC581:AH591)&gt;0,SUM(AC581:AH591),0)</f>
        <v>50</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2" t="s">
        <v>103</v>
      </c>
      <c r="AH596" s="1692"/>
      <c r="AI596" s="1692"/>
      <c r="AJ596" s="1692"/>
      <c r="AK596" s="5"/>
      <c r="AL596" s="5"/>
      <c r="AM596" s="5"/>
      <c r="AN596" s="281"/>
    </row>
    <row r="597" spans="1:64" s="4" customFormat="1" ht="12.75" customHeight="1">
      <c r="B597" s="1874" t="s">
        <v>2122</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796</v>
      </c>
      <c r="K604" s="1809"/>
      <c r="L604" s="1809"/>
      <c r="M604" s="1809"/>
      <c r="N604" s="1810"/>
      <c r="O604" s="1285" t="s">
        <v>1506</v>
      </c>
      <c r="P604" s="1286"/>
      <c r="Q604" s="1286"/>
      <c r="R604" s="1286"/>
      <c r="S604" s="1287"/>
      <c r="T604" s="1285" t="s">
        <v>1770</v>
      </c>
      <c r="U604" s="1286"/>
      <c r="V604" s="1286"/>
      <c r="W604" s="1286"/>
      <c r="X604" s="1287"/>
      <c r="Y604" s="1285" t="s">
        <v>1507</v>
      </c>
      <c r="Z604" s="1286"/>
      <c r="AA604" s="1286"/>
      <c r="AB604" s="1286"/>
      <c r="AC604" s="1287"/>
      <c r="AF604"/>
      <c r="AG604"/>
      <c r="AH604"/>
      <c r="AI604"/>
      <c r="AJ604"/>
    </row>
    <row r="605" spans="1:64">
      <c r="D605"/>
      <c r="E605"/>
      <c r="F605"/>
      <c r="G605"/>
      <c r="H605"/>
      <c r="I605"/>
      <c r="J605" s="1811"/>
      <c r="K605" s="1812"/>
      <c r="L605" s="1812"/>
      <c r="M605" s="1812"/>
      <c r="N605" s="1813"/>
      <c r="O605" s="1288"/>
      <c r="P605" s="1289"/>
      <c r="Q605" s="1289"/>
      <c r="R605" s="1289"/>
      <c r="S605" s="1290"/>
      <c r="T605" s="1288"/>
      <c r="U605" s="1289"/>
      <c r="V605" s="1289"/>
      <c r="W605" s="1289"/>
      <c r="X605" s="1290"/>
      <c r="Y605" s="1288"/>
      <c r="Z605" s="1289"/>
      <c r="AA605" s="1289"/>
      <c r="AB605" s="1289"/>
      <c r="AC605" s="1290"/>
      <c r="AF605"/>
      <c r="AG605"/>
      <c r="AH605"/>
      <c r="AI605"/>
      <c r="AJ605"/>
      <c r="AO605" s="38" t="s">
        <v>2232</v>
      </c>
      <c r="AR605" s="21" t="b">
        <f>$Y$614&gt;=10%</f>
        <v>1</v>
      </c>
    </row>
    <row r="606" spans="1:64">
      <c r="I606"/>
      <c r="J606" s="1811"/>
      <c r="K606" s="1812"/>
      <c r="L606" s="1812"/>
      <c r="M606" s="1812"/>
      <c r="N606" s="1813"/>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2233</v>
      </c>
      <c r="AR606" s="955">
        <f>ROUNDUP(($O$614*10%),0)</f>
        <v>5</v>
      </c>
    </row>
    <row r="607" spans="1:64">
      <c r="D607"/>
      <c r="E607"/>
      <c r="F607"/>
      <c r="G607"/>
      <c r="H607"/>
      <c r="I607"/>
      <c r="J607" s="1811"/>
      <c r="K607" s="1812"/>
      <c r="L607" s="1812"/>
      <c r="M607" s="1812"/>
      <c r="N607" s="1813"/>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2234</v>
      </c>
      <c r="AR607" s="21" t="s">
        <v>2235</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264</v>
      </c>
      <c r="K611" s="1725"/>
      <c r="L611" s="1725"/>
      <c r="M611" s="1725"/>
      <c r="N611" s="1726"/>
      <c r="O611" s="1663">
        <f>Application!BX626</f>
        <v>0</v>
      </c>
      <c r="P611" s="1664"/>
      <c r="Q611" s="1664"/>
      <c r="R611" s="1664"/>
      <c r="S611" s="1665"/>
      <c r="T611" s="1663">
        <f>Application!DC627</f>
        <v>0</v>
      </c>
      <c r="U611" s="1664"/>
      <c r="V611" s="1664"/>
      <c r="W611" s="1664"/>
      <c r="X611" s="1665"/>
      <c r="Y611" s="1727">
        <f t="shared" si="8"/>
        <v>0</v>
      </c>
      <c r="Z611" s="1728"/>
      <c r="AA611" s="1728"/>
      <c r="AB611" s="1728"/>
      <c r="AC611" s="1729"/>
      <c r="AD611"/>
      <c r="AF611"/>
      <c r="AG611"/>
      <c r="AH611"/>
      <c r="AI611"/>
      <c r="AJ611"/>
      <c r="AO611" s="955">
        <f t="shared" si="9"/>
        <v>0</v>
      </c>
      <c r="AP611" s="206"/>
      <c r="AR611" s="956" t="b">
        <f>OR(SUM($T$608:T611)&gt;=$AR$606,T611&gt;=AO611)</f>
        <v>1</v>
      </c>
    </row>
    <row r="612" spans="1:60">
      <c r="D612"/>
      <c r="E612"/>
      <c r="F612"/>
      <c r="G612"/>
      <c r="H612"/>
      <c r="I612"/>
      <c r="J612" s="1724" t="s">
        <v>263</v>
      </c>
      <c r="K612" s="1725"/>
      <c r="L612" s="1725"/>
      <c r="M612" s="1725"/>
      <c r="N612" s="1726"/>
      <c r="O612" s="1663">
        <f>Application!BS626</f>
        <v>43</v>
      </c>
      <c r="P612" s="1664"/>
      <c r="Q612" s="1664"/>
      <c r="R612" s="1664"/>
      <c r="S612" s="1665"/>
      <c r="T612" s="1663">
        <f>Application!CX627</f>
        <v>5</v>
      </c>
      <c r="U612" s="1664"/>
      <c r="V612" s="1664"/>
      <c r="W612" s="1664"/>
      <c r="X612" s="1665"/>
      <c r="Y612" s="1727">
        <f t="shared" si="8"/>
        <v>0.11627906976744186</v>
      </c>
      <c r="Z612" s="1728"/>
      <c r="AA612" s="1728"/>
      <c r="AB612" s="1728"/>
      <c r="AC612" s="1729"/>
      <c r="AD612"/>
      <c r="AF612"/>
      <c r="AG612"/>
      <c r="AH612"/>
      <c r="AI612"/>
      <c r="AJ612"/>
      <c r="AO612" s="955">
        <f t="shared" si="9"/>
        <v>5</v>
      </c>
      <c r="AP612" s="206"/>
      <c r="AR612" s="956" t="b">
        <f>OR(SUM($T$608:T612)&gt;=$AR$606,T612&gt;=AO612)</f>
        <v>1</v>
      </c>
    </row>
    <row r="613" spans="1:60">
      <c r="D613"/>
      <c r="E613"/>
      <c r="F613"/>
      <c r="G613"/>
      <c r="H613"/>
      <c r="I613"/>
      <c r="J613" s="1724" t="s">
        <v>616</v>
      </c>
      <c r="K613" s="1725"/>
      <c r="L613" s="1725"/>
      <c r="M613" s="1725"/>
      <c r="N613" s="1726"/>
      <c r="O613" s="1663">
        <f>Application!BN626</f>
        <v>0</v>
      </c>
      <c r="P613" s="1664"/>
      <c r="Q613" s="1664"/>
      <c r="R613" s="1664"/>
      <c r="S613" s="1665"/>
      <c r="T613" s="1663">
        <f>Application!CS627</f>
        <v>0</v>
      </c>
      <c r="U613" s="1664"/>
      <c r="V613" s="1664"/>
      <c r="W613" s="1664"/>
      <c r="X613" s="1665"/>
      <c r="Y613" s="1727">
        <f>IF(T613&gt;0,T613/O613,0)</f>
        <v>0</v>
      </c>
      <c r="Z613" s="1728"/>
      <c r="AA613" s="1728"/>
      <c r="AB613" s="1728"/>
      <c r="AC613" s="1729"/>
      <c r="AD613"/>
      <c r="AF613"/>
      <c r="AG613"/>
      <c r="AH613"/>
      <c r="AI613"/>
      <c r="AJ613"/>
      <c r="AO613" s="955">
        <f t="shared" si="9"/>
        <v>0</v>
      </c>
      <c r="AP613" s="206"/>
      <c r="AR613" s="956" t="b">
        <f>OR(SUM($T$608:T613)&gt;=$AR$606,T613&gt;=AO613)</f>
        <v>1</v>
      </c>
    </row>
    <row r="614" spans="1:60">
      <c r="D614"/>
      <c r="E614"/>
      <c r="F614"/>
      <c r="G614"/>
      <c r="H614"/>
      <c r="I614"/>
      <c r="J614" s="1563" t="s">
        <v>877</v>
      </c>
      <c r="K614" s="1564"/>
      <c r="L614" s="1564"/>
      <c r="M614" s="1564"/>
      <c r="N614" s="1565"/>
      <c r="O614" s="1815">
        <f>SUM(O608:S613)</f>
        <v>43</v>
      </c>
      <c r="P614" s="1816"/>
      <c r="Q614" s="1816"/>
      <c r="R614" s="1816"/>
      <c r="S614" s="1817"/>
      <c r="T614" s="1815">
        <f>SUM(T608:X613)</f>
        <v>5</v>
      </c>
      <c r="U614" s="1816"/>
      <c r="V614" s="1816"/>
      <c r="W614" s="1816"/>
      <c r="X614" s="1817"/>
      <c r="Y614" s="1805">
        <f>IF(T614&gt;0,T614/O614,0)</f>
        <v>0.11627906976744186</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1510</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70">
        <f>IF($E$592=Application!G730,$AC$592+$AJ$617,0)</f>
        <v>52</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6" t="s">
        <v>1511</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50" t="s">
        <v>2225</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1" t="s">
        <v>939</v>
      </c>
      <c r="AH627" s="1011"/>
      <c r="AI627" s="1011"/>
      <c r="AJ627" s="1011"/>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6" t="s">
        <v>2230</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124</v>
      </c>
      <c r="D650" s="1117"/>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124</v>
      </c>
      <c r="D655" s="1117"/>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108</v>
      </c>
      <c r="D659" s="1117"/>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6" t="s">
        <v>2216</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723</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1945</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1946</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654</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c r="A700" s="616"/>
      <c r="B700" s="615"/>
      <c r="C700" s="615"/>
      <c r="D700" s="306" t="s">
        <v>429</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1469</v>
      </c>
      <c r="E703" s="1721" t="s">
        <v>294</v>
      </c>
      <c r="F703" s="1721"/>
      <c r="G703" s="1721"/>
      <c r="H703" s="1721"/>
      <c r="I703" s="1721"/>
      <c r="J703" s="1721"/>
      <c r="K703" s="1721"/>
      <c r="L703" s="1721"/>
      <c r="M703" s="1721"/>
      <c r="N703" s="1721"/>
      <c r="O703" s="1721"/>
      <c r="P703" s="1721"/>
      <c r="Q703" s="1721"/>
      <c r="R703" s="1721"/>
      <c r="S703" s="1722"/>
      <c r="T703" s="1723">
        <f>AK283</f>
        <v>23</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c r="A704" s="617"/>
      <c r="B704" s="90"/>
      <c r="C704" s="90"/>
      <c r="D704" s="618" t="s">
        <v>1470</v>
      </c>
      <c r="E704" s="1721" t="s">
        <v>295</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idden="1">
      <c r="A705" s="594" t="s">
        <v>122</v>
      </c>
      <c r="B705" s="1719" t="s">
        <v>541</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8"/>
      <c r="AA705" s="1228"/>
      <c r="AB705" s="1228"/>
      <c r="AC705" s="1228"/>
      <c r="AD705" s="1228"/>
      <c r="AE705" s="1228"/>
      <c r="AF705" s="1228"/>
      <c r="AG705" s="1228"/>
      <c r="AH705" s="1228"/>
      <c r="AI705" s="1228"/>
      <c r="AJ705" s="1228"/>
      <c r="AK705" s="1228"/>
      <c r="AL705" s="778"/>
      <c r="AM705" s="20"/>
    </row>
    <row r="706" spans="1:39">
      <c r="A706" s="594" t="s">
        <v>122</v>
      </c>
      <c r="B706" s="1719" t="s">
        <v>542</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c r="A707" s="619"/>
      <c r="B707" s="621"/>
      <c r="C707" s="621"/>
      <c r="D707" s="622" t="s">
        <v>2221</v>
      </c>
      <c r="E707" s="1721" t="s">
        <v>183</v>
      </c>
      <c r="F707" s="1721"/>
      <c r="G707" s="1721"/>
      <c r="H707" s="1721"/>
      <c r="I707" s="1721"/>
      <c r="J707" s="1721"/>
      <c r="K707" s="1721"/>
      <c r="L707" s="1721"/>
      <c r="M707" s="1721"/>
      <c r="N707" s="1721"/>
      <c r="O707" s="1721"/>
      <c r="P707" s="1721"/>
      <c r="Q707" s="1721"/>
      <c r="R707" s="1721"/>
      <c r="S707" s="1722"/>
      <c r="T707" s="1744">
        <f>AC592</f>
        <v>50</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c r="A708" s="623"/>
      <c r="B708" s="615"/>
      <c r="C708" s="615"/>
      <c r="D708" s="306" t="s">
        <v>2222</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70">
        <v>2</v>
      </c>
      <c r="AA708" s="1071"/>
      <c r="AB708" s="1071"/>
      <c r="AC708" s="1071"/>
      <c r="AD708" s="1071"/>
      <c r="AE708" s="1073"/>
      <c r="AF708" s="1839"/>
      <c r="AG708" s="1840"/>
      <c r="AH708" s="1840"/>
      <c r="AI708" s="1840"/>
      <c r="AJ708" s="1840"/>
      <c r="AK708" s="1841"/>
      <c r="AL708" s="778"/>
      <c r="AM708" s="4"/>
    </row>
    <row r="709" spans="1:39">
      <c r="A709" s="619" t="s">
        <v>123</v>
      </c>
      <c r="B709" s="1719" t="s">
        <v>543</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8">
        <v>10</v>
      </c>
      <c r="AA709" s="1228"/>
      <c r="AB709" s="1228"/>
      <c r="AC709" s="1228"/>
      <c r="AD709" s="1228"/>
      <c r="AE709" s="1228"/>
      <c r="AF709" s="1424">
        <f>IF(T709&gt;Z709,Z709,T709)</f>
        <v>10</v>
      </c>
      <c r="AG709" s="1425"/>
      <c r="AH709" s="1425"/>
      <c r="AI709" s="1425"/>
      <c r="AJ709" s="1425"/>
      <c r="AK709" s="1426"/>
      <c r="AL709" s="778"/>
      <c r="AM709" s="20"/>
    </row>
    <row r="710" spans="1:39">
      <c r="A710" s="619" t="s">
        <v>125</v>
      </c>
      <c r="B710" s="1719" t="s">
        <v>986</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4">
        <v>2</v>
      </c>
      <c r="AA710" s="1425"/>
      <c r="AB710" s="1425"/>
      <c r="AC710" s="1425"/>
      <c r="AD710" s="1425"/>
      <c r="AE710" s="1426"/>
      <c r="AF710" s="1424">
        <f>IF(T710&gt;Z710,Z710,T710)</f>
        <v>2</v>
      </c>
      <c r="AG710" s="1837"/>
      <c r="AH710" s="1837"/>
      <c r="AI710" s="1837"/>
      <c r="AJ710" s="1837"/>
      <c r="AK710" s="1838"/>
      <c r="AL710" s="3"/>
      <c r="AM710" s="20"/>
    </row>
    <row r="711" spans="1:39">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8"/>
      <c r="U711" s="1468"/>
      <c r="V711" s="1468"/>
      <c r="W711" s="1468"/>
      <c r="X711" s="1468"/>
      <c r="Y711" s="1468"/>
      <c r="Z711" s="1747" t="s">
        <v>296</v>
      </c>
      <c r="AA711" s="1747"/>
      <c r="AB711" s="1747"/>
      <c r="AC711" s="1747"/>
      <c r="AD711" s="1747"/>
      <c r="AE711" s="1747"/>
      <c r="AF711" s="1424">
        <f>IF(T711&gt;0,T711,0)</f>
        <v>0</v>
      </c>
      <c r="AG711" s="1425"/>
      <c r="AH711" s="1425"/>
      <c r="AI711" s="1425"/>
      <c r="AJ711" s="1425"/>
      <c r="AK711" s="1426"/>
      <c r="AL711" s="18"/>
      <c r="AM711" s="20"/>
    </row>
    <row r="712" spans="1:39" ht="15.75">
      <c r="A712" s="1730" t="s">
        <v>722</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4"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4"/>
    </row>
    <row r="715" spans="1:39" ht="12.4"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4"/>
    </row>
    <row r="716" spans="1:39" ht="12.4"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4"/>
    </row>
    <row r="717" spans="1:39" ht="12.4"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4"/>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4"/>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4"/>
    </row>
    <row r="720" spans="1:39"/>
  </sheetData>
  <sheetProtection algorithmName="SHA-512" hashValue="GjRr03RHGvjI1ssxA9Gd6mo48vNs5nnU6am2Ad/duFtNNMsOPCMpfoOz/zDpY2hdKLrl9EfPz6XbqdvEzcCrLg==" saltValue="Y5Un7T2pB3aqu3CnkYMNe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3" t="s">
        <v>2038</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898"/>
      <c r="B3" s="898"/>
      <c r="I3" s="899"/>
      <c r="K3" s="900"/>
    </row>
    <row r="4" spans="1:57" ht="14.25" customHeight="1">
      <c r="A4" s="1902" t="s">
        <v>2039</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8"/>
      <c r="B5" s="898"/>
      <c r="I5" s="899"/>
      <c r="K5" s="900"/>
    </row>
    <row r="6" spans="1:57">
      <c r="A6" s="898"/>
      <c r="B6" s="898"/>
      <c r="D6" s="896" t="s">
        <v>2042</v>
      </c>
      <c r="I6" s="899"/>
      <c r="K6" s="900"/>
      <c r="U6" s="1901"/>
      <c r="V6" s="1901"/>
      <c r="W6" s="1901"/>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09"/>
      <c r="Q9" s="1909"/>
      <c r="R9" s="1909"/>
      <c r="S9" s="1909"/>
      <c r="T9" s="1909"/>
    </row>
    <row r="10" spans="1:57">
      <c r="A10" s="898"/>
      <c r="B10" s="898"/>
      <c r="I10" s="899"/>
      <c r="K10" s="900"/>
    </row>
    <row r="11" spans="1:57">
      <c r="A11" s="1902" t="s">
        <v>2045</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c r="A12" s="898"/>
      <c r="B12" s="898"/>
      <c r="I12" s="899"/>
      <c r="K12" s="900"/>
      <c r="BC12" s="896" t="s">
        <v>483</v>
      </c>
    </row>
    <row r="13" spans="1:57">
      <c r="A13" s="898"/>
      <c r="B13" s="898"/>
      <c r="D13" s="896" t="s">
        <v>2046</v>
      </c>
      <c r="I13" s="899"/>
      <c r="K13" s="900"/>
      <c r="T13" s="1901"/>
      <c r="U13" s="1901"/>
      <c r="V13" s="1901"/>
    </row>
    <row r="14" spans="1:57">
      <c r="A14" s="898"/>
      <c r="B14" s="898"/>
      <c r="E14" s="896" t="s">
        <v>2053</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736963</v>
      </c>
    </row>
    <row r="16" spans="1:57">
      <c r="A16" s="898"/>
      <c r="B16" s="898"/>
      <c r="BC16" s="896" t="s">
        <v>2057</v>
      </c>
      <c r="BE16" s="896">
        <f>'Basis &amp; Credits'!T11+'Basis &amp; Credits'!AD11</f>
        <v>9369142</v>
      </c>
    </row>
    <row r="17" spans="1:43">
      <c r="A17" s="898"/>
      <c r="B17" s="898"/>
      <c r="D17" s="896" t="s">
        <v>2048</v>
      </c>
      <c r="I17" s="899"/>
      <c r="K17" s="900"/>
      <c r="U17" s="1908" t="str">
        <f>IF(T13="yes",(BE15/BE16)," ")</f>
        <v xml:space="preserve"> </v>
      </c>
      <c r="V17" s="1908"/>
      <c r="W17" s="1908"/>
      <c r="X17" s="1908"/>
      <c r="Y17" s="1908"/>
    </row>
    <row r="18" spans="1:43">
      <c r="A18" s="898"/>
      <c r="B18" s="898"/>
      <c r="I18" s="899"/>
      <c r="K18" s="900"/>
    </row>
    <row r="19" spans="1:43">
      <c r="A19" s="1902" t="s">
        <v>2050</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8"/>
      <c r="D20" s="898"/>
      <c r="K20" s="899"/>
      <c r="M20" s="900"/>
    </row>
    <row r="21" spans="1:43">
      <c r="C21" s="898"/>
      <c r="D21" s="898"/>
      <c r="K21" s="899"/>
      <c r="M21" s="900"/>
    </row>
    <row r="22" spans="1:43">
      <c r="C22" s="901" t="s">
        <v>729</v>
      </c>
      <c r="D22" s="901"/>
      <c r="E22" s="896" t="s">
        <v>2051</v>
      </c>
      <c r="H22" s="902"/>
      <c r="K22" s="896"/>
      <c r="Q22" s="1910">
        <f>ROUND('Basis &amp; Credits'!AB55,0)</f>
        <v>736963</v>
      </c>
      <c r="R22" s="1910"/>
      <c r="S22" s="1910"/>
      <c r="T22" s="1910"/>
      <c r="U22" s="1910"/>
      <c r="V22" s="1910"/>
      <c r="W22" s="1910"/>
      <c r="X22" s="1910"/>
      <c r="Y22" s="916"/>
    </row>
    <row r="23" spans="1:43">
      <c r="C23" s="898"/>
      <c r="D23" s="898"/>
      <c r="G23" s="903"/>
      <c r="H23" s="903"/>
      <c r="I23" s="904"/>
      <c r="J23" s="904"/>
      <c r="K23" s="903"/>
      <c r="M23" s="897"/>
    </row>
    <row r="24" spans="1:43">
      <c r="C24" s="905"/>
      <c r="D24" s="905"/>
      <c r="E24" s="906"/>
      <c r="J24" s="904"/>
      <c r="K24" s="896"/>
      <c r="L24" s="1913" t="s">
        <v>2028</v>
      </c>
      <c r="M24" s="1913"/>
      <c r="N24" s="1913"/>
      <c r="P24" s="1898" t="s">
        <v>2029</v>
      </c>
      <c r="Q24" s="1898"/>
      <c r="R24" s="1898"/>
      <c r="S24" s="1898"/>
      <c r="T24" s="1898"/>
      <c r="V24" s="1898" t="s">
        <v>2030</v>
      </c>
      <c r="W24" s="1898"/>
      <c r="X24" s="1898"/>
    </row>
    <row r="25" spans="1:43">
      <c r="C25" s="901" t="s">
        <v>190</v>
      </c>
      <c r="D25" s="901"/>
      <c r="E25" s="896" t="s">
        <v>987</v>
      </c>
      <c r="J25" s="904"/>
      <c r="L25" s="1899" t="s">
        <v>2031</v>
      </c>
      <c r="M25" s="1899"/>
      <c r="N25" s="1899"/>
      <c r="P25" s="1899" t="s">
        <v>2032</v>
      </c>
      <c r="Q25" s="1899"/>
      <c r="R25" s="1899"/>
      <c r="S25" s="1899"/>
      <c r="T25" s="1899"/>
      <c r="V25" s="1899" t="s">
        <v>2031</v>
      </c>
      <c r="W25" s="1899"/>
      <c r="X25" s="1899"/>
    </row>
    <row r="26" spans="1:43">
      <c r="C26" s="898"/>
      <c r="D26" s="898"/>
      <c r="E26" s="907" t="s">
        <v>2033</v>
      </c>
      <c r="F26" s="907"/>
      <c r="J26" s="908"/>
      <c r="L26" s="1911">
        <f>Application!BN626</f>
        <v>0</v>
      </c>
      <c r="M26" s="1911"/>
      <c r="N26" s="1911"/>
      <c r="P26" s="1900">
        <v>0.9</v>
      </c>
      <c r="Q26" s="1900"/>
      <c r="R26" s="1900"/>
      <c r="S26" s="1900"/>
      <c r="T26" s="1900"/>
      <c r="V26" s="1900">
        <f>L26*P26</f>
        <v>0</v>
      </c>
      <c r="W26" s="1900"/>
      <c r="X26" s="1900"/>
    </row>
    <row r="27" spans="1:43">
      <c r="C27" s="898"/>
      <c r="D27" s="898"/>
      <c r="E27" s="896" t="s">
        <v>2034</v>
      </c>
      <c r="J27" s="908"/>
      <c r="L27" s="1891">
        <f>Application!BS626</f>
        <v>43</v>
      </c>
      <c r="M27" s="1891">
        <f>Application!BS634+Application!BS643+Application!CX657</f>
        <v>0</v>
      </c>
      <c r="N27" s="1891"/>
      <c r="P27" s="1896">
        <v>1</v>
      </c>
      <c r="Q27" s="1896"/>
      <c r="R27" s="1896"/>
      <c r="S27" s="1896"/>
      <c r="T27" s="1896"/>
      <c r="V27" s="1896">
        <f>L27*P27</f>
        <v>43</v>
      </c>
      <c r="W27" s="1896"/>
      <c r="X27" s="1896"/>
    </row>
    <row r="28" spans="1:43">
      <c r="C28" s="898"/>
      <c r="D28" s="898"/>
      <c r="E28" s="896" t="s">
        <v>2035</v>
      </c>
      <c r="J28" s="908"/>
      <c r="L28" s="1891">
        <f>Application!BX626</f>
        <v>0</v>
      </c>
      <c r="M28" s="1891">
        <f>Application!BX634+Application!BX643+Application!DC657</f>
        <v>0</v>
      </c>
      <c r="N28" s="1891"/>
      <c r="P28" s="1896">
        <v>1.25</v>
      </c>
      <c r="Q28" s="1896"/>
      <c r="R28" s="1896"/>
      <c r="S28" s="1896"/>
      <c r="T28" s="1896"/>
      <c r="V28" s="1896">
        <f>L28*P28</f>
        <v>0</v>
      </c>
      <c r="W28" s="1896"/>
      <c r="X28" s="1896"/>
    </row>
    <row r="29" spans="1:43">
      <c r="C29" s="898"/>
      <c r="D29" s="898"/>
      <c r="E29" s="896" t="s">
        <v>2036</v>
      </c>
      <c r="J29" s="908"/>
      <c r="L29" s="1891">
        <f>Application!CC626</f>
        <v>0</v>
      </c>
      <c r="M29" s="1891">
        <f>Application!CC634+Application!CC643+Application!DH657</f>
        <v>0</v>
      </c>
      <c r="N29" s="1891"/>
      <c r="P29" s="1896">
        <v>1.5</v>
      </c>
      <c r="Q29" s="1896"/>
      <c r="R29" s="1896"/>
      <c r="S29" s="1896"/>
      <c r="T29" s="1896"/>
      <c r="V29" s="1896">
        <f>L29*P29</f>
        <v>0</v>
      </c>
      <c r="W29" s="1896"/>
      <c r="X29" s="1896"/>
    </row>
    <row r="30" spans="1:43">
      <c r="C30" s="898"/>
      <c r="D30" s="898"/>
      <c r="E30" s="896" t="s">
        <v>2037</v>
      </c>
      <c r="J30" s="908"/>
      <c r="L30" s="1892">
        <f>Application!CH626+Application!CM626</f>
        <v>0</v>
      </c>
      <c r="M30" s="1892"/>
      <c r="N30" s="1892"/>
      <c r="P30" s="1896">
        <v>1.75</v>
      </c>
      <c r="Q30" s="1896"/>
      <c r="R30" s="1896">
        <f>1.75+0.25*0</f>
        <v>1.75</v>
      </c>
      <c r="S30" s="1896"/>
      <c r="T30" s="1896"/>
      <c r="V30" s="1897">
        <f>L30*P30</f>
        <v>0</v>
      </c>
      <c r="W30" s="1897"/>
      <c r="X30" s="1897"/>
    </row>
    <row r="31" spans="1:43">
      <c r="C31" s="898"/>
      <c r="D31" s="898"/>
      <c r="L31" s="1911">
        <f>SUM(L26:N30)</f>
        <v>43</v>
      </c>
      <c r="M31" s="1912"/>
      <c r="N31" s="1912"/>
      <c r="V31" s="1900">
        <f>SUM(V26:X30)</f>
        <v>43</v>
      </c>
      <c r="W31" s="1900"/>
      <c r="X31" s="1900"/>
    </row>
    <row r="32" spans="1:43">
      <c r="C32" s="898"/>
      <c r="D32" s="898"/>
      <c r="K32" s="909"/>
    </row>
    <row r="33" spans="1:27">
      <c r="C33" s="901" t="s">
        <v>191</v>
      </c>
      <c r="D33" s="901"/>
      <c r="E33" s="898" t="s">
        <v>2052</v>
      </c>
      <c r="H33" s="910"/>
      <c r="I33" s="911"/>
      <c r="J33" s="912"/>
      <c r="K33" s="909"/>
      <c r="M33" s="897"/>
      <c r="V33" s="1893">
        <f>IF(V31&gt;0,V31/Q22," ")</f>
        <v>5.8347569688030469E-5</v>
      </c>
      <c r="W33" s="1894"/>
      <c r="X33" s="1894"/>
      <c r="Y33" s="1894"/>
      <c r="Z33" s="1894"/>
      <c r="AA33" s="1895"/>
    </row>
    <row r="34" spans="1:27">
      <c r="K34" s="896"/>
      <c r="M34" s="897"/>
    </row>
    <row r="35" spans="1:27">
      <c r="E35" s="898" t="s">
        <v>2058</v>
      </c>
      <c r="F35" s="898"/>
      <c r="G35" s="898"/>
      <c r="H35" s="898"/>
      <c r="I35" s="898"/>
      <c r="J35" s="898"/>
      <c r="K35" s="898"/>
      <c r="L35" s="898"/>
      <c r="M35" s="918"/>
      <c r="N35" s="898"/>
      <c r="O35" s="898"/>
      <c r="P35" s="898"/>
      <c r="Q35" s="898"/>
      <c r="R35" s="898"/>
      <c r="V35" s="1904">
        <f>IF(V31&gt;0,1/V33," ")</f>
        <v>17138.674418604653</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2024-02-09T22:22:26Z</cp:lastPrinted>
  <dcterms:created xsi:type="dcterms:W3CDTF">2007-12-27T18:26:28Z</dcterms:created>
  <dcterms:modified xsi:type="dcterms:W3CDTF">2024-02-13T02:12:30Z</dcterms:modified>
</cp:coreProperties>
</file>