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Summer Oaks/Development/6 Financing/6.1 TCAC/6.1.1 Application/Draft Application/TAB 40 - E-App/"/>
    </mc:Choice>
  </mc:AlternateContent>
  <xr:revisionPtr revIDLastSave="47" documentId="8_{2CD5D116-A4D5-CC4E-90A1-6BE3607C8BFC}" xr6:coauthVersionLast="47" xr6:coauthVersionMax="47" xr10:uidLastSave="{3AB2F4E9-6D38-40A9-9CF3-4F8C622B0F84}"/>
  <bookViews>
    <workbookView xWindow="2868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Forma'!$A$1:$S$77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Forma'!$A$1:$S$77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68" i="3" l="1"/>
  <c r="E41" i="9"/>
  <c r="A41" i="9"/>
  <c r="B46" i="25"/>
  <c r="E43" i="25"/>
  <c r="E44" i="25"/>
  <c r="E45" i="25"/>
  <c r="E46" i="25"/>
  <c r="E42" i="25"/>
  <c r="B43" i="25"/>
  <c r="B44" i="25"/>
  <c r="B45" i="25"/>
  <c r="B42" i="25"/>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49" i="4"/>
  <c r="E48" i="4"/>
  <c r="E47" i="4"/>
  <c r="E46" i="4"/>
  <c r="E43" i="4"/>
  <c r="E41" i="4"/>
  <c r="E40" i="4"/>
  <c r="E37" i="4"/>
  <c r="E36" i="4"/>
  <c r="E35" i="4"/>
  <c r="E34" i="4"/>
  <c r="E33" i="4"/>
  <c r="E32" i="4"/>
  <c r="E31" i="4"/>
  <c r="E30" i="4"/>
  <c r="E29" i="4"/>
  <c r="E15" i="4"/>
  <c r="E14" i="4"/>
  <c r="E10" i="4"/>
  <c r="E9" i="4"/>
  <c r="E5" i="4"/>
  <c r="E6" i="4"/>
  <c r="E7" i="4"/>
  <c r="E4" i="4"/>
  <c r="L98" i="4"/>
  <c r="G30" i="4"/>
  <c r="H30" i="4"/>
  <c r="I30" i="4"/>
  <c r="J30" i="4"/>
  <c r="K30" i="4"/>
  <c r="F30" i="4"/>
  <c r="S98" i="4"/>
  <c r="S94" i="4"/>
  <c r="S93" i="4"/>
  <c r="S92" i="4"/>
  <c r="S91" i="4"/>
  <c r="S90" i="4"/>
  <c r="S88" i="4"/>
  <c r="S86" i="4"/>
  <c r="S85" i="4"/>
  <c r="S84" i="4"/>
  <c r="S83" i="4"/>
  <c r="S79" i="4"/>
  <c r="S78" i="4"/>
  <c r="S51" i="4"/>
  <c r="S50" i="4"/>
  <c r="S49" i="4"/>
  <c r="S48" i="4"/>
  <c r="S47" i="4"/>
  <c r="S43" i="4"/>
  <c r="S41" i="4"/>
  <c r="S40" i="4"/>
  <c r="S30" i="4"/>
  <c r="S31" i="4"/>
  <c r="S32" i="4"/>
  <c r="S33" i="4"/>
  <c r="S34" i="4"/>
  <c r="S35" i="4"/>
  <c r="S36" i="4"/>
  <c r="S37" i="4"/>
  <c r="S29" i="4"/>
  <c r="AF1002" i="3"/>
  <c r="L936" i="3"/>
  <c r="AA917" i="3"/>
  <c r="AA925" i="3"/>
  <c r="AA923" i="3"/>
  <c r="I925" i="3"/>
  <c r="I923" i="3"/>
  <c r="AA896" i="3"/>
  <c r="AA895" i="3"/>
  <c r="AF622" i="3"/>
  <c r="E13" i="10"/>
  <c r="E10" i="10"/>
  <c r="E9" i="10"/>
  <c r="Y697" i="3"/>
  <c r="Y710" i="3"/>
  <c r="Y709" i="3"/>
  <c r="Y708" i="3"/>
  <c r="Y707" i="3"/>
  <c r="Y706" i="3"/>
  <c r="Y705" i="3"/>
  <c r="Y704" i="3"/>
  <c r="Y703" i="3"/>
  <c r="Y702" i="3"/>
  <c r="Y701" i="3"/>
  <c r="Y700" i="3"/>
  <c r="Y698" i="3"/>
  <c r="K710" i="3"/>
  <c r="K707" i="3"/>
  <c r="K702" i="3"/>
  <c r="K709" i="3"/>
  <c r="K706" i="3"/>
  <c r="K701" i="3"/>
  <c r="K698" i="3"/>
  <c r="K708" i="3"/>
  <c r="K705" i="3"/>
  <c r="K704" i="3"/>
  <c r="K703" i="3"/>
  <c r="K700" i="3"/>
  <c r="K697" i="3"/>
  <c r="H666" i="3"/>
  <c r="AA658" i="3"/>
  <c r="H658" i="3"/>
  <c r="AA650" i="3"/>
  <c r="H650" i="3"/>
  <c r="AA642" i="3"/>
  <c r="H642" i="3"/>
  <c r="AO624" i="3"/>
  <c r="AO625" i="3"/>
  <c r="AO626" i="3"/>
  <c r="AO627" i="3"/>
  <c r="AO623" i="3"/>
  <c r="Q623" i="3"/>
  <c r="Q624" i="3" s="1"/>
  <c r="Q625" i="3" s="1"/>
  <c r="Q626" i="3" s="1"/>
  <c r="M623" i="3"/>
  <c r="M624" i="3"/>
  <c r="M625" i="3"/>
  <c r="M626" i="3"/>
  <c r="M627" i="3"/>
  <c r="M622" i="3"/>
  <c r="C623" i="3"/>
  <c r="C624" i="3"/>
  <c r="C625" i="3"/>
  <c r="C626" i="3"/>
  <c r="C627" i="3"/>
  <c r="C622" i="3"/>
  <c r="H600" i="3"/>
  <c r="AA592" i="3"/>
  <c r="H592" i="3"/>
  <c r="AA584" i="3"/>
  <c r="H584" i="3"/>
  <c r="AA576" i="3"/>
  <c r="H576" i="3"/>
  <c r="AA568" i="3"/>
  <c r="AI549" i="3"/>
  <c r="Q550" i="3" l="1"/>
  <c r="Q551" i="3" s="1"/>
  <c r="Q552" i="3" s="1"/>
  <c r="Q553" i="3" s="1"/>
  <c r="Q554" i="3" s="1"/>
  <c r="AG441" i="3" l="1"/>
  <c r="AG436" i="3"/>
  <c r="AG435"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T22" i="5"/>
  <c r="BF707" i="3" l="1"/>
  <c r="BF708" i="3"/>
  <c r="BF709" i="3"/>
  <c r="BF710" i="3"/>
  <c r="BF706" i="3"/>
  <c r="BF705" i="3"/>
  <c r="BF704" i="3"/>
  <c r="BF703" i="3"/>
  <c r="BF701" i="3"/>
  <c r="BF702" i="3"/>
  <c r="BF700" i="3"/>
  <c r="BF699" i="3"/>
  <c r="AZ728" i="3"/>
  <c r="BA728" i="3" s="1"/>
  <c r="BF697" i="3"/>
  <c r="BF698"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F16" i="9" s="1"/>
  <c r="E19" i="9"/>
  <c r="F19" i="9" s="1"/>
  <c r="G19" i="9" s="1"/>
  <c r="H19" i="9" s="1"/>
  <c r="I19" i="9" s="1"/>
  <c r="J19" i="9" s="1"/>
  <c r="K19" i="9" s="1"/>
  <c r="L19" i="9" s="1"/>
  <c r="M19" i="9" s="1"/>
  <c r="N19" i="9" s="1"/>
  <c r="O19" i="9" s="1"/>
  <c r="P19" i="9" s="1"/>
  <c r="Q19" i="9" s="1"/>
  <c r="R19" i="9" s="1"/>
  <c r="S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F17" i="9" s="1"/>
  <c r="G17" i="9" s="1"/>
  <c r="H17" i="9" s="1"/>
  <c r="I17" i="9" s="1"/>
  <c r="J17" i="9" s="1"/>
  <c r="K17" i="9" s="1"/>
  <c r="L17" i="9" s="1"/>
  <c r="M17" i="9" s="1"/>
  <c r="N17" i="9" s="1"/>
  <c r="O17" i="9" s="1"/>
  <c r="P17" i="9" s="1"/>
  <c r="Q17" i="9" s="1"/>
  <c r="R17" i="9" s="1"/>
  <c r="S17" i="9" s="1"/>
  <c r="W841" i="3"/>
  <c r="E18" i="9" s="1"/>
  <c r="F18" i="9" s="1"/>
  <c r="G18" i="9" s="1"/>
  <c r="H18" i="9" s="1"/>
  <c r="I18" i="9" s="1"/>
  <c r="J18" i="9" s="1"/>
  <c r="K18" i="9" s="1"/>
  <c r="L18" i="9" s="1"/>
  <c r="M18" i="9" s="1"/>
  <c r="N18" i="9" s="1"/>
  <c r="O18" i="9" s="1"/>
  <c r="P18" i="9" s="1"/>
  <c r="Q18" i="9" s="1"/>
  <c r="R18" i="9" s="1"/>
  <c r="S18" i="9" s="1"/>
  <c r="W851" i="3"/>
  <c r="W858" i="3"/>
  <c r="E21" i="9" s="1"/>
  <c r="F21" i="9" s="1"/>
  <c r="G21" i="9" s="1"/>
  <c r="H21" i="9" s="1"/>
  <c r="I21" i="9" s="1"/>
  <c r="J21" i="9" s="1"/>
  <c r="K21" i="9" s="1"/>
  <c r="L21" i="9" s="1"/>
  <c r="M21" i="9" s="1"/>
  <c r="N21" i="9" s="1"/>
  <c r="O21" i="9" s="1"/>
  <c r="P21" i="9" s="1"/>
  <c r="Q21" i="9" s="1"/>
  <c r="R21" i="9" s="1"/>
  <c r="S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D86" i="15"/>
  <c r="B87" i="15"/>
  <c r="C87" i="15"/>
  <c r="D87" i="15"/>
  <c r="B88" i="15"/>
  <c r="C88" i="15"/>
  <c r="E88" i="15" s="1"/>
  <c r="D88" i="15"/>
  <c r="B89" i="15"/>
  <c r="C89" i="15"/>
  <c r="D89" i="15"/>
  <c r="B90" i="15"/>
  <c r="C90" i="15"/>
  <c r="E90" i="15" s="1"/>
  <c r="D90" i="15"/>
  <c r="B91" i="15"/>
  <c r="C91" i="15"/>
  <c r="D91" i="15"/>
  <c r="B92" i="15"/>
  <c r="C92" i="15"/>
  <c r="E92" i="15" s="1"/>
  <c r="D92" i="15"/>
  <c r="B93" i="15"/>
  <c r="C93" i="15"/>
  <c r="E93" i="15" s="1"/>
  <c r="D93" i="15"/>
  <c r="B94" i="15"/>
  <c r="E94" i="15" s="1"/>
  <c r="C94" i="15"/>
  <c r="D94" i="15"/>
  <c r="B95" i="15"/>
  <c r="C95" i="15"/>
  <c r="E95" i="15"/>
  <c r="D95" i="15"/>
  <c r="E86" i="15"/>
  <c r="E85" i="15"/>
  <c r="D83" i="15"/>
  <c r="C83" i="15"/>
  <c r="B83" i="15"/>
  <c r="E83" i="15" s="1"/>
  <c r="B80" i="15"/>
  <c r="C80" i="15"/>
  <c r="E80" i="15" s="1"/>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E61" i="15" s="1"/>
  <c r="D61" i="15"/>
  <c r="D56" i="15"/>
  <c r="C56" i="15"/>
  <c r="E56" i="15" s="1"/>
  <c r="B56" i="15"/>
  <c r="B47" i="15"/>
  <c r="C47" i="15"/>
  <c r="D47" i="15"/>
  <c r="B48" i="15"/>
  <c r="C48" i="15"/>
  <c r="D48" i="15"/>
  <c r="B49" i="15"/>
  <c r="C49" i="15"/>
  <c r="E49" i="15"/>
  <c r="D49" i="15"/>
  <c r="B50" i="15"/>
  <c r="C50" i="15"/>
  <c r="D50" i="15"/>
  <c r="B51" i="15"/>
  <c r="C51" i="15"/>
  <c r="E51" i="15" s="1"/>
  <c r="D51" i="15"/>
  <c r="B52" i="15"/>
  <c r="C52" i="15"/>
  <c r="E52" i="15" s="1"/>
  <c r="D52" i="15"/>
  <c r="B53" i="15"/>
  <c r="C53" i="15"/>
  <c r="D53" i="15"/>
  <c r="D46" i="15"/>
  <c r="C46" i="15"/>
  <c r="B46" i="15"/>
  <c r="E46" i="15" s="1"/>
  <c r="B44" i="15"/>
  <c r="C44" i="15"/>
  <c r="D44" i="15"/>
  <c r="B42" i="15"/>
  <c r="C42" i="15"/>
  <c r="E42" i="15" s="1"/>
  <c r="D42" i="15"/>
  <c r="D41" i="15"/>
  <c r="C41" i="15"/>
  <c r="B41" i="15"/>
  <c r="B38" i="15"/>
  <c r="C38" i="15"/>
  <c r="E38" i="15" s="1"/>
  <c r="D38" i="15"/>
  <c r="B31" i="15"/>
  <c r="C31" i="15"/>
  <c r="E31" i="15" s="1"/>
  <c r="D31" i="15"/>
  <c r="B32" i="15"/>
  <c r="E32" i="15"/>
  <c r="C32" i="15"/>
  <c r="D32" i="15"/>
  <c r="B33" i="15"/>
  <c r="C33" i="15"/>
  <c r="E33" i="15" s="1"/>
  <c r="D33" i="15"/>
  <c r="B34" i="15"/>
  <c r="C34" i="15"/>
  <c r="D34" i="15"/>
  <c r="B35" i="15"/>
  <c r="C35" i="15"/>
  <c r="D35" i="15"/>
  <c r="B36" i="15"/>
  <c r="E36" i="15" s="1"/>
  <c r="C36" i="15"/>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C9" i="15" s="1"/>
  <c r="B8" i="15"/>
  <c r="C8" i="15"/>
  <c r="B10" i="15"/>
  <c r="C10" i="15"/>
  <c r="B11" i="15"/>
  <c r="E11" i="15" s="1"/>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22" i="15"/>
  <c r="E91" i="15"/>
  <c r="E87" i="15"/>
  <c r="E67" i="15"/>
  <c r="E89" i="15"/>
  <c r="E16" i="15"/>
  <c r="E57" i="15"/>
  <c r="E84" i="15"/>
  <c r="E44" i="15"/>
  <c r="E21" i="15"/>
  <c r="E28" i="15"/>
  <c r="E8" i="15"/>
  <c r="E48" i="15"/>
  <c r="E19" i="15"/>
  <c r="E47" i="15"/>
  <c r="E72" i="15"/>
  <c r="E50" i="15"/>
  <c r="C12" i="15"/>
  <c r="E6" i="15"/>
  <c r="E23" i="15"/>
  <c r="E41" i="15"/>
  <c r="E35" i="15"/>
  <c r="E65" i="15"/>
  <c r="E15" i="15"/>
  <c r="E10" i="15"/>
  <c r="E37" i="15"/>
  <c r="AC729" i="3"/>
  <c r="AC718" i="3"/>
  <c r="AC717" i="3"/>
  <c r="AC716" i="3"/>
  <c r="AC715" i="3"/>
  <c r="AC714" i="3"/>
  <c r="AC713" i="3"/>
  <c r="AC712" i="3"/>
  <c r="AC711" i="3"/>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F53" i="9"/>
  <c r="G53" i="9"/>
  <c r="H53" i="9"/>
  <c r="I53" i="9"/>
  <c r="F54" i="9"/>
  <c r="G54" i="9" s="1"/>
  <c r="F55" i="9"/>
  <c r="G55" i="9" s="1"/>
  <c r="H55" i="9" s="1"/>
  <c r="I55" i="9" s="1"/>
  <c r="J55" i="9" s="1"/>
  <c r="K55" i="9" s="1"/>
  <c r="L55" i="9" s="1"/>
  <c r="M55" i="9" s="1"/>
  <c r="N55" i="9" s="1"/>
  <c r="O55" i="9" s="1"/>
  <c r="P55" i="9" s="1"/>
  <c r="Q55" i="9" s="1"/>
  <c r="R55" i="9" s="1"/>
  <c r="S55" i="9" s="1"/>
  <c r="F56" i="9"/>
  <c r="F58" i="9" s="1"/>
  <c r="G56" i="9"/>
  <c r="H56" i="9" s="1"/>
  <c r="I56" i="9" s="1"/>
  <c r="J56" i="9" s="1"/>
  <c r="K56" i="9" s="1"/>
  <c r="L56" i="9" s="1"/>
  <c r="M56" i="9" s="1"/>
  <c r="N56" i="9" s="1"/>
  <c r="O56" i="9" s="1"/>
  <c r="P56" i="9" s="1"/>
  <c r="Q56" i="9" s="1"/>
  <c r="R56" i="9" s="1"/>
  <c r="S56" i="9" s="1"/>
  <c r="F57" i="9"/>
  <c r="G57" i="9"/>
  <c r="H57" i="9"/>
  <c r="I57" i="9" s="1"/>
  <c r="J57" i="9" s="1"/>
  <c r="K57" i="9" s="1"/>
  <c r="L57" i="9" s="1"/>
  <c r="M57" i="9" s="1"/>
  <c r="N57" i="9" s="1"/>
  <c r="O57" i="9" s="1"/>
  <c r="P57" i="9" s="1"/>
  <c r="Q57" i="9" s="1"/>
  <c r="R57" i="9" s="1"/>
  <c r="S57" i="9" s="1"/>
  <c r="F24" i="9"/>
  <c r="G24" i="9"/>
  <c r="H24" i="9"/>
  <c r="I24" i="9"/>
  <c r="J24" i="9" s="1"/>
  <c r="K24" i="9" s="1"/>
  <c r="L24" i="9" s="1"/>
  <c r="M24" i="9" s="1"/>
  <c r="N24" i="9" s="1"/>
  <c r="O24" i="9" s="1"/>
  <c r="P24" i="9" s="1"/>
  <c r="Q24" i="9" s="1"/>
  <c r="R24" i="9" s="1"/>
  <c r="S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B62" i="15" s="1"/>
  <c r="C69" i="4"/>
  <c r="C76" i="4"/>
  <c r="C77" i="15" s="1"/>
  <c r="E77" i="15" s="1"/>
  <c r="C80" i="4"/>
  <c r="B79" i="18" s="1"/>
  <c r="C95" i="4"/>
  <c r="C103" i="4"/>
  <c r="C104" i="15" s="1"/>
  <c r="C66" i="25"/>
  <c r="Y20" i="5"/>
  <c r="AI20" i="5"/>
  <c r="S26" i="4"/>
  <c r="S38" i="4"/>
  <c r="S42" i="4"/>
  <c r="S53" i="4"/>
  <c r="S62" i="4"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E78" i="18"/>
  <c r="H78" i="18"/>
  <c r="B79" i="4"/>
  <c r="B78" i="4"/>
  <c r="R79" i="4"/>
  <c r="R78" i="4"/>
  <c r="R80" i="4" s="1"/>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95" i="4" s="1"/>
  <c r="R89" i="4"/>
  <c r="R90" i="4"/>
  <c r="R91" i="4"/>
  <c r="R92" i="4"/>
  <c r="R93" i="4"/>
  <c r="R60" i="4"/>
  <c r="R59" i="4"/>
  <c r="R58" i="4"/>
  <c r="R57" i="4"/>
  <c r="R56" i="4"/>
  <c r="R52" i="4"/>
  <c r="R51" i="4"/>
  <c r="R49" i="4"/>
  <c r="R48" i="4"/>
  <c r="R47" i="4"/>
  <c r="R46" i="4"/>
  <c r="R43" i="4"/>
  <c r="R41" i="4"/>
  <c r="R40" i="4"/>
  <c r="R42" i="4" s="1"/>
  <c r="R37" i="4"/>
  <c r="R35" i="4"/>
  <c r="R34" i="4"/>
  <c r="R33" i="4"/>
  <c r="R32" i="4"/>
  <c r="R30" i="4"/>
  <c r="R31" i="4"/>
  <c r="R29" i="4"/>
  <c r="R27" i="4"/>
  <c r="R25" i="4"/>
  <c r="R23" i="4"/>
  <c r="R22" i="4"/>
  <c r="R21" i="4"/>
  <c r="R20" i="4"/>
  <c r="R19" i="4"/>
  <c r="R18" i="4"/>
  <c r="R17" i="4"/>
  <c r="R15" i="4"/>
  <c r="R14" i="4"/>
  <c r="R7" i="4"/>
  <c r="R6" i="4"/>
  <c r="D5" i="15"/>
  <c r="D9" i="15" s="1"/>
  <c r="D13" i="15" s="1"/>
  <c r="D6" i="15"/>
  <c r="D7" i="15"/>
  <c r="D8" i="15"/>
  <c r="D10" i="15"/>
  <c r="D11" i="15"/>
  <c r="D12" i="15" s="1"/>
  <c r="D14" i="15"/>
  <c r="D15" i="15"/>
  <c r="D16" i="15"/>
  <c r="D18" i="15"/>
  <c r="E37" i="18"/>
  <c r="E41" i="18"/>
  <c r="H25" i="18"/>
  <c r="H37" i="18"/>
  <c r="H52" i="18"/>
  <c r="H94" i="18"/>
  <c r="H102" i="18"/>
  <c r="B37" i="18"/>
  <c r="B41" i="18"/>
  <c r="B61" i="4"/>
  <c r="B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E13" i="4" s="1"/>
  <c r="R13" i="4" s="1"/>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E45" i="4" s="1"/>
  <c r="R45" i="4" s="1"/>
  <c r="B46" i="4"/>
  <c r="B47" i="4"/>
  <c r="B48" i="4"/>
  <c r="B49" i="4"/>
  <c r="B50" i="4"/>
  <c r="E50" i="4" s="1"/>
  <c r="R50" i="4" s="1"/>
  <c r="B51" i="4"/>
  <c r="B52"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AC865"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L104" i="4" s="1"/>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B95" i="4"/>
  <c r="D12" i="4"/>
  <c r="B43" i="15"/>
  <c r="C43" i="15"/>
  <c r="E43" i="15" s="1"/>
  <c r="D43" i="15"/>
  <c r="G12" i="4"/>
  <c r="C39" i="15"/>
  <c r="D39" i="15"/>
  <c r="B39" i="15"/>
  <c r="F12" i="4"/>
  <c r="B96" i="15"/>
  <c r="C96" i="15"/>
  <c r="E96" i="15" s="1"/>
  <c r="D96" i="15"/>
  <c r="B27" i="15"/>
  <c r="D27" i="15"/>
  <c r="C27" i="15"/>
  <c r="C81" i="15"/>
  <c r="E81" i="15" s="1"/>
  <c r="B81" i="15"/>
  <c r="D81" i="15"/>
  <c r="B11" i="4"/>
  <c r="B76" i="4"/>
  <c r="B77" i="15"/>
  <c r="B8" i="4"/>
  <c r="T62" i="4"/>
  <c r="B68" i="18"/>
  <c r="B70" i="15"/>
  <c r="C70" i="15"/>
  <c r="E70" i="15" s="1"/>
  <c r="D70" i="15"/>
  <c r="C62" i="15"/>
  <c r="D62" i="15"/>
  <c r="B11" i="18"/>
  <c r="G52" i="25"/>
  <c r="AB47" i="26"/>
  <c r="I61" i="18"/>
  <c r="I95" i="18"/>
  <c r="I103" i="18"/>
  <c r="I105" i="18"/>
  <c r="J61" i="18"/>
  <c r="J95" i="18"/>
  <c r="J103" i="18"/>
  <c r="J105" i="18"/>
  <c r="K12" i="4"/>
  <c r="B12" i="4"/>
  <c r="B42" i="4"/>
  <c r="J12" i="4"/>
  <c r="R11" i="4"/>
  <c r="R8" i="4"/>
  <c r="G62" i="4"/>
  <c r="G96" i="4" s="1"/>
  <c r="G104" i="4" s="1"/>
  <c r="C61" i="18"/>
  <c r="C95" i="18"/>
  <c r="C103" i="18"/>
  <c r="C12" i="18"/>
  <c r="M62" i="4"/>
  <c r="M96" i="4"/>
  <c r="M104" i="4"/>
  <c r="J62" i="4"/>
  <c r="J96" i="4" s="1"/>
  <c r="J104" i="4" s="1"/>
  <c r="C12" i="4"/>
  <c r="B12" i="18"/>
  <c r="F62" i="4"/>
  <c r="F96" i="4" s="1"/>
  <c r="F104" i="4" s="1"/>
  <c r="O62" i="4"/>
  <c r="O96" i="4"/>
  <c r="O104" i="4"/>
  <c r="N62" i="4"/>
  <c r="N96" i="4"/>
  <c r="N104" i="4"/>
  <c r="D62" i="4"/>
  <c r="D96" i="4"/>
  <c r="D104" i="4"/>
  <c r="B8" i="18"/>
  <c r="R26" i="4"/>
  <c r="L62" i="4"/>
  <c r="L96" i="4"/>
  <c r="H12" i="4"/>
  <c r="H11" i="18"/>
  <c r="Q62" i="4"/>
  <c r="Q96" i="4"/>
  <c r="Q104" i="4"/>
  <c r="K62" i="4"/>
  <c r="K96" i="4" s="1"/>
  <c r="K104" i="4" s="1"/>
  <c r="I62" i="4"/>
  <c r="I96" i="4" s="1"/>
  <c r="I104" i="4" s="1"/>
  <c r="T96" i="4"/>
  <c r="H61" i="18"/>
  <c r="H62" i="4"/>
  <c r="H96" i="4" s="1"/>
  <c r="H104" i="4" s="1"/>
  <c r="M12" i="4"/>
  <c r="D12" i="18"/>
  <c r="P62" i="4"/>
  <c r="P96" i="4"/>
  <c r="P104" i="4"/>
  <c r="B69" i="4"/>
  <c r="G61" i="18"/>
  <c r="G95" i="18"/>
  <c r="G103" i="18"/>
  <c r="G105" i="18"/>
  <c r="B38" i="4"/>
  <c r="F61" i="18"/>
  <c r="F95" i="18"/>
  <c r="F103" i="18"/>
  <c r="F105" i="18"/>
  <c r="D61" i="18"/>
  <c r="D95" i="18"/>
  <c r="D103" i="18"/>
  <c r="L28" i="9"/>
  <c r="Q28" i="9"/>
  <c r="R12" i="4"/>
  <c r="H95" i="18"/>
  <c r="T104" i="4"/>
  <c r="H103" i="18"/>
  <c r="T106" i="4"/>
  <c r="H105" i="18"/>
  <c r="AD11" i="5"/>
  <c r="AD23" i="5" s="1"/>
  <c r="AD26" i="5" s="1"/>
  <c r="AI11" i="27"/>
  <c r="AI11" i="26"/>
  <c r="AD11" i="27"/>
  <c r="AD11" i="26"/>
  <c r="T24" i="27"/>
  <c r="T24" i="26"/>
  <c r="D54" i="15" l="1"/>
  <c r="C62" i="4"/>
  <c r="C96" i="4" s="1"/>
  <c r="C104" i="4" s="1"/>
  <c r="AC448" i="3" s="1"/>
  <c r="C54" i="15"/>
  <c r="B54" i="15"/>
  <c r="B52" i="18"/>
  <c r="G58" i="9"/>
  <c r="H54" i="9"/>
  <c r="I54" i="9" s="1"/>
  <c r="J54" i="9" s="1"/>
  <c r="K54" i="9" s="1"/>
  <c r="L54" i="9" s="1"/>
  <c r="M54" i="9" s="1"/>
  <c r="N54" i="9" s="1"/>
  <c r="O54" i="9" s="1"/>
  <c r="P54" i="9" s="1"/>
  <c r="Q54" i="9" s="1"/>
  <c r="R54" i="9" s="1"/>
  <c r="S54" i="9" s="1"/>
  <c r="I58" i="9"/>
  <c r="H58" i="9"/>
  <c r="J53" i="9"/>
  <c r="G98" i="25"/>
  <c r="R53" i="4"/>
  <c r="E53" i="4"/>
  <c r="E62" i="4" s="1"/>
  <c r="E96" i="4" s="1"/>
  <c r="E104" i="4" s="1"/>
  <c r="E54" i="15"/>
  <c r="R103" i="4"/>
  <c r="R38" i="4"/>
  <c r="E61" i="18"/>
  <c r="S96" i="4"/>
  <c r="E95" i="18" s="1"/>
  <c r="E52" i="18"/>
  <c r="E62" i="15"/>
  <c r="E39" i="15"/>
  <c r="E9" i="15"/>
  <c r="C13" i="15"/>
  <c r="B12" i="15"/>
  <c r="E12" i="15" s="1"/>
  <c r="E7" i="15"/>
  <c r="E5" i="15"/>
  <c r="B80" i="4"/>
  <c r="B75" i="18"/>
  <c r="D77" i="15"/>
  <c r="BG730" i="3"/>
  <c r="AM730" i="3" s="1"/>
  <c r="AP93" i="6"/>
  <c r="AP97" i="6" s="1"/>
  <c r="F33" i="9"/>
  <c r="G33" i="9" s="1"/>
  <c r="H33" i="9" s="1"/>
  <c r="I33" i="9" s="1"/>
  <c r="J33" i="9" s="1"/>
  <c r="K33" i="9" s="1"/>
  <c r="L33" i="9" s="1"/>
  <c r="M33" i="9" s="1"/>
  <c r="N33" i="9" s="1"/>
  <c r="O33" i="9" s="1"/>
  <c r="P33" i="9" s="1"/>
  <c r="Q33" i="9" s="1"/>
  <c r="R33" i="9" s="1"/>
  <c r="S33" i="9" s="1"/>
  <c r="AO635" i="3"/>
  <c r="AZ197" i="6"/>
  <c r="C734" i="3"/>
  <c r="AZ202" i="6"/>
  <c r="Y7" i="5"/>
  <c r="Y11" i="5" s="1"/>
  <c r="AI7" i="5"/>
  <c r="AI11" i="5" s="1"/>
  <c r="R963" i="3"/>
  <c r="T7" i="5"/>
  <c r="J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F20" i="9" s="1"/>
  <c r="G20" i="9" s="1"/>
  <c r="H20" i="9" s="1"/>
  <c r="I20" i="9" s="1"/>
  <c r="J20" i="9" s="1"/>
  <c r="K20" i="9" s="1"/>
  <c r="L20" i="9" s="1"/>
  <c r="M20" i="9" s="1"/>
  <c r="N20" i="9" s="1"/>
  <c r="O20" i="9" s="1"/>
  <c r="P20" i="9" s="1"/>
  <c r="Q20" i="9" s="1"/>
  <c r="R20" i="9" s="1"/>
  <c r="S20" i="9" s="1"/>
  <c r="BX633" i="3"/>
  <c r="AF709" i="6"/>
  <c r="Q581" i="6"/>
  <c r="W581" i="6" s="1"/>
  <c r="M40" i="9"/>
  <c r="M43" i="9" s="1"/>
  <c r="F31" i="9"/>
  <c r="G31" i="9" s="1"/>
  <c r="H31" i="9" s="1"/>
  <c r="I31" i="9" s="1"/>
  <c r="J31" i="9" s="1"/>
  <c r="K31" i="9" s="1"/>
  <c r="L31" i="9" s="1"/>
  <c r="M31" i="9" s="1"/>
  <c r="N31" i="9" s="1"/>
  <c r="O31" i="9" s="1"/>
  <c r="P31" i="9" s="1"/>
  <c r="Q31" i="9" s="1"/>
  <c r="R31" i="9" s="1"/>
  <c r="S31" i="9" s="1"/>
  <c r="Q589" i="6"/>
  <c r="W589" i="6" s="1"/>
  <c r="F32" i="9"/>
  <c r="G32" i="9" s="1"/>
  <c r="H32" i="9" s="1"/>
  <c r="F30" i="9"/>
  <c r="G30" i="9" s="1"/>
  <c r="H30" i="9" s="1"/>
  <c r="I30" i="9" s="1"/>
  <c r="J30" i="9" s="1"/>
  <c r="K30" i="9" s="1"/>
  <c r="L30" i="9" s="1"/>
  <c r="M30" i="9" s="1"/>
  <c r="N30" i="9" s="1"/>
  <c r="O30" i="9" s="1"/>
  <c r="P30" i="9" s="1"/>
  <c r="Q30" i="9" s="1"/>
  <c r="R30" i="9" s="1"/>
  <c r="S30" i="9" s="1"/>
  <c r="AG438" i="3"/>
  <c r="Y20" i="27"/>
  <c r="Y22" i="27" s="1"/>
  <c r="AD20" i="27"/>
  <c r="AD22" i="27" s="1"/>
  <c r="AD23" i="27" s="1"/>
  <c r="AD26" i="27" s="1"/>
  <c r="E15" i="9"/>
  <c r="F15" i="9" s="1"/>
  <c r="G15" i="9" s="1"/>
  <c r="H15" i="9" s="1"/>
  <c r="I15" i="9" s="1"/>
  <c r="J15" i="9" s="1"/>
  <c r="K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K28" i="9"/>
  <c r="G28" i="9"/>
  <c r="O28" i="9"/>
  <c r="N28" i="9"/>
  <c r="M28" i="9"/>
  <c r="L40" i="9"/>
  <c r="L43" i="9" s="1"/>
  <c r="J28" i="9"/>
  <c r="F28" i="9"/>
  <c r="I28" i="9"/>
  <c r="H28" i="9"/>
  <c r="R28" i="9"/>
  <c r="S28" i="9"/>
  <c r="P28" i="9"/>
  <c r="F27" i="9"/>
  <c r="G27" i="9" s="1"/>
  <c r="H27" i="9" s="1"/>
  <c r="I27" i="9" s="1"/>
  <c r="J27" i="9" s="1"/>
  <c r="K27" i="9" s="1"/>
  <c r="L27" i="9" s="1"/>
  <c r="M27" i="9" s="1"/>
  <c r="N27" i="9" s="1"/>
  <c r="O27" i="9" s="1"/>
  <c r="P27" i="9" s="1"/>
  <c r="Q27" i="9" s="1"/>
  <c r="R27" i="9" s="1"/>
  <c r="S27" i="9" s="1"/>
  <c r="F26" i="9"/>
  <c r="G26" i="9" s="1"/>
  <c r="H26" i="9" s="1"/>
  <c r="I26" i="9" s="1"/>
  <c r="J26" i="9" s="1"/>
  <c r="K26" i="9" s="1"/>
  <c r="L26" i="9" s="1"/>
  <c r="M26" i="9" s="1"/>
  <c r="N26" i="9" s="1"/>
  <c r="O26" i="9" s="1"/>
  <c r="P26" i="9" s="1"/>
  <c r="Q26" i="9" s="1"/>
  <c r="R26" i="9" s="1"/>
  <c r="S26" i="9" s="1"/>
  <c r="AC583" i="6"/>
  <c r="S29" i="9"/>
  <c r="N40" i="9"/>
  <c r="N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B62" i="4"/>
  <c r="D63" i="15"/>
  <c r="E27" i="15"/>
  <c r="B61" i="18"/>
  <c r="B97" i="15"/>
  <c r="B96" i="4"/>
  <c r="C97" i="15"/>
  <c r="B95" i="18"/>
  <c r="D97" i="15"/>
  <c r="B63" i="15"/>
  <c r="M29" i="9"/>
  <c r="R29" i="9"/>
  <c r="AK61" i="6"/>
  <c r="F29" i="9"/>
  <c r="N29" i="9"/>
  <c r="P29" i="9"/>
  <c r="G29" i="9"/>
  <c r="L29" i="9"/>
  <c r="O29" i="9"/>
  <c r="H29" i="9"/>
  <c r="I29" i="9"/>
  <c r="K29" i="9"/>
  <c r="Q29" i="9"/>
  <c r="O40" i="9"/>
  <c r="O43" i="9" s="1"/>
  <c r="J40" i="9"/>
  <c r="J43" i="9" s="1"/>
  <c r="P40" i="9"/>
  <c r="P43" i="9" s="1"/>
  <c r="F40" i="10"/>
  <c r="S40" i="9"/>
  <c r="S43" i="9" s="1"/>
  <c r="H40" i="9"/>
  <c r="H43" i="9" s="1"/>
  <c r="G40" i="9"/>
  <c r="G43" i="9" s="1"/>
  <c r="F40" i="9"/>
  <c r="F43" i="9" s="1"/>
  <c r="I40" i="9"/>
  <c r="I43" i="9" s="1"/>
  <c r="R40" i="9"/>
  <c r="R43" i="9" s="1"/>
  <c r="K40" i="9"/>
  <c r="K43" i="9" s="1"/>
  <c r="Q40" i="9"/>
  <c r="Q43" i="9" s="1"/>
  <c r="E43" i="9"/>
  <c r="I40" i="10"/>
  <c r="Z788" i="3" s="1"/>
  <c r="G16" i="9"/>
  <c r="T699" i="6"/>
  <c r="F8" i="9"/>
  <c r="E9" i="9"/>
  <c r="C63" i="15" l="1"/>
  <c r="R62" i="4"/>
  <c r="R96" i="4" s="1"/>
  <c r="R104" i="4" s="1"/>
  <c r="S104" i="4"/>
  <c r="K53" i="9"/>
  <c r="J58" i="9"/>
  <c r="E103" i="18"/>
  <c r="S106" i="4"/>
  <c r="B13" i="15"/>
  <c r="E13" i="15"/>
  <c r="E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F22" i="9"/>
  <c r="F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E63" i="15"/>
  <c r="H16" i="9"/>
  <c r="G22" i="9"/>
  <c r="G35" i="9" s="1"/>
  <c r="E6" i="9"/>
  <c r="L15" i="9"/>
  <c r="I32" i="9"/>
  <c r="G8" i="9"/>
  <c r="F9" i="9"/>
  <c r="L53" i="9" l="1"/>
  <c r="K58" i="9"/>
  <c r="AC449" i="3"/>
  <c r="E105" i="18"/>
  <c r="X1024" i="3"/>
  <c r="J58" i="25"/>
  <c r="AB46" i="5"/>
  <c r="AB48" i="5" s="1"/>
  <c r="AB53" i="5" s="1"/>
  <c r="AB54" i="5" s="1"/>
  <c r="AI28" i="5"/>
  <c r="AP192" i="6"/>
  <c r="AJ961" i="3"/>
  <c r="E35" i="9"/>
  <c r="Y613" i="6"/>
  <c r="CE530" i="6" s="1"/>
  <c r="CE531" i="6" s="1"/>
  <c r="CC532" i="6" s="1"/>
  <c r="AB965" i="3"/>
  <c r="AJ965" i="3" s="1"/>
  <c r="AP193" i="6"/>
  <c r="F4" i="9"/>
  <c r="G4" i="9" s="1"/>
  <c r="G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F6" i="9"/>
  <c r="I16" i="9"/>
  <c r="H22" i="9"/>
  <c r="H35" i="9" s="1"/>
  <c r="M15" i="9"/>
  <c r="J32" i="9"/>
  <c r="G9" i="9"/>
  <c r="H8" i="9"/>
  <c r="M53" i="9" l="1"/>
  <c r="L58" i="9"/>
  <c r="T11" i="5"/>
  <c r="T11" i="27"/>
  <c r="T23" i="27" s="1"/>
  <c r="Y11" i="27"/>
  <c r="Y23" i="27" s="1"/>
  <c r="Y26" i="27" s="1"/>
  <c r="Y28" i="27" s="1"/>
  <c r="Y63" i="27" s="1"/>
  <c r="Y67" i="27" s="1"/>
  <c r="Y11" i="26"/>
  <c r="Y23" i="26" s="1"/>
  <c r="Y26" i="26" s="1"/>
  <c r="Y28" i="26" s="1"/>
  <c r="Y63" i="26" s="1"/>
  <c r="Y67" i="26" s="1"/>
  <c r="T11" i="26"/>
  <c r="T23" i="26" s="1"/>
  <c r="AJ206" i="6"/>
  <c r="AK283" i="6" s="1"/>
  <c r="T703" i="6" s="1"/>
  <c r="AO694" i="6" s="1"/>
  <c r="AO693" i="6" s="1"/>
  <c r="T702" i="6" s="1"/>
  <c r="AF702" i="6" s="1"/>
  <c r="AB966" i="3"/>
  <c r="AJ967" i="3"/>
  <c r="AJ969" i="3" s="1"/>
  <c r="F5" i="9"/>
  <c r="H4" i="9"/>
  <c r="I4" i="9" s="1"/>
  <c r="J4" i="9" s="1"/>
  <c r="J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J16" i="9"/>
  <c r="I22" i="9"/>
  <c r="I35" i="9" s="1"/>
  <c r="G6" i="9"/>
  <c r="F7" i="9"/>
  <c r="BI550" i="6"/>
  <c r="BM547" i="6"/>
  <c r="N15" i="9"/>
  <c r="K32" i="9"/>
  <c r="I8" i="9"/>
  <c r="H9" i="9"/>
  <c r="N53" i="9" l="1"/>
  <c r="M58" i="9"/>
  <c r="T26" i="26"/>
  <c r="T28" i="26" s="1"/>
  <c r="T29" i="26" s="1"/>
  <c r="AD38" i="26"/>
  <c r="AD40" i="26" s="1"/>
  <c r="Y38" i="26"/>
  <c r="Y40" i="26" s="1"/>
  <c r="T26" i="27"/>
  <c r="T28" i="27" s="1"/>
  <c r="T29" i="27" s="1"/>
  <c r="Y38" i="27"/>
  <c r="Y40" i="27" s="1"/>
  <c r="AD38" i="27"/>
  <c r="AD40" i="27" s="1"/>
  <c r="BE16" i="28"/>
  <c r="T23" i="5"/>
  <c r="AJ991" i="3"/>
  <c r="K4" i="9"/>
  <c r="K5" i="9" s="1"/>
  <c r="H5" i="9"/>
  <c r="F11" i="9"/>
  <c r="F37" i="9" s="1"/>
  <c r="F49" i="9" s="1"/>
  <c r="I5" i="9"/>
  <c r="E47" i="9"/>
  <c r="AJ617" i="6"/>
  <c r="E60" i="9"/>
  <c r="E66" i="9" s="1"/>
  <c r="E49" i="9"/>
  <c r="BO572" i="6"/>
  <c r="BO577" i="6" s="1"/>
  <c r="O76" i="25"/>
  <c r="AO698" i="6"/>
  <c r="CC534" i="6"/>
  <c r="CC537" i="6" s="1"/>
  <c r="BY537" i="6"/>
  <c r="BU537" i="6"/>
  <c r="BJ590" i="6"/>
  <c r="AV554" i="6" s="1"/>
  <c r="H6" i="9"/>
  <c r="G7" i="9"/>
  <c r="G11" i="9" s="1"/>
  <c r="G37" i="9" s="1"/>
  <c r="K16" i="9"/>
  <c r="J22" i="9"/>
  <c r="J35" i="9" s="1"/>
  <c r="O15" i="9"/>
  <c r="BM550" i="6"/>
  <c r="BQ548" i="6"/>
  <c r="L32" i="9"/>
  <c r="I9" i="9"/>
  <c r="J8" i="9"/>
  <c r="Y41" i="26" l="1"/>
  <c r="AB55" i="26" s="1"/>
  <c r="AB56" i="26" s="1"/>
  <c r="AB58" i="26" s="1"/>
  <c r="O53" i="9"/>
  <c r="N58" i="9"/>
  <c r="T26" i="5"/>
  <c r="T28" i="5" s="1"/>
  <c r="Q71" i="25"/>
  <c r="O75" i="25" s="1"/>
  <c r="R75" i="25" s="1"/>
  <c r="Y41" i="27"/>
  <c r="AB55" i="27" s="1"/>
  <c r="AB56" i="27" s="1"/>
  <c r="AB58" i="27" s="1"/>
  <c r="L4" i="9"/>
  <c r="L5" i="9" s="1"/>
  <c r="AK619" i="6"/>
  <c r="AJ1020" i="3"/>
  <c r="F45" i="9"/>
  <c r="F47" i="9" s="1"/>
  <c r="T708" i="6"/>
  <c r="T706" i="6" s="1"/>
  <c r="E67" i="9"/>
  <c r="E70" i="9" s="1"/>
  <c r="E72" i="9" s="1"/>
  <c r="BT573" i="6"/>
  <c r="AB75" i="26"/>
  <c r="AB76" i="26" s="1"/>
  <c r="AB77" i="26" s="1"/>
  <c r="AB79" i="26" s="1"/>
  <c r="J80" i="26" s="1"/>
  <c r="F59" i="26"/>
  <c r="CG537" i="6"/>
  <c r="BQ550" i="6"/>
  <c r="BU549" i="6"/>
  <c r="BU550" i="6" s="1"/>
  <c r="L16" i="9"/>
  <c r="K22" i="9"/>
  <c r="K35" i="9" s="1"/>
  <c r="P15" i="9"/>
  <c r="G49" i="9"/>
  <c r="G45" i="9"/>
  <c r="H7" i="9"/>
  <c r="H11" i="9" s="1"/>
  <c r="I6" i="9"/>
  <c r="M32" i="9"/>
  <c r="K8" i="9"/>
  <c r="J9" i="9"/>
  <c r="O58" i="9" l="1"/>
  <c r="P53" i="9"/>
  <c r="AB75" i="27"/>
  <c r="AB76" i="27" s="1"/>
  <c r="AB77" i="27" s="1"/>
  <c r="AB79" i="27" s="1"/>
  <c r="J80" i="27" s="1"/>
  <c r="F59" i="27"/>
  <c r="Y63" i="5"/>
  <c r="Y67" i="5" s="1"/>
  <c r="T29" i="5"/>
  <c r="M4" i="9"/>
  <c r="M5" i="9" s="1"/>
  <c r="F48" i="9"/>
  <c r="F60" i="9"/>
  <c r="F66" i="9" s="1"/>
  <c r="T24" i="5"/>
  <c r="X1025" i="3"/>
  <c r="AF706" i="6"/>
  <c r="AF712" i="6" s="1"/>
  <c r="BT577" i="6"/>
  <c r="BY574" i="6"/>
  <c r="CC550" i="6"/>
  <c r="H37" i="9"/>
  <c r="H49" i="9" s="1"/>
  <c r="M16" i="9"/>
  <c r="L22" i="9"/>
  <c r="L35" i="9" s="1"/>
  <c r="Q15" i="9"/>
  <c r="G47" i="9"/>
  <c r="G48" i="9"/>
  <c r="G60" i="9"/>
  <c r="J6" i="9"/>
  <c r="I7" i="9"/>
  <c r="I11" i="9" s="1"/>
  <c r="I37" i="9" s="1"/>
  <c r="N32" i="9"/>
  <c r="L8" i="9"/>
  <c r="K9" i="9"/>
  <c r="Q53" i="9" l="1"/>
  <c r="P58" i="9"/>
  <c r="N4" i="9"/>
  <c r="O4" i="9" s="1"/>
  <c r="F62" i="9"/>
  <c r="F67" i="9"/>
  <c r="F68" i="9"/>
  <c r="F69" i="9"/>
  <c r="D1026" i="3"/>
  <c r="AD38" i="5"/>
  <c r="AD40" i="5" s="1"/>
  <c r="Y38" i="5"/>
  <c r="Y40" i="5" s="1"/>
  <c r="CD575" i="6"/>
  <c r="BY577" i="6"/>
  <c r="H45" i="9"/>
  <c r="H60" i="9" s="1"/>
  <c r="H69" i="9" s="1"/>
  <c r="K6" i="9"/>
  <c r="J7" i="9"/>
  <c r="J11" i="9" s="1"/>
  <c r="J37" i="9" s="1"/>
  <c r="G62" i="9"/>
  <c r="G67" i="9"/>
  <c r="G69" i="9"/>
  <c r="G68" i="9"/>
  <c r="G66" i="9"/>
  <c r="R15" i="9"/>
  <c r="I45" i="9"/>
  <c r="I49" i="9"/>
  <c r="N16" i="9"/>
  <c r="M22" i="9"/>
  <c r="M35" i="9" s="1"/>
  <c r="O32" i="9"/>
  <c r="M8" i="9"/>
  <c r="L9" i="9"/>
  <c r="Q58" i="9" l="1"/>
  <c r="R53" i="9"/>
  <c r="N5" i="9"/>
  <c r="F70" i="9"/>
  <c r="F72" i="9" s="1"/>
  <c r="AR43" i="5"/>
  <c r="AR42" i="5"/>
  <c r="Y41" i="5" s="1"/>
  <c r="AB55" i="5" s="1"/>
  <c r="CD577" i="6"/>
  <c r="CI576" i="6"/>
  <c r="CI577" i="6" s="1"/>
  <c r="H48" i="9"/>
  <c r="H66" i="9"/>
  <c r="H68" i="9"/>
  <c r="H67" i="9"/>
  <c r="H47" i="9"/>
  <c r="H62" i="9"/>
  <c r="I48" i="9"/>
  <c r="I47" i="9"/>
  <c r="I60" i="9"/>
  <c r="J49" i="9"/>
  <c r="J45" i="9"/>
  <c r="P4" i="9"/>
  <c r="O5" i="9"/>
  <c r="G70" i="9"/>
  <c r="G72" i="9" s="1"/>
  <c r="S15" i="9"/>
  <c r="O16" i="9"/>
  <c r="N22" i="9"/>
  <c r="N35" i="9" s="1"/>
  <c r="L6" i="9"/>
  <c r="K7" i="9"/>
  <c r="K11" i="9" s="1"/>
  <c r="K37" i="9" s="1"/>
  <c r="P32" i="9"/>
  <c r="N8" i="9"/>
  <c r="M9" i="9"/>
  <c r="R58" i="9" l="1"/>
  <c r="S53" i="9"/>
  <c r="S58" i="9" s="1"/>
  <c r="M25" i="3"/>
  <c r="Q22" i="28"/>
  <c r="V33" i="28" s="1"/>
  <c r="V35" i="28" s="1"/>
  <c r="AB56" i="5"/>
  <c r="BE15" i="28"/>
  <c r="CN577" i="6"/>
  <c r="BD558" i="6" s="1"/>
  <c r="H70" i="9"/>
  <c r="H72" i="9" s="1"/>
  <c r="K45" i="9"/>
  <c r="K49" i="9"/>
  <c r="Q4" i="9"/>
  <c r="P5" i="9"/>
  <c r="J48" i="9"/>
  <c r="J60" i="9"/>
  <c r="J47" i="9"/>
  <c r="M6" i="9"/>
  <c r="L7" i="9"/>
  <c r="L11" i="9" s="1"/>
  <c r="L37" i="9" s="1"/>
  <c r="P16" i="9"/>
  <c r="O22" i="9"/>
  <c r="O35" i="9" s="1"/>
  <c r="I62" i="9"/>
  <c r="I66" i="9"/>
  <c r="I68" i="9"/>
  <c r="I69" i="9"/>
  <c r="I67" i="9"/>
  <c r="Q32" i="9"/>
  <c r="N9" i="9"/>
  <c r="O8" i="9"/>
  <c r="AB58" i="5" l="1"/>
  <c r="AB75" i="5" s="1"/>
  <c r="AB76" i="5" s="1"/>
  <c r="P203" i="3"/>
  <c r="AT560" i="6"/>
  <c r="AW562" i="6"/>
  <c r="I70" i="9"/>
  <c r="I72" i="9" s="1"/>
  <c r="N6" i="9"/>
  <c r="M7" i="9"/>
  <c r="M11" i="9" s="1"/>
  <c r="M37" i="9" s="1"/>
  <c r="J68" i="9"/>
  <c r="J62" i="9"/>
  <c r="J66" i="9"/>
  <c r="J69" i="9"/>
  <c r="J67" i="9"/>
  <c r="Q16" i="9"/>
  <c r="P22" i="9"/>
  <c r="P35" i="9" s="1"/>
  <c r="L45" i="9"/>
  <c r="L49" i="9"/>
  <c r="Q5" i="9"/>
  <c r="R4" i="9"/>
  <c r="K48" i="9"/>
  <c r="K60" i="9"/>
  <c r="K47" i="9"/>
  <c r="R32" i="9"/>
  <c r="O9" i="9"/>
  <c r="P8" i="9"/>
  <c r="F59" i="5" l="1"/>
  <c r="M27" i="3"/>
  <c r="AB77" i="5"/>
  <c r="R5" i="9"/>
  <c r="S4" i="9"/>
  <c r="J70" i="9"/>
  <c r="J72" i="9" s="1"/>
  <c r="L47" i="9"/>
  <c r="L48" i="9"/>
  <c r="L60" i="9"/>
  <c r="N7" i="9"/>
  <c r="N11" i="9" s="1"/>
  <c r="N37" i="9" s="1"/>
  <c r="O6" i="9"/>
  <c r="M49" i="9"/>
  <c r="M45" i="9"/>
  <c r="K68" i="9"/>
  <c r="K69" i="9"/>
  <c r="K67" i="9"/>
  <c r="K66" i="9"/>
  <c r="K62" i="9"/>
  <c r="R16" i="9"/>
  <c r="Q22" i="9"/>
  <c r="Q35" i="9" s="1"/>
  <c r="S32" i="9"/>
  <c r="P9" i="9"/>
  <c r="Q8" i="9"/>
  <c r="D203" i="3" l="1"/>
  <c r="AB79" i="5"/>
  <c r="J80" i="5" s="1"/>
  <c r="W203" i="3"/>
  <c r="S5" i="9"/>
  <c r="K70" i="9"/>
  <c r="K72" i="9" s="1"/>
  <c r="N45" i="9"/>
  <c r="N49" i="9"/>
  <c r="S16" i="9"/>
  <c r="S22" i="9" s="1"/>
  <c r="S35" i="9" s="1"/>
  <c r="R22" i="9"/>
  <c r="R35" i="9" s="1"/>
  <c r="L67" i="9"/>
  <c r="L68" i="9"/>
  <c r="L69" i="9"/>
  <c r="L62" i="9"/>
  <c r="L66" i="9"/>
  <c r="M48" i="9"/>
  <c r="M60" i="9"/>
  <c r="M47" i="9"/>
  <c r="O7" i="9"/>
  <c r="O11" i="9" s="1"/>
  <c r="O37" i="9" s="1"/>
  <c r="P6" i="9"/>
  <c r="Q9" i="9"/>
  <c r="R8" i="9"/>
  <c r="O45" i="9" l="1"/>
  <c r="O49" i="9"/>
  <c r="L70" i="9"/>
  <c r="L72" i="9" s="1"/>
  <c r="P7" i="9"/>
  <c r="P11" i="9" s="1"/>
  <c r="P37" i="9" s="1"/>
  <c r="Q6" i="9"/>
  <c r="M69" i="9"/>
  <c r="M67" i="9"/>
  <c r="M66" i="9"/>
  <c r="M62" i="9"/>
  <c r="M68" i="9"/>
  <c r="N47" i="9"/>
  <c r="N48" i="9"/>
  <c r="N60" i="9"/>
  <c r="S8" i="9"/>
  <c r="R9" i="9"/>
  <c r="P49" i="9" l="1"/>
  <c r="P45" i="9"/>
  <c r="N66" i="9"/>
  <c r="N68" i="9"/>
  <c r="N67" i="9"/>
  <c r="N69" i="9"/>
  <c r="N62" i="9"/>
  <c r="R6" i="9"/>
  <c r="Q7" i="9"/>
  <c r="Q11" i="9" s="1"/>
  <c r="Q37" i="9" s="1"/>
  <c r="M70" i="9"/>
  <c r="M72" i="9" s="1"/>
  <c r="O48" i="9"/>
  <c r="O60" i="9"/>
  <c r="O47" i="9"/>
  <c r="S9" i="9"/>
  <c r="S6" i="9" l="1"/>
  <c r="R7" i="9"/>
  <c r="R11" i="9" s="1"/>
  <c r="R37" i="9" s="1"/>
  <c r="O66" i="9"/>
  <c r="O69" i="9"/>
  <c r="O62" i="9"/>
  <c r="O68" i="9"/>
  <c r="O67" i="9"/>
  <c r="Q49" i="9"/>
  <c r="Q45" i="9"/>
  <c r="P47" i="9"/>
  <c r="P48" i="9"/>
  <c r="P60" i="9"/>
  <c r="N70" i="9"/>
  <c r="N72" i="9" s="1"/>
  <c r="S7" i="9" l="1"/>
  <c r="S11" i="9" s="1"/>
  <c r="S37" i="9" s="1"/>
  <c r="S49" i="9" s="1"/>
  <c r="P68" i="9"/>
  <c r="P69" i="9"/>
  <c r="P66" i="9"/>
  <c r="P67" i="9"/>
  <c r="P62" i="9"/>
  <c r="O70" i="9"/>
  <c r="O72" i="9" s="1"/>
  <c r="R49" i="9"/>
  <c r="R45" i="9"/>
  <c r="Q48" i="9"/>
  <c r="Q60" i="9"/>
  <c r="Q47" i="9"/>
  <c r="S45" i="9" l="1"/>
  <c r="R60" i="9"/>
  <c r="R47" i="9"/>
  <c r="R48" i="9"/>
  <c r="Q69" i="9"/>
  <c r="Q68" i="9"/>
  <c r="Q66" i="9"/>
  <c r="Q62" i="9"/>
  <c r="Q67" i="9"/>
  <c r="P70" i="9"/>
  <c r="P72" i="9" s="1"/>
  <c r="S47" i="9" l="1"/>
  <c r="S48" i="9"/>
  <c r="S60" i="9"/>
  <c r="Q70" i="9"/>
  <c r="Q72" i="9" s="1"/>
  <c r="R62" i="9"/>
  <c r="R68" i="9"/>
  <c r="R67" i="9"/>
  <c r="R66" i="9"/>
  <c r="R69" i="9"/>
  <c r="S62" i="9" l="1"/>
  <c r="S67" i="9"/>
  <c r="S69" i="9"/>
  <c r="S66" i="9"/>
  <c r="S68" i="9"/>
  <c r="R70" i="9"/>
  <c r="R72" i="9" s="1"/>
  <c r="S70" i="9" l="1"/>
  <c r="S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rgb="FF000000"/>
            <rFont val="Arial"/>
            <family val="2"/>
          </rPr>
          <t xml:space="preserve">DO NOT USE if Rural set-aside projects:  </t>
        </r>
      </text>
    </comment>
    <comment ref="E587" authorId="2" shapeId="0" xr:uid="{00000000-0006-0000-0700-00000D000000}">
      <text>
        <r>
          <rPr>
            <sz val="9"/>
            <color rgb="FF000000"/>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<sst xmlns="http://schemas.openxmlformats.org/spreadsheetml/2006/main" count="4683" uniqueCount="2495">
  <si>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</si>
  <si>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</si>
  <si>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</si>
  <si>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</si>
  <si>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</si>
  <si>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</si>
  <si>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</si>
  <si>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</si>
  <si>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</si>
  <si>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</si>
  <si>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</si>
  <si>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</si>
  <si>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</si>
  <si>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</si>
  <si>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</si>
  <si>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</si>
  <si>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</si>
  <si>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</si>
  <si>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</si>
  <si>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</si>
  <si>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</si>
  <si>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</si>
  <si>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</si>
  <si>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</si>
  <si>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</si>
  <si>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</si>
  <si>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</si>
  <si>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</si>
  <si>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</si>
  <si>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</si>
  <si>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</si>
  <si>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</si>
  <si>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</si>
  <si>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</si>
  <si>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</si>
  <si>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</si>
  <si>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</si>
  <si>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</si>
  <si>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</si>
  <si>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</si>
  <si>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</si>
  <si>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</si>
  <si>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</si>
  <si>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</si>
  <si>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</si>
  <si>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</si>
  <si>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</si>
  <si>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</si>
  <si>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</si>
  <si>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</si>
  <si>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</si>
  <si>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</si>
  <si>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</si>
  <si>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</si>
  <si>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</si>
  <si>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</si>
  <si>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</si>
  <si>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</si>
  <si>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</si>
  <si>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</si>
  <si>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</si>
  <si>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</si>
  <si>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</si>
  <si>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</si>
  <si>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</si>
  <si>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</si>
  <si>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</si>
  <si>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</si>
  <si>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</si>
  <si>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</si>
  <si>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</si>
  <si>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</si>
  <si>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</si>
  <si>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</si>
  <si>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</si>
  <si>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</si>
  <si>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</si>
  <si>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</si>
  <si>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</si>
  <si>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</si>
  <si>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</si>
  <si>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</si>
  <si>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</si>
  <si>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</si>
  <si>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</si>
  <si>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</si>
  <si>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</si>
  <si>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</si>
  <si>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</si>
  <si>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</si>
  <si>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</si>
  <si>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</si>
  <si>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</si>
  <si>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</si>
  <si>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</si>
  <si>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</si>
  <si>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</si>
  <si>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</si>
  <si>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</si>
  <si>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</si>
  <si>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</si>
  <si>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</si>
  <si>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</si>
  <si>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</si>
  <si>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</si>
  <si>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</si>
  <si>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</si>
  <si>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</si>
  <si>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</si>
  <si>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</si>
  <si>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</si>
  <si>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</si>
  <si>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</si>
  <si>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</si>
  <si>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</si>
  <si>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</si>
  <si>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</si>
  <si>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</si>
  <si>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</si>
  <si>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</si>
  <si>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</si>
  <si>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</si>
  <si>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</si>
  <si>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</si>
  <si>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</si>
  <si>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</si>
  <si>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</si>
  <si>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</si>
  <si>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</si>
  <si>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</si>
  <si>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</si>
  <si>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</si>
  <si>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</si>
  <si>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</si>
  <si>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</si>
  <si>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</si>
  <si>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</si>
  <si>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</si>
  <si>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</si>
  <si>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</si>
  <si>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</si>
  <si>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</si>
  <si>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</si>
  <si>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</si>
  <si>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</si>
  <si>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</si>
  <si>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</si>
  <si>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</si>
  <si>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</si>
  <si>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</si>
  <si>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</si>
  <si>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</si>
  <si>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</si>
  <si>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</si>
  <si>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</si>
  <si>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</si>
  <si>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</si>
  <si>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</si>
  <si>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</si>
  <si>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</si>
  <si>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</si>
  <si>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</si>
  <si>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</si>
  <si>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</si>
  <si>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</si>
  <si>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</si>
  <si>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</si>
  <si>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</si>
  <si>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</si>
  <si>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</si>
  <si>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</si>
  <si>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</si>
  <si>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</si>
  <si>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</si>
  <si>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</si>
  <si>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</si>
  <si>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</si>
  <si>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</si>
  <si>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</si>
  <si>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</si>
  <si>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</si>
  <si>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</si>
  <si>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</si>
  <si>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</si>
  <si>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</si>
  <si>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</si>
  <si>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</si>
  <si>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</si>
  <si>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</si>
  <si>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</si>
  <si>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</si>
  <si>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</si>
  <si>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</si>
  <si>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</si>
  <si>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</si>
  <si>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</si>
  <si>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</si>
  <si>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</si>
  <si>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</si>
  <si>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</si>
  <si>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</si>
  <si>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</si>
  <si>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</si>
  <si>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</si>
  <si>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</si>
  <si>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</si>
  <si>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</si>
  <si>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</si>
  <si>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</si>
  <si>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</si>
  <si>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</si>
  <si>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</si>
  <si>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</si>
  <si>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</si>
  <si>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</si>
  <si>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</si>
  <si>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</si>
  <si>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</si>
  <si>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</si>
  <si>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</si>
  <si>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</si>
  <si>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</si>
  <si>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</si>
  <si>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</si>
  <si>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</si>
  <si>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</si>
  <si>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</si>
  <si>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</si>
  <si>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</si>
  <si>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</si>
  <si>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</si>
  <si>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</si>
  <si>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</si>
  <si>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</si>
  <si>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</si>
  <si>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</si>
  <si>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</si>
  <si>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</si>
  <si>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</si>
  <si>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</si>
  <si>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</si>
  <si>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</si>
  <si>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</si>
  <si>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</si>
  <si>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</si>
  <si>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</si>
  <si>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</si>
  <si>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</si>
  <si>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</si>
  <si>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</si>
  <si>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</si>
  <si>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</si>
  <si>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</si>
  <si>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</si>
  <si>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</si>
  <si>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</si>
  <si>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</si>
  <si>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</si>
  <si>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</si>
  <si>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</si>
  <si>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</si>
  <si>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</si>
  <si>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</si>
  <si>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</si>
  <si>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</si>
  <si>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</si>
  <si>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</si>
  <si>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</si>
  <si>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</si>
  <si>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</si>
  <si>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</si>
  <si>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</si>
  <si>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</si>
  <si>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</si>
  <si>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</si>
  <si>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</si>
  <si>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</si>
  <si>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</si>
  <si>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</si>
  <si>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</si>
  <si>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</si>
  <si>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</si>
  <si>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</si>
  <si>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</si>
  <si>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</si>
  <si>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</si>
  <si>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</si>
  <si>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</si>
  <si>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</si>
  <si>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</si>
  <si>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</si>
  <si>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</si>
  <si>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</si>
  <si>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</si>
  <si>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</si>
  <si>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</si>
  <si>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</si>
  <si>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</si>
  <si>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</si>
  <si>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</si>
  <si>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</si>
  <si>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</si>
  <si>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</si>
  <si>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</si>
  <si>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</si>
  <si>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</si>
  <si>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</si>
  <si>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</si>
  <si>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</si>
  <si>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</si>
  <si>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</si>
  <si>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</si>
  <si>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</si>
  <si>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</si>
  <si>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</si>
  <si>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</si>
  <si>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</si>
  <si>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</si>
  <si>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</si>
  <si>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</si>
  <si>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</si>
  <si>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</si>
  <si>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</si>
  <si>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</si>
  <si>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</si>
  <si>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</si>
  <si>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</si>
  <si>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</si>
  <si>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</si>
  <si>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</si>
  <si>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</si>
  <si>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</si>
  <si>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</si>
  <si>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</si>
  <si>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</si>
  <si>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</si>
  <si>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</si>
  <si>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</si>
  <si>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</si>
  <si>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</si>
  <si>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</si>
  <si>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</si>
  <si>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</si>
  <si>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</si>
  <si>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</si>
  <si>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</si>
  <si>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</si>
  <si>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</si>
  <si>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</si>
  <si>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</si>
  <si>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</si>
  <si>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</si>
  <si>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</si>
  <si>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</si>
  <si>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</si>
  <si>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</si>
  <si>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</si>
  <si>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</si>
  <si>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</si>
  <si>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</si>
  <si>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</si>
  <si>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</si>
  <si>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</si>
  <si>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</si>
  <si>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</si>
  <si>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</si>
  <si>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</si>
  <si>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</si>
  <si>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</si>
  <si>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</si>
  <si>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</si>
  <si>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</si>
  <si>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</si>
  <si>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</si>
  <si>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</si>
  <si>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</si>
  <si>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</si>
  <si>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</si>
  <si>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</si>
  <si>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</si>
  <si>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</si>
  <si>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</si>
  <si>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</si>
  <si>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</si>
  <si>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</si>
  <si>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</si>
  <si>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</si>
  <si>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</si>
  <si>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</si>
  <si>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</si>
  <si>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</si>
  <si>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</si>
  <si>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</si>
  <si>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</si>
  <si>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</si>
  <si>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</si>
  <si>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</si>
  <si>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</si>
  <si>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</si>
  <si>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</si>
  <si>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</si>
  <si>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</si>
  <si>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</si>
  <si>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</si>
  <si>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</si>
  <si>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</si>
  <si>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</si>
  <si>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</si>
  <si>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</si>
  <si>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</si>
  <si>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</si>
  <si>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</si>
  <si>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</si>
  <si>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</si>
  <si>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</si>
  <si>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</si>
  <si>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</si>
  <si>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</si>
  <si>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</si>
  <si>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</si>
  <si>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</si>
  <si>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</si>
  <si>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</si>
  <si>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</si>
  <si>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</si>
  <si>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</si>
  <si>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</si>
  <si>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</si>
  <si>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</si>
  <si>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</si>
  <si>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</si>
  <si>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</si>
  <si>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</si>
  <si>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</si>
  <si>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</si>
  <si>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</si>
  <si>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</si>
  <si>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</si>
  <si>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</si>
  <si>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</si>
  <si>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</si>
  <si>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</si>
  <si>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</si>
  <si>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</si>
  <si>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</si>
  <si>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</si>
  <si>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</si>
  <si>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</si>
  <si>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</si>
  <si>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</si>
  <si>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</si>
  <si>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</si>
  <si>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</si>
  <si>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</si>
  <si>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</si>
  <si>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</si>
  <si>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</si>
  <si>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</si>
  <si>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</si>
  <si>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</si>
  <si>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</si>
  <si>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</si>
  <si>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</si>
  <si>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</si>
  <si>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</si>
  <si>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</si>
  <si>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</si>
  <si>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</si>
  <si>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</si>
  <si>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</si>
  <si>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</si>
  <si>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</si>
  <si>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</si>
  <si>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</si>
  <si>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</si>
  <si>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</si>
  <si>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</si>
  <si>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</si>
  <si>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</si>
  <si>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</si>
  <si>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</si>
  <si>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</si>
  <si>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</si>
  <si>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</si>
  <si>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</si>
  <si>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</si>
  <si>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</si>
  <si>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</si>
  <si>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</si>
  <si>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</si>
  <si>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</si>
  <si>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</si>
  <si>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</si>
  <si>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</si>
  <si>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</si>
  <si>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</si>
  <si>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</si>
  <si>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</si>
  <si>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</si>
  <si>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</si>
  <si>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</si>
  <si>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</si>
  <si>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</si>
  <si>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</si>
  <si>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</si>
  <si>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</si>
  <si>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</si>
  <si>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</si>
  <si>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</si>
  <si>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</si>
  <si>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</si>
  <si>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</si>
  <si>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</si>
  <si>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</si>
  <si>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</si>
  <si>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</si>
  <si>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</si>
  <si>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</si>
  <si>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</si>
  <si>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</si>
  <si>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</si>
  <si>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</si>
  <si>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</si>
  <si>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</si>
  <si>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</si>
  <si>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</si>
  <si>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</si>
  <si>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</si>
  <si>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</si>
  <si>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</si>
  <si>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</si>
  <si>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</si>
  <si>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</si>
  <si>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</si>
  <si>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</si>
  <si>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</si>
  <si>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</si>
  <si>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</si>
  <si>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</si>
  <si>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</si>
  <si>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</si>
  <si>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</si>
  <si>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</si>
  <si>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</si>
  <si>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</si>
  <si>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</si>
  <si>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</si>
  <si>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</si>
  <si>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</si>
  <si>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</si>
  <si>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</si>
  <si>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</si>
  <si>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</si>
  <si>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</si>
  <si>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</si>
  <si>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</si>
  <si>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</si>
  <si>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</si>
  <si>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</si>
  <si>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</si>
  <si>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</si>
  <si>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</si>
  <si>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</si>
  <si>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</si>
  <si>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</si>
  <si>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</si>
  <si>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</si>
  <si>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</si>
  <si>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</si>
  <si>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</si>
  <si>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</si>
  <si>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</si>
  <si>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</si>
  <si>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</si>
  <si>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</si>
  <si>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</si>
  <si>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</si>
  <si>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</si>
  <si>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</si>
  <si>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</si>
  <si>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</si>
  <si>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</si>
  <si>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</si>
  <si>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</si>
  <si>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</si>
  <si>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</si>
  <si>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</si>
  <si>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</si>
  <si>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</si>
  <si>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</si>
  <si>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</si>
  <si>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</si>
  <si>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</si>
  <si>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</si>
  <si>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</si>
  <si>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</si>
  <si>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</si>
  <si>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</si>
  <si>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</si>
  <si>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</si>
  <si>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</si>
  <si>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</si>
  <si>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</si>
  <si>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</si>
  <si>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</si>
  <si>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</si>
  <si>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</si>
  <si>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</si>
  <si>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</si>
  <si>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</si>
  <si>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</si>
  <si>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</si>
  <si>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</si>
  <si>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</si>
  <si>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</si>
  <si>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</si>
  <si>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</si>
  <si>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</si>
  <si>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</si>
  <si>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</si>
  <si>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</si>
  <si>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</si>
  <si>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</si>
  <si>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</si>
  <si>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</si>
  <si>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</si>
  <si>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</si>
  <si>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</si>
  <si>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</si>
  <si>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</si>
  <si>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</si>
  <si>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</si>
  <si>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</si>
  <si>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</si>
  <si>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</si>
  <si>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</si>
  <si>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</si>
  <si>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</si>
  <si>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</si>
  <si>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</si>
  <si>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</si>
  <si>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</si>
  <si>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</si>
  <si>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</si>
  <si>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</si>
  <si>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</si>
  <si>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</si>
  <si>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</si>
  <si>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</si>
  <si>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</si>
  <si>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</si>
  <si>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</si>
  <si>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</si>
  <si>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</si>
  <si>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</si>
  <si>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</si>
  <si>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</si>
  <si>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</si>
  <si>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</si>
  <si>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</si>
  <si>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</si>
  <si>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</si>
  <si>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</si>
  <si>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</si>
  <si>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</si>
  <si>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</si>
  <si>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</si>
  <si>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</si>
  <si>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</si>
  <si>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</si>
  <si>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</si>
  <si>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</si>
  <si>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</si>
  <si>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</si>
  <si>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</si>
  <si>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</si>
  <si>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</si>
  <si>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</si>
  <si>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</si>
  <si>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</si>
  <si>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</si>
  <si>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</si>
  <si>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</si>
  <si>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</si>
  <si>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</si>
  <si>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</si>
  <si>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</si>
  <si>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</si>
  <si>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</si>
  <si>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</si>
  <si>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</si>
  <si>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</si>
  <si>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</si>
  <si>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</si>
  <si>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</si>
  <si>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</si>
  <si>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</si>
  <si>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</si>
  <si>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</si>
  <si>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</si>
  <si>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</si>
  <si>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</si>
  <si>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</si>
  <si>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</si>
  <si>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</si>
  <si>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</si>
  <si>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</si>
  <si>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</si>
  <si>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</si>
  <si>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</si>
  <si>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</si>
  <si>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</si>
  <si>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</si>
  <si>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</si>
  <si>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</si>
  <si>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</si>
  <si>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</si>
  <si>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</si>
  <si>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</si>
  <si>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</si>
  <si>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</si>
  <si>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</si>
  <si>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</si>
  <si>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</si>
  <si>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</si>
  <si>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</si>
  <si>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</si>
  <si>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</si>
  <si>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</si>
  <si>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</si>
  <si>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</si>
  <si>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</si>
  <si>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</si>
  <si>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</si>
  <si>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</si>
  <si>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</si>
  <si>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</si>
  <si>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</si>
  <si>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</si>
  <si>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</si>
  <si>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</si>
  <si>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</si>
  <si>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</si>
  <si>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</si>
  <si>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</si>
  <si>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</si>
  <si>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</si>
  <si>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</si>
  <si>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</si>
  <si>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</si>
  <si>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</si>
  <si>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</si>
  <si>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</si>
  <si>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</si>
  <si>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</si>
  <si>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</si>
  <si>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</si>
  <si>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</si>
  <si>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</si>
  <si>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</si>
  <si>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</si>
  <si>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</si>
  <si>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</si>
  <si>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</si>
  <si>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</si>
  <si>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</si>
  <si>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</si>
  <si>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</si>
  <si>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</si>
  <si>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</si>
  <si>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</si>
  <si>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</si>
  <si>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</si>
  <si>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</si>
  <si>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</si>
  <si>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</si>
  <si>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</si>
  <si>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</si>
  <si>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</si>
  <si>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</si>
  <si>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</si>
  <si>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</si>
  <si>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</si>
  <si>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</si>
  <si>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</si>
  <si>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</si>
  <si>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</si>
  <si>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</si>
  <si>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</si>
  <si>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</si>
  <si>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</si>
  <si>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</si>
  <si>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</si>
  <si>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</si>
  <si>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</si>
  <si>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</si>
  <si>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</si>
  <si>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</si>
  <si>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</si>
  <si>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</si>
  <si>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</si>
  <si>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</si>
  <si>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</si>
  <si>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</si>
  <si>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</si>
  <si>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</si>
  <si>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</si>
  <si>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</si>
  <si>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</si>
  <si>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</si>
  <si>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</si>
  <si>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</si>
  <si>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</si>
  <si>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</si>
  <si>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</si>
  <si>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</si>
  <si>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</si>
  <si>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</si>
  <si>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</si>
  <si>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</si>
  <si>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</si>
  <si>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</si>
  <si>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</si>
  <si>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</si>
  <si>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</si>
  <si>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</si>
  <si>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</si>
  <si>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</si>
  <si>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</si>
  <si>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</si>
  <si>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</si>
  <si>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</si>
  <si>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</si>
  <si>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</si>
  <si>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</si>
  <si>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</si>
  <si>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</si>
  <si>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</si>
  <si>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</si>
  <si>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</si>
  <si>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</si>
  <si>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</si>
  <si>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</si>
  <si>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</si>
  <si>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</si>
  <si>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</si>
  <si>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</si>
  <si>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</si>
  <si>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</si>
  <si>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</si>
  <si>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</si>
  <si>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</si>
  <si>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</si>
  <si>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</si>
  <si>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</si>
  <si>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</si>
  <si>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</si>
  <si>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</si>
  <si>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</si>
  <si>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</si>
  <si>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</si>
  <si>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</si>
  <si>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</si>
  <si>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</si>
  <si>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</si>
  <si>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</si>
  <si>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</si>
  <si>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</si>
  <si>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</si>
  <si>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</si>
  <si>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</si>
  <si>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</si>
  <si>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</si>
  <si>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</si>
  <si>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</si>
  <si>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</si>
  <si>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</si>
  <si>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</si>
  <si>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</si>
  <si>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</si>
  <si>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</si>
  <si>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</si>
  <si>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</si>
  <si>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</si>
  <si>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</si>
  <si>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</si>
  <si>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</si>
  <si>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</si>
  <si>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</si>
  <si>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</si>
  <si>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</si>
  <si>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</si>
  <si>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</si>
  <si>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</si>
  <si>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</si>
  <si>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</si>
  <si>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</si>
  <si>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</si>
  <si>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</si>
  <si>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</si>
  <si>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</si>
  <si>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</si>
  <si>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</si>
  <si>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</si>
  <si>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</si>
  <si>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</si>
  <si>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</si>
  <si>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</si>
  <si>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</si>
  <si>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</si>
  <si>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</si>
  <si>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</si>
  <si>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</si>
  <si>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</si>
  <si>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</si>
  <si>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</si>
  <si>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</si>
  <si>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</si>
  <si>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</si>
  <si>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</si>
  <si>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</si>
  <si>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</si>
  <si>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</si>
  <si>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</si>
  <si>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</si>
  <si>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</si>
  <si>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</si>
  <si>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</si>
  <si>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</si>
  <si>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</si>
  <si>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</si>
  <si>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</si>
  <si>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</si>
  <si>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</si>
  <si>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</si>
  <si>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</si>
  <si>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</si>
  <si>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</si>
  <si>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</si>
  <si>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</si>
  <si>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</si>
  <si>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</si>
  <si>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</si>
  <si>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</si>
  <si>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</si>
  <si>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</si>
  <si>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</si>
  <si>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</si>
  <si>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</si>
  <si>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</si>
  <si>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</si>
  <si>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</si>
  <si>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</si>
  <si>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</si>
  <si>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</si>
  <si>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</si>
  <si>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</si>
  <si>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</si>
  <si>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</si>
  <si>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</si>
  <si>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</si>
  <si>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</si>
  <si>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</si>
  <si>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</si>
  <si>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</si>
  <si>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</si>
  <si>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</si>
  <si>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</si>
  <si>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</si>
  <si>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</si>
  <si>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</si>
  <si>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</si>
  <si>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</si>
  <si>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</si>
  <si>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</si>
  <si>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</si>
  <si>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</si>
  <si>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</si>
  <si>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</si>
  <si>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</si>
  <si>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</si>
  <si>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</si>
  <si>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</si>
  <si>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</si>
  <si>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</si>
  <si>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</si>
  <si>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</si>
  <si>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</si>
  <si>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</si>
  <si>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</si>
  <si>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</si>
  <si>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</si>
  <si>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</si>
  <si>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</si>
  <si>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</si>
  <si>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</si>
  <si>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</si>
  <si>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</si>
  <si>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</si>
  <si>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</si>
  <si>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</si>
  <si>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</si>
  <si>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</si>
  <si>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</si>
  <si>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</si>
  <si>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</si>
  <si>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</si>
  <si>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</si>
  <si>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</si>
  <si>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</si>
  <si>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</si>
  <si>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</si>
  <si>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</si>
  <si>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</si>
  <si>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</si>
  <si>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</si>
  <si>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</si>
  <si>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</si>
  <si>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</si>
  <si>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</si>
  <si>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</si>
  <si>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</si>
  <si>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</si>
  <si>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</si>
  <si>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</si>
  <si>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</si>
  <si>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</si>
  <si>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</si>
  <si>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</si>
  <si>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</si>
  <si>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</si>
  <si>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</si>
  <si>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</si>
  <si>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</si>
  <si>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</si>
  <si>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</si>
  <si>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</si>
  <si>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</si>
  <si>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</si>
  <si>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</si>
  <si>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</si>
  <si>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</si>
  <si>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</si>
  <si>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</si>
  <si>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</si>
  <si>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</si>
  <si>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</si>
  <si>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</si>
  <si>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</si>
  <si>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</si>
  <si>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</si>
  <si>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</si>
  <si>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</si>
  <si>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</si>
  <si>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</si>
  <si>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</si>
  <si>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</si>
  <si>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</si>
  <si>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</si>
  <si>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</si>
  <si>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</si>
  <si>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</si>
  <si>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</si>
  <si>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</si>
  <si>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</si>
  <si>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</si>
  <si>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</si>
  <si>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</si>
  <si>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</si>
  <si>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</si>
  <si>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</si>
  <si>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</si>
  <si>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</si>
  <si>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</si>
  <si>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</si>
  <si>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</si>
  <si>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</si>
  <si>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</si>
  <si>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</si>
  <si>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</si>
  <si>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</si>
  <si>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</si>
  <si>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</si>
  <si>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</si>
  <si>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</si>
  <si>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</si>
  <si>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</si>
  <si>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</si>
  <si>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</si>
  <si>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</si>
  <si>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</si>
  <si>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</si>
  <si>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</si>
  <si>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</si>
  <si>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</si>
  <si>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</si>
  <si>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</si>
  <si>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</si>
  <si>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</si>
  <si>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</si>
  <si>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</si>
  <si>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</si>
  <si>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</si>
  <si>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</si>
  <si>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</si>
  <si>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</si>
  <si>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</si>
  <si>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</si>
  <si>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</si>
  <si>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</si>
  <si>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</si>
  <si>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</si>
  <si>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</si>
  <si>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</si>
  <si>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</si>
  <si>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</si>
  <si>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</si>
  <si>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</si>
  <si>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</si>
  <si>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</si>
  <si>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</si>
  <si>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</si>
  <si>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</si>
  <si>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</si>
  <si>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</si>
  <si>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</si>
  <si>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</si>
  <si>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</si>
  <si>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</si>
  <si>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</si>
  <si>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</si>
  <si>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</si>
  <si>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</si>
  <si>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</si>
  <si>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</si>
  <si>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</si>
  <si>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</si>
  <si>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</si>
  <si>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</si>
  <si>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</si>
  <si>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</si>
  <si>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</si>
  <si>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</si>
  <si>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</si>
  <si>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</si>
  <si>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</si>
  <si>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</si>
  <si>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</si>
  <si>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</si>
  <si>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</si>
  <si>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</si>
  <si>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</si>
  <si>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</si>
  <si>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</si>
  <si>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</si>
  <si>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</si>
  <si>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</si>
  <si>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</si>
  <si>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</si>
  <si>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</si>
  <si>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</si>
  <si>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</si>
  <si>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</si>
  <si>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</si>
  <si>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</si>
  <si>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</si>
  <si>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</si>
  <si>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</si>
  <si>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</si>
  <si>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</si>
  <si>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</si>
  <si>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</si>
  <si>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</si>
  <si>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</si>
  <si>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</si>
  <si>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</si>
  <si>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</si>
  <si>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</si>
  <si>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</si>
  <si>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</si>
  <si>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</si>
  <si>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</si>
  <si>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</si>
  <si>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</si>
  <si>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</si>
  <si>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</si>
  <si>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</si>
  <si>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</si>
  <si>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</si>
  <si>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</si>
  <si>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</si>
  <si>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</si>
  <si>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</si>
  <si>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</si>
  <si>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</si>
  <si>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</si>
  <si>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</si>
  <si>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</si>
  <si>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</si>
  <si>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</si>
  <si>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</si>
  <si>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</si>
  <si>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</si>
  <si>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</si>
  <si>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</si>
  <si>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</si>
  <si>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</si>
  <si>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</si>
  <si>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</si>
  <si>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</si>
  <si>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</si>
  <si>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</si>
  <si>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</si>
  <si>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</si>
  <si>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</si>
  <si>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</si>
  <si>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</si>
  <si>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</si>
  <si>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</si>
  <si>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</si>
  <si>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</si>
  <si>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</si>
  <si>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</si>
  <si>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</si>
  <si>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</si>
  <si>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</si>
  <si>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</si>
  <si>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</si>
  <si>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</si>
  <si>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</si>
  <si>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</si>
  <si>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</si>
  <si>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</si>
  <si>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</si>
  <si>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</si>
  <si>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</si>
  <si>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</si>
  <si>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</si>
  <si>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</si>
  <si>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</si>
  <si>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</si>
  <si>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</si>
  <si>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</si>
  <si>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</si>
  <si>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</si>
  <si>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</si>
  <si>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</si>
  <si>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</si>
  <si>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</si>
  <si>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</si>
  <si>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</si>
  <si>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</si>
  <si>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</si>
  <si>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</si>
  <si>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</si>
  <si>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</si>
  <si>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</si>
  <si>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</si>
  <si>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</si>
  <si>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</si>
  <si>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</si>
  <si>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</si>
  <si>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</si>
  <si>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</si>
  <si>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</si>
  <si>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</si>
  <si>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</si>
  <si>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</si>
  <si>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</si>
  <si>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</si>
  <si>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</si>
  <si>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</si>
  <si>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</si>
  <si>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</si>
  <si>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</si>
  <si>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</si>
  <si>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</si>
  <si>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</si>
  <si>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</si>
  <si>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</si>
  <si>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</si>
  <si>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</si>
  <si>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</si>
  <si>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</si>
  <si>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</si>
  <si>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</si>
  <si>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</si>
  <si>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</si>
  <si>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</si>
  <si>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</si>
  <si>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</si>
  <si>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</si>
  <si>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</si>
  <si>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</si>
  <si>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</si>
  <si>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</si>
  <si>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</si>
  <si>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</si>
  <si>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</si>
  <si>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</si>
  <si>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</si>
  <si>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</si>
  <si>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</si>
  <si>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</si>
  <si>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</si>
  <si>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</si>
  <si>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</si>
  <si>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</si>
  <si>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</si>
  <si>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</si>
  <si>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</si>
  <si>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</si>
  <si>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</si>
  <si>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</si>
  <si>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</si>
  <si>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</si>
  <si>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</si>
  <si>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</si>
  <si>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</si>
  <si>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</si>
  <si>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</si>
  <si>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</si>
  <si>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</si>
  <si>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</si>
  <si>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</si>
  <si>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</si>
  <si>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</si>
  <si>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</si>
  <si>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</si>
  <si>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</si>
  <si>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</si>
  <si>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</si>
  <si>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</si>
  <si>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</si>
  <si>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</si>
  <si>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</si>
  <si>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</si>
  <si>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</si>
  <si>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</si>
  <si>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</si>
  <si>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</si>
  <si>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</si>
  <si>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</si>
  <si>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</si>
  <si>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</si>
  <si>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</si>
  <si>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</si>
  <si>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</si>
  <si>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</si>
  <si>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</si>
  <si>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</si>
  <si>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</si>
  <si>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</si>
  <si>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</si>
  <si>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</si>
  <si>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</si>
  <si>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</si>
  <si>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</si>
  <si>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</si>
  <si>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</si>
  <si>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</si>
  <si>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</si>
  <si>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</si>
  <si>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</si>
  <si>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</si>
  <si>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</si>
  <si>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</si>
  <si>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</si>
  <si>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</si>
  <si>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</si>
  <si>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</si>
  <si>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</si>
  <si>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</si>
  <si>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</si>
  <si>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</si>
  <si>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</si>
  <si>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</si>
  <si>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</si>
  <si>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</si>
  <si>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</si>
  <si>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</si>
  <si>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</si>
  <si>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</si>
  <si>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</si>
  <si>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</si>
  <si>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</si>
  <si>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</si>
  <si>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</si>
  <si>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</si>
  <si>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</si>
  <si>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</si>
  <si>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</si>
  <si>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</si>
  <si>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</si>
  <si>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</si>
  <si>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</si>
  <si>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</si>
  <si>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</si>
  <si>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</si>
  <si>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</si>
  <si>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</si>
  <si>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</si>
  <si>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</si>
  <si>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</si>
  <si>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</si>
  <si>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</si>
  <si>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</si>
  <si>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</si>
  <si>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</si>
  <si>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</si>
  <si>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</si>
  <si>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</si>
  <si>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</si>
  <si>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</si>
  <si>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</si>
  <si>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</si>
  <si>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</si>
  <si>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</si>
  <si>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</si>
  <si>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</si>
  <si>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</si>
  <si>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</si>
  <si>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</si>
  <si>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</si>
  <si>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</si>
  <si>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</si>
  <si>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</si>
  <si>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</si>
  <si>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</si>
  <si>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</si>
  <si>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</si>
  <si>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</si>
  <si>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</si>
  <si>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</si>
  <si>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</si>
  <si>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</si>
  <si>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</si>
  <si>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</si>
  <si>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</si>
  <si>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</si>
  <si>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</si>
  <si>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</si>
  <si>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</si>
  <si>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</si>
  <si>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</si>
  <si>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</si>
  <si>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</si>
  <si>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</si>
  <si>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</si>
  <si>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</si>
  <si>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</si>
  <si>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</si>
  <si>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</si>
  <si>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</si>
  <si>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</si>
  <si>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</si>
  <si>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</si>
  <si>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</si>
  <si>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</si>
  <si>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</si>
  <si>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</si>
  <si>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</si>
  <si>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</si>
  <si>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</si>
  <si>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</si>
  <si>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</si>
  <si>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</si>
  <si>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</si>
  <si>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</si>
  <si>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</si>
  <si>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</si>
  <si>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</si>
  <si>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</si>
  <si>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</si>
  <si>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</si>
  <si>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</si>
  <si>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</si>
  <si>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</si>
  <si>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</si>
  <si>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</si>
  <si>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</si>
  <si>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</si>
  <si>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</si>
  <si>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</si>
  <si>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</si>
  <si>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</si>
  <si>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</si>
  <si>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</si>
  <si>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</si>
  <si>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</si>
  <si>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</si>
  <si>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</si>
  <si>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</si>
  <si>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</si>
  <si>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</si>
  <si>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</si>
  <si>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</si>
  <si>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</si>
  <si>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</si>
  <si>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</si>
  <si>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</si>
  <si>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</si>
  <si>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</si>
  <si>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</si>
  <si>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</si>
  <si>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</si>
  <si>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</si>
  <si>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</si>
  <si>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</si>
  <si>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</si>
  <si>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</si>
  <si>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</si>
  <si>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</si>
  <si>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</si>
  <si>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</si>
  <si>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</si>
  <si>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</si>
  <si>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</si>
  <si>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</si>
  <si>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</si>
  <si>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</si>
  <si>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</si>
  <si>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</si>
  <si>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</si>
  <si>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</si>
  <si>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</si>
  <si>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</si>
  <si>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</si>
  <si>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</si>
  <si>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</si>
  <si>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</si>
  <si>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</si>
  <si>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</si>
  <si>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</si>
  <si>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</si>
  <si>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</si>
  <si>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</si>
  <si>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</si>
  <si>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</si>
  <si>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</si>
  <si>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</si>
  <si>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</si>
  <si>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</si>
  <si>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</si>
  <si>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</si>
  <si>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</si>
  <si>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</si>
  <si>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</si>
  <si>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</si>
  <si>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</si>
  <si>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</si>
  <si>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</si>
  <si>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</si>
  <si>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</si>
  <si>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</si>
  <si>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</si>
  <si>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</si>
  <si>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</si>
  <si>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</si>
  <si>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</si>
  <si>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</si>
  <si>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</si>
  <si>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</si>
  <si>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</si>
  <si>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</si>
  <si>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</si>
  <si>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</si>
  <si>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</si>
  <si>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</si>
  <si>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</si>
  <si>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</si>
  <si>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</si>
  <si>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</si>
  <si>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</si>
  <si>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</si>
  <si>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</si>
  <si>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</si>
  <si>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</si>
  <si>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</si>
  <si>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</si>
  <si>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</si>
  <si>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</si>
  <si>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</si>
  <si>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</si>
  <si>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</si>
  <si>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</si>
  <si>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</si>
  <si>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</si>
  <si>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</si>
  <si>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</si>
  <si>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</si>
  <si>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</si>
  <si>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</si>
  <si>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</si>
  <si>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</si>
  <si>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</si>
  <si>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</si>
  <si>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</si>
  <si>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</si>
  <si>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</si>
  <si>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</si>
  <si>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</si>
  <si>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</si>
  <si>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</si>
  <si>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</si>
  <si>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</si>
  <si>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</si>
  <si>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</si>
  <si>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</si>
  <si>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</si>
  <si>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</si>
  <si>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</si>
  <si>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</si>
  <si>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</si>
  <si>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</si>
  <si>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</si>
  <si>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</si>
  <si>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</si>
  <si>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</si>
  <si>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</si>
  <si>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</si>
  <si>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</si>
  <si>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</si>
  <si>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</si>
  <si>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</si>
  <si>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</si>
  <si>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</si>
  <si>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</si>
  <si>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</si>
  <si>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</si>
  <si>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</si>
  <si>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</si>
  <si>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</si>
  <si>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</si>
  <si>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</si>
  <si>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</si>
  <si>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</si>
  <si>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</si>
  <si>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</si>
  <si>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</si>
  <si>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</si>
  <si>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</si>
  <si>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</si>
  <si>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</si>
  <si>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</si>
  <si>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</si>
  <si>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</si>
  <si>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</si>
  <si>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</si>
  <si>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</si>
  <si>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</si>
  <si>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</si>
  <si>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</si>
  <si>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</si>
  <si>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</si>
  <si>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</si>
  <si>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</si>
  <si>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</si>
  <si>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</si>
  <si>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</si>
  <si>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</si>
  <si>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</si>
  <si>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</si>
  <si>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</si>
  <si>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</si>
  <si>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</si>
  <si>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</si>
  <si>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</si>
  <si>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</si>
  <si>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</si>
  <si>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</si>
  <si>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</si>
  <si>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</si>
  <si>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</si>
  <si>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</si>
  <si>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</si>
  <si>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</si>
  <si>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</si>
  <si>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</si>
  <si>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</si>
  <si>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</si>
  <si>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</si>
  <si>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</si>
  <si>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</si>
  <si>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</si>
  <si>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</si>
  <si>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</si>
  <si>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</si>
  <si>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</si>
  <si>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</si>
  <si>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</si>
  <si>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</si>
  <si>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</si>
  <si>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</si>
  <si>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</si>
  <si>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</si>
  <si>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</si>
  <si>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</si>
  <si>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</si>
  <si>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</si>
  <si>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</si>
  <si>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</si>
  <si>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</si>
  <si>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</si>
  <si>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</si>
  <si>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</si>
  <si>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</si>
  <si>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</si>
  <si>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</si>
  <si>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</si>
  <si>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</si>
  <si>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</si>
  <si>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</si>
  <si>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</si>
  <si>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</si>
  <si>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</si>
  <si>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</si>
  <si>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</si>
  <si>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</si>
  <si>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</si>
  <si>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</si>
  <si>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</si>
  <si>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</si>
  <si>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</si>
  <si>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</si>
  <si>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</si>
  <si>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</si>
  <si>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</si>
  <si>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</si>
  <si>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</si>
  <si>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</si>
  <si>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</si>
  <si>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</si>
  <si>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</si>
  <si>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</si>
  <si>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</si>
  <si>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</si>
  <si>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</si>
  <si>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</si>
  <si>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</si>
  <si>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</si>
  <si>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</si>
  <si>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</si>
  <si>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</si>
  <si>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</si>
  <si>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</si>
  <si>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</si>
  <si>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</si>
  <si>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</si>
  <si>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</si>
  <si>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</si>
  <si>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</si>
  <si>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</si>
  <si>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</si>
  <si>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</si>
  <si>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</si>
  <si>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</si>
  <si>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</si>
  <si>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</si>
  <si>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</si>
  <si>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</si>
  <si>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</si>
  <si>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</si>
  <si>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</si>
  <si>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</si>
  <si>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</si>
  <si>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</si>
  <si>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</si>
  <si>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</si>
  <si>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</si>
  <si>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</si>
  <si>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</si>
  <si>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</si>
  <si>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</si>
  <si>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</si>
  <si>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</si>
  <si>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</si>
  <si>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</si>
  <si>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</si>
  <si>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</si>
  <si>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</si>
  <si>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</si>
  <si>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</si>
  <si>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</si>
  <si>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</si>
  <si>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</si>
  <si>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</si>
  <si>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</si>
  <si>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</si>
  <si>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</si>
  <si>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</si>
  <si>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</si>
  <si>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</si>
  <si>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</si>
  <si>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</si>
  <si>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</si>
  <si>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</si>
  <si>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</si>
  <si>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</si>
  <si>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</si>
  <si>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</si>
  <si>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</si>
  <si>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</si>
  <si>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</si>
  <si>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</si>
  <si>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</si>
  <si>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</si>
  <si>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</si>
  <si>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</si>
  <si>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</si>
  <si>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</si>
  <si>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</si>
  <si>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</si>
  <si>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</si>
  <si>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</si>
  <si>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</si>
  <si>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</si>
  <si>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</si>
  <si>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</si>
  <si>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</si>
  <si>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</si>
  <si>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</si>
  <si>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</si>
  <si>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</si>
  <si>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</si>
  <si>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</si>
  <si>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</si>
  <si>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</si>
  <si>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</si>
  <si>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</si>
  <si>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</si>
  <si>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</si>
  <si>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</si>
  <si>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</si>
  <si>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</si>
  <si>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</si>
  <si>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</si>
  <si>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</si>
  <si>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</si>
  <si>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</si>
  <si>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</si>
  <si>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</si>
  <si>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</si>
  <si>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</si>
  <si>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</si>
  <si>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</si>
  <si>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</si>
  <si>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</si>
  <si>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</si>
  <si>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</si>
  <si>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</si>
  <si>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</si>
  <si>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</si>
  <si>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</si>
  <si>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</si>
  <si>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</si>
  <si>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</si>
  <si>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</si>
  <si>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</si>
  <si>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</si>
  <si>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</si>
  <si>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</si>
  <si>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</si>
  <si>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</si>
  <si>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</si>
  <si>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</si>
  <si>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</si>
  <si>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</si>
  <si>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</si>
  <si>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</si>
  <si>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</si>
  <si>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</si>
  <si>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</si>
  <si>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</si>
  <si>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</si>
  <si>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</si>
  <si>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</si>
  <si>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</si>
  <si>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</si>
  <si>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</si>
  <si>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</si>
  <si>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</si>
  <si>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</si>
  <si>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</si>
  <si>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</si>
  <si>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</si>
  <si>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</si>
  <si>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</si>
  <si>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</si>
  <si>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</si>
  <si>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</si>
  <si>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</si>
  <si>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</si>
  <si>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</si>
  <si>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</si>
  <si>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</si>
  <si>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</si>
  <si>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</si>
  <si>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</si>
  <si>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</si>
  <si>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</si>
  <si>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</si>
  <si>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</si>
  <si>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</si>
  <si>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</si>
  <si>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</si>
  <si>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</si>
  <si>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</si>
  <si>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</si>
  <si>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</si>
  <si>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</si>
  <si>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</si>
  <si>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</si>
  <si>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</si>
  <si>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</si>
  <si>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</si>
  <si>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</si>
  <si>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</si>
  <si>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</si>
  <si>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</si>
  <si>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</si>
  <si>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</si>
  <si>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</si>
  <si>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</si>
  <si>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</si>
  <si>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</si>
  <si>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</si>
  <si>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</si>
  <si>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</si>
  <si>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</si>
  <si>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</si>
  <si>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</si>
  <si>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</si>
  <si>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</si>
  <si>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</si>
  <si>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</si>
  <si>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</si>
  <si>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</si>
  <si>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</si>
  <si>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</si>
  <si>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</si>
  <si>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</si>
  <si>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</si>
  <si>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</si>
  <si>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</si>
  <si>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</si>
  <si>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</si>
  <si>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</si>
  <si>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</si>
  <si>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</si>
  <si>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</si>
  <si>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</si>
  <si>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</si>
  <si>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</si>
  <si>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</si>
  <si>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</si>
  <si>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</si>
  <si>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</si>
  <si>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</si>
  <si>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</si>
  <si>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</si>
  <si>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</si>
  <si>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</si>
  <si>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</si>
  <si>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</si>
  <si>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</si>
  <si>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</si>
  <si>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</si>
  <si>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</si>
  <si>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</si>
  <si>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</si>
  <si>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</si>
  <si>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</si>
  <si>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</si>
  <si>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</si>
  <si>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</si>
  <si>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</si>
  <si>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</si>
  <si>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</si>
  <si>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</si>
  <si>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</si>
  <si>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</si>
  <si>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</si>
  <si>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</si>
  <si>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</si>
  <si>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</si>
  <si>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</si>
  <si>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</si>
  <si>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</si>
  <si>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</si>
  <si>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</si>
  <si>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</si>
  <si>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</si>
  <si>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</si>
  <si>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</si>
  <si>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</si>
  <si>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</si>
  <si>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</si>
  <si>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</si>
  <si>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</si>
  <si>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</si>
  <si>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</si>
  <si>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</si>
  <si>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</si>
  <si>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</si>
  <si>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</si>
  <si>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</si>
  <si>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</si>
  <si>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</si>
  <si>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</si>
  <si>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</si>
  <si>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</si>
  <si>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</si>
  <si>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</si>
  <si>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</si>
  <si>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</si>
  <si>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</si>
  <si>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</si>
  <si>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</si>
  <si>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</si>
  <si>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</si>
  <si>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</si>
  <si>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</si>
  <si>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</si>
  <si>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</si>
  <si>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</si>
  <si>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</si>
  <si>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</si>
  <si>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</si>
  <si>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</si>
  <si>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</si>
  <si>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</si>
  <si>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</si>
  <si>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</si>
  <si>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</si>
  <si>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</si>
  <si>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</si>
  <si>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</si>
  <si>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</si>
  <si>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</si>
  <si>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</si>
  <si>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</si>
  <si>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</si>
  <si>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</si>
  <si>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</si>
  <si>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</si>
  <si>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</si>
  <si>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</si>
  <si>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</si>
  <si>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</si>
  <si>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</si>
  <si>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</si>
  <si>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</si>
  <si>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</si>
  <si>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</si>
  <si>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</si>
  <si>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</si>
  <si>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</si>
  <si>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</si>
  <si>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</si>
  <si>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</si>
  <si>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</si>
  <si>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</si>
  <si>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</si>
  <si>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</si>
  <si>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</si>
  <si>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</si>
  <si>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</si>
  <si>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</si>
  <si>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</si>
  <si>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</si>
  <si>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</si>
  <si>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</si>
  <si>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</si>
  <si>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</si>
  <si>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</si>
  <si>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</si>
  <si>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</si>
  <si>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</si>
  <si>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</si>
  <si>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</si>
  <si>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</si>
  <si>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</si>
  <si>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</si>
  <si>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</si>
  <si>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</si>
  <si>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</si>
  <si>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</si>
  <si>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</si>
  <si>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</si>
  <si>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</si>
  <si>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</si>
  <si>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</si>
  <si>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</si>
  <si>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</si>
  <si>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</si>
  <si>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</si>
  <si>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</si>
  <si>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</si>
  <si>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</si>
  <si>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</si>
  <si>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</si>
  <si>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</si>
  <si>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</si>
  <si>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</si>
  <si>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</si>
  <si>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</si>
  <si>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</si>
  <si>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</si>
  <si>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</si>
  <si>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</si>
  <si>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</si>
  <si>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</si>
  <si>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</si>
  <si>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</si>
  <si>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</si>
  <si>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</si>
  <si>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</si>
  <si>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</si>
  <si>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</si>
  <si>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</si>
  <si>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</si>
  <si>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</si>
  <si>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</si>
  <si>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</si>
  <si>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</si>
  <si>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</si>
  <si>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</si>
  <si>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</si>
  <si>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</si>
  <si>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</si>
  <si>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</si>
  <si>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</si>
  <si>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</si>
  <si>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</si>
  <si>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</si>
  <si>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</si>
  <si>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</si>
  <si>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</si>
  <si>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</si>
  <si>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</si>
  <si>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</si>
  <si>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</si>
  <si>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</si>
  <si>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</si>
  <si>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</si>
  <si>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</si>
  <si>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</si>
  <si>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</si>
  <si>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</si>
  <si>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</si>
  <si>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</si>
  <si>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</si>
  <si>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</si>
  <si>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</si>
  <si>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</si>
  <si>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</si>
  <si>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</si>
  <si>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</si>
  <si>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</si>
  <si>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</si>
  <si>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</si>
  <si>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</si>
  <si>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</si>
  <si>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</si>
  <si>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</si>
  <si>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</si>
  <si>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</si>
  <si>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</si>
  <si>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</si>
  <si>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</si>
  <si>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</si>
  <si>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</si>
  <si>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</si>
  <si>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</si>
  <si>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</si>
  <si>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</si>
  <si>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</si>
  <si>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</si>
  <si>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</si>
  <si>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</si>
  <si>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</si>
  <si>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</si>
  <si>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</si>
  <si>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</si>
  <si>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</si>
  <si>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</si>
  <si>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</si>
  <si>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</si>
  <si>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</si>
  <si>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</si>
  <si>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</si>
  <si>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</si>
  <si>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</si>
  <si>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</si>
  <si>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</si>
  <si>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</si>
  <si>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</si>
  <si>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</si>
  <si>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</si>
  <si>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</si>
  <si>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</si>
  <si>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</si>
  <si>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</si>
  <si>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</si>
  <si>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</si>
  <si>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</si>
  <si>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</si>
  <si>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</si>
  <si>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</si>
  <si>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</si>
  <si>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</si>
  <si>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</si>
  <si>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</si>
  <si>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</si>
  <si>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</si>
  <si>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</si>
  <si>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</si>
  <si>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</si>
  <si>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</si>
  <si>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</si>
  <si>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</si>
  <si>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</si>
  <si>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</si>
  <si>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</si>
  <si>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</si>
  <si>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</si>
  <si>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</si>
  <si>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</si>
  <si>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</si>
  <si>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</si>
  <si>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</si>
  <si>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</si>
  <si>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</si>
  <si>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</si>
  <si>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</si>
  <si>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</si>
  <si>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</si>
  <si>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</si>
  <si>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</si>
  <si>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</si>
  <si>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</si>
  <si>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</si>
  <si>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</si>
  <si>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</si>
  <si>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</si>
  <si>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</si>
  <si>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</si>
  <si>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</si>
  <si>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</si>
  <si>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</si>
  <si>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</si>
  <si>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</si>
  <si>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</si>
  <si>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</si>
  <si>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</si>
  <si>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</si>
  <si>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</si>
  <si>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</si>
  <si>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</si>
  <si>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</si>
  <si>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</si>
  <si>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</si>
  <si>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</si>
  <si>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</si>
  <si>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</si>
  <si>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</si>
  <si>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</si>
  <si>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</si>
  <si>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</si>
  <si>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</si>
  <si>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</si>
  <si>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</si>
  <si>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</si>
  <si>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</si>
  <si>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</si>
  <si>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</si>
  <si>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</si>
  <si>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</si>
  <si>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</si>
  <si>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</si>
  <si>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</si>
  <si>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</si>
  <si>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</si>
  <si>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</si>
  <si>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</si>
  <si>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</si>
  <si>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</si>
  <si>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</si>
  <si>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</si>
  <si>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</si>
  <si>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</si>
  <si>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</si>
  <si>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</si>
  <si>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</si>
  <si>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</si>
  <si>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</si>
  <si>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</si>
  <si>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</si>
  <si>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</si>
  <si>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</si>
  <si>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</si>
  <si>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</si>
  <si>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</si>
  <si>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</si>
  <si>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</si>
  <si>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</si>
  <si>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</si>
  <si>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</si>
  <si>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</si>
  <si>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</si>
  <si>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</si>
  <si>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</si>
  <si>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</si>
  <si>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</si>
  <si>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</si>
  <si>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</si>
  <si>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</si>
  <si>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</si>
  <si>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MidPen Housing Corporation</t>
  </si>
  <si>
    <t>Summer Oaks</t>
  </si>
  <si>
    <t>Foster City</t>
  </si>
  <si>
    <t>Joanna Carman</t>
  </si>
  <si>
    <t>Assistant Secretary</t>
  </si>
  <si>
    <t>1440 Guerneville Road</t>
  </si>
  <si>
    <t>Santa Rosa</t>
  </si>
  <si>
    <t>175 West Verano Avenue</t>
  </si>
  <si>
    <t>Sonoma (Unincorporated)</t>
  </si>
  <si>
    <t>40%/60%</t>
  </si>
  <si>
    <t>303 Vintage Park Drive, Suite 250</t>
  </si>
  <si>
    <t>CA</t>
  </si>
  <si>
    <t>831-707-2141</t>
  </si>
  <si>
    <t>joanna.carman@midpen-housing.org</t>
  </si>
  <si>
    <t>MP Verano LLC</t>
  </si>
  <si>
    <t>Managing GP</t>
  </si>
  <si>
    <t>Not Applicable</t>
  </si>
  <si>
    <t>Jeffrey Summerville</t>
  </si>
  <si>
    <t>650-393-9068</t>
  </si>
  <si>
    <t>jsummerville@midpen-housing.org</t>
  </si>
  <si>
    <t>Developer, Senior Project Manager</t>
  </si>
  <si>
    <t>303 Vintage Park Dr. Suite 250</t>
  </si>
  <si>
    <t>Foster City, CA 94404</t>
  </si>
  <si>
    <t>Mithun, Inc.</t>
  </si>
  <si>
    <t>585 Howard Street #300</t>
  </si>
  <si>
    <t>San Francisco, CA 94105</t>
  </si>
  <si>
    <t>Kristen Belt</t>
  </si>
  <si>
    <t>415-489-4855</t>
  </si>
  <si>
    <t>kristenbelt@Mithun.com</t>
  </si>
  <si>
    <t>Gubb &amp; Barshay LLP</t>
  </si>
  <si>
    <t>235 Montgomery Street, Suite 1110</t>
  </si>
  <si>
    <t>San Francisco, CA 94104</t>
  </si>
  <si>
    <t>Evan Gross</t>
  </si>
  <si>
    <t>415-781-6600</t>
  </si>
  <si>
    <t>egross@gubbandbarshay.com</t>
  </si>
  <si>
    <t>Midstate Construction</t>
  </si>
  <si>
    <t>1180 Holm Rd</t>
  </si>
  <si>
    <t>Petaluma, CA, 94954</t>
  </si>
  <si>
    <t xml:space="preserve">Pat Draeger </t>
  </si>
  <si>
    <t xml:space="preserve">(707) 762-3200 </t>
  </si>
  <si>
    <t>patd@midstateconstruction.com</t>
  </si>
  <si>
    <t>Bright Green Strategies</t>
  </si>
  <si>
    <t>Patti Heath</t>
  </si>
  <si>
    <t>Berkeley, CA, 94710</t>
  </si>
  <si>
    <t>820 Delaware Street</t>
  </si>
  <si>
    <t>510-863-1109</t>
  </si>
  <si>
    <t>Patti@brightgreenstrategies.com</t>
  </si>
  <si>
    <t>Novogradac &amp; Company LLP</t>
  </si>
  <si>
    <t>1160 Battery Street, East Building, Suite 225</t>
  </si>
  <si>
    <t>San Francisco, CA 94111</t>
  </si>
  <si>
    <t>Thomas Stagg</t>
  </si>
  <si>
    <t>510-825-0587</t>
  </si>
  <si>
    <t>Thomas.Stagg@novoco.com</t>
  </si>
  <si>
    <t>California Housing Partnership</t>
  </si>
  <si>
    <t>49 Stevenson Street, Suite 500</t>
  </si>
  <si>
    <t xml:space="preserve">Laura Kobler </t>
  </si>
  <si>
    <t>916-207-2889</t>
  </si>
  <si>
    <t>lkobler@chpc.net</t>
  </si>
  <si>
    <t>TBD</t>
  </si>
  <si>
    <t>The Concord Group, LLC</t>
  </si>
  <si>
    <t>180 Montgomery Suite 2350</t>
  </si>
  <si>
    <t>San Francisco, CA 94108</t>
  </si>
  <si>
    <t>Tim M. Cornwell</t>
  </si>
  <si>
    <t>415-342-3079</t>
  </si>
  <si>
    <t>tmc@theconcordgroup.com</t>
  </si>
  <si>
    <t>James G. Palmer Appraisals, Inc.</t>
  </si>
  <si>
    <t>1285 W. Shaw Ave, Suite 108</t>
  </si>
  <si>
    <t>Fresno, California, 93711</t>
  </si>
  <si>
    <t>559-226-5020</t>
  </si>
  <si>
    <t>Gregg Palmer</t>
  </si>
  <si>
    <t>MidPen Property Management Corporation</t>
  </si>
  <si>
    <t>Kasey Archey</t>
  </si>
  <si>
    <t>650-294-8752</t>
  </si>
  <si>
    <t>kasey.archey@midpen-housing.org</t>
  </si>
  <si>
    <t>Springs Investor Group, LP</t>
  </si>
  <si>
    <t>gregg@jgpinc.com</t>
  </si>
  <si>
    <t>Norman I. Krug</t>
  </si>
  <si>
    <t>Founder &amp; CEO</t>
  </si>
  <si>
    <t>Manager</t>
  </si>
  <si>
    <t>Secured by Fee Interest</t>
  </si>
  <si>
    <t>Other (Specify below)</t>
  </si>
  <si>
    <t xml:space="preserve">Six 3-story residential buildings without elevator and one single-story community buildling. </t>
  </si>
  <si>
    <t>R3 - High Density Residential</t>
  </si>
  <si>
    <t>R3 - High Density Residential - 22 units per acre with density bonus</t>
  </si>
  <si>
    <t>Type 5A allowing 42.5'</t>
  </si>
  <si>
    <t>Minimum 97 spaces and allowance for 44 compact spaces</t>
  </si>
  <si>
    <t>Federal Home Loan Bank SF AHP</t>
  </si>
  <si>
    <t>HCD Infill Infrastructure Grant</t>
  </si>
  <si>
    <t>127-071-005, 127-071-012 (parcel numbers will be merged through Sonoma County process prior to construction start)</t>
  </si>
  <si>
    <t>Sonoma County HOME</t>
  </si>
  <si>
    <t>Sonoma County CDBG</t>
  </si>
  <si>
    <t>Sonoma County Housing Authority</t>
  </si>
  <si>
    <t>Project-based vouchers (PBVs)</t>
  </si>
  <si>
    <t>Federal prevailing wage (CDBG), State prevailing wage (HCD)</t>
  </si>
  <si>
    <t>HCD Joe Serna Jr. Farmworker Housing Grant</t>
  </si>
  <si>
    <t>Electric Heat Pump</t>
  </si>
  <si>
    <t>Sonoma, 95476</t>
  </si>
  <si>
    <t>Customer Service</t>
  </si>
  <si>
    <t>707-576-7433</t>
  </si>
  <si>
    <t>https://sctransit.com/</t>
  </si>
  <si>
    <t xml:space="preserve">Maxwell Farms Regional Park </t>
  </si>
  <si>
    <t>100 Verano Ave</t>
  </si>
  <si>
    <t xml:space="preserve">Bert Whitaker, Director of Sonoma County Regional Parks </t>
  </si>
  <si>
    <t xml:space="preserve">707-565-3351 </t>
  </si>
  <si>
    <t>https://parks.sonomacounty.ca.gov/visit/find-a-park/maxwell-farms-regional-park</t>
  </si>
  <si>
    <t>Sonoma Valley Regional Library</t>
  </si>
  <si>
    <t>755 W Napa St</t>
  </si>
  <si>
    <t>707-996-5217</t>
  </si>
  <si>
    <t>Sabine Salek, Branch Manager</t>
  </si>
  <si>
    <t>https://sonomalibrary.org/visit/locations/sonomavalley</t>
  </si>
  <si>
    <t>477 W Napa St</t>
  </si>
  <si>
    <t xml:space="preserve">707-996-0633 </t>
  </si>
  <si>
    <t>https://local.safeway.com/safeway/ca/sonoma/477-w-napa-st.html</t>
  </si>
  <si>
    <t xml:space="preserve">Sonoma Valley Community Health Center </t>
  </si>
  <si>
    <t>Safeway</t>
  </si>
  <si>
    <t>19270 Sonoma Highway</t>
  </si>
  <si>
    <t>Cheryl Johnson, Chief Executive Officer</t>
  </si>
  <si>
    <t xml:space="preserve">https://svchc.org/services/#6 </t>
  </si>
  <si>
    <t>https://svchc.org/</t>
  </si>
  <si>
    <t>General Admin</t>
  </si>
  <si>
    <t>Payroll tax plus benefits</t>
  </si>
  <si>
    <t>Alarm Contract</t>
  </si>
  <si>
    <t>12th</t>
  </si>
  <si>
    <t>June</t>
  </si>
  <si>
    <t>The project utilizes the Rental Housing Opportunity Density Bonus Program and has an affordability agreement with the County requires 15% of the units to be restricted to very low income renters with the remaining 85%  affordable to low and very low income levels, with the exception of the manager's unit.</t>
  </si>
  <si>
    <t>550 Second Street, Sonoma, CA 95476</t>
  </si>
  <si>
    <t>Chase Construction Loan</t>
  </si>
  <si>
    <t>HCD - Joe Serna</t>
  </si>
  <si>
    <t>HCD - IIG</t>
  </si>
  <si>
    <t>Sonoma County - HOME</t>
  </si>
  <si>
    <t>Sonoma County - CDBG</t>
  </si>
  <si>
    <t>FHLB - AHP</t>
  </si>
  <si>
    <t>Deferred Developer Fee</t>
  </si>
  <si>
    <t>Costs Deferred Until Conversion</t>
  </si>
  <si>
    <t>LP Equity</t>
  </si>
  <si>
    <t>Variable</t>
  </si>
  <si>
    <t>Fixed</t>
  </si>
  <si>
    <t>Chase Perm Loan</t>
  </si>
  <si>
    <t>Misc Tax/License</t>
  </si>
  <si>
    <t>3rd Party Construction Mgt</t>
  </si>
  <si>
    <t>Prevailing Wage Monitor</t>
  </si>
  <si>
    <t>Borrower Legal</t>
  </si>
  <si>
    <t>Borrower Legal-Perm Loans</t>
  </si>
  <si>
    <t>1 bedroom</t>
  </si>
  <si>
    <t>2 bedroom</t>
  </si>
  <si>
    <t>James Vossoughi</t>
  </si>
  <si>
    <t xml:space="preserve">510-468-6722  </t>
  </si>
  <si>
    <t>560 Mission Street, Floor 04</t>
  </si>
  <si>
    <t>Kenneth Turner</t>
  </si>
  <si>
    <t xml:space="preserve">916-776-7560 </t>
  </si>
  <si>
    <t xml:space="preserve">2020 W. El Camino Avenue, Suite 650 </t>
  </si>
  <si>
    <t>Rhonda Coffman</t>
  </si>
  <si>
    <t>(707) 565-7542</t>
  </si>
  <si>
    <t>Eric Cicourel</t>
  </si>
  <si>
    <t xml:space="preserve">333 Bush Street, Suite 2700 </t>
  </si>
  <si>
    <t xml:space="preserve">San Francisco </t>
  </si>
  <si>
    <t>(415) 616-1000</t>
  </si>
  <si>
    <t xml:space="preserve">MP Verano LLC (MidPen Housing Corporation as Manager of LLC) </t>
  </si>
  <si>
    <t>303 Vintage Park Drive, Ste 250</t>
  </si>
  <si>
    <t>Matthew O. Franklin</t>
  </si>
  <si>
    <t>Sonoma County Transit Route 30</t>
  </si>
  <si>
    <t>137 West Verano Ave</t>
  </si>
  <si>
    <t>Altimira Middle School</t>
  </si>
  <si>
    <t>17805 Arnold Dr</t>
  </si>
  <si>
    <t xml:space="preserve">Kathleen Hawing, Interim Principal </t>
  </si>
  <si>
    <t>707-935-6020</t>
  </si>
  <si>
    <t xml:space="preserve">https://www.sonomaschools.org/altimira </t>
  </si>
  <si>
    <t xml:space="preserve">707-939-2370 </t>
  </si>
  <si>
    <t>None</t>
  </si>
  <si>
    <t>Michelle Whitman</t>
  </si>
  <si>
    <t>michelle.whitman@sonoma-county.org</t>
  </si>
  <si>
    <t>(707) 565-7504</t>
  </si>
  <si>
    <t>(707) 565-7583</t>
  </si>
  <si>
    <t>Executive Director</t>
  </si>
  <si>
    <t>Project will construct an onsite private access road.  Sonoma County will assign an official address for this access road prior to construction completion.</t>
  </si>
  <si>
    <t xml:space="preserve">County of Sonoma, Community Development Commission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</si>
</sst>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9"/>
      <color rgb="FF0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3" fontId="12" fillId="0" borderId="0" xfId="273" applyNumberFormat="1" applyAlignment="1">
      <alignment vertical="top" wrapText="1"/>
    </xf>
    <xf numFmtId="0" fontId="3"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5" workbookViewId="0">
      <selection activeCell="D19" sqref="D19:AK25"/>
    </sheetView>
  </sheetViews>
  <sheetFormatPr defaultColWidth="0" defaultRowHeight="13.2" zeroHeight="1"/>
  <cols>
    <col min="1" max="38" width="2.44140625" customWidth="1"/>
    <col min="39" max="16384" width="8.6640625" hidden="1"/>
  </cols>
  <sheetData>
    <row r="1" spans="1:38">
      <c r="A1" s="978" t="s">
        <v>1868</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727</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68" t="s">
        <v>2152</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0.95"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95" customHeight="1">
      <c r="A19" s="5"/>
      <c r="C19" s="3"/>
      <c r="D19" s="968" t="s">
        <v>2312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2301</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2302</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2013</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1284</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1141</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1684</v>
      </c>
      <c r="F36" s="968" t="s">
        <v>1685</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2153</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95" customHeight="1">
      <c r="A42" s="5"/>
      <c r="C42" s="3"/>
      <c r="D42" s="5"/>
      <c r="E42" s="5" t="s">
        <v>534</v>
      </c>
      <c r="F42" s="968" t="s">
        <v>2154</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7"/>
      <c r="K46" s="657"/>
      <c r="L46" s="657"/>
      <c r="M46" s="657"/>
      <c r="N46" s="657"/>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819</v>
      </c>
      <c r="F47" t="s">
        <v>764</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579</v>
      </c>
      <c r="G48" s="977" t="s">
        <v>2155</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196</v>
      </c>
      <c r="G51" s="977" t="s">
        <v>2156</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68" t="s">
        <v>1688</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196</v>
      </c>
      <c r="G61" s="968" t="s">
        <v>1687</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68" t="s">
        <v>1689</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196</v>
      </c>
      <c r="G67" s="968" t="s">
        <v>1690</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1045</v>
      </c>
      <c r="J70" s="158"/>
      <c r="K70" s="158"/>
      <c r="L70" s="158"/>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1703</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1704</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68" t="s">
        <v>1691</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1692</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68" t="s">
        <v>1696</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992</v>
      </c>
      <c r="F93" s="361" t="s">
        <v>1046</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1697</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1698</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1699</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68" t="s">
        <v>1700</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68" t="s">
        <v>1701</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8"/>
      <c r="E112" s="976" t="s">
        <v>1702</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8"/>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59"/>
      <c r="C114" s="658"/>
      <c r="D114" s="658"/>
      <c r="E114" s="659"/>
      <c r="F114" s="658"/>
      <c r="G114" s="658"/>
      <c r="H114" s="658"/>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684</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1869</v>
      </c>
      <c r="H117" s="3"/>
      <c r="I117" s="3"/>
      <c r="K117" s="3"/>
    </row>
    <row r="118" spans="1:38">
      <c r="B118" s="3"/>
      <c r="C118" s="3"/>
      <c r="D118" s="3" t="s">
        <v>817</v>
      </c>
      <c r="E118" s="3" t="s">
        <v>1869</v>
      </c>
      <c r="F118" s="3"/>
      <c r="G118" s="3"/>
      <c r="H118" s="3"/>
      <c r="I118" s="3"/>
      <c r="J118" s="3"/>
      <c r="K118" s="3"/>
      <c r="L118" s="3"/>
      <c r="M118" s="3"/>
    </row>
    <row r="119" spans="1:38">
      <c r="B119" s="3"/>
      <c r="C119" s="3"/>
      <c r="E119" s="5" t="s">
        <v>898</v>
      </c>
      <c r="F119" s="269" t="s">
        <v>818</v>
      </c>
      <c r="G119" s="3"/>
      <c r="H119" s="3"/>
      <c r="I119" s="3"/>
      <c r="J119" s="3"/>
      <c r="K119" s="3"/>
    </row>
    <row r="120" spans="1:38">
      <c r="E120" s="5"/>
      <c r="F120" t="s">
        <v>820</v>
      </c>
    </row>
    <row r="121" spans="1:38" s="158"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9" t="s">
        <v>822</v>
      </c>
      <c r="G123" s="3"/>
      <c r="H123" s="3"/>
      <c r="I123" s="3"/>
      <c r="J123" s="3"/>
    </row>
    <row r="124" spans="1:38">
      <c r="E124" s="5"/>
      <c r="F124" t="s">
        <v>823</v>
      </c>
    </row>
    <row r="125" spans="1:38">
      <c r="E125" s="5"/>
    </row>
    <row r="126" spans="1:38">
      <c r="E126" s="5" t="s">
        <v>905</v>
      </c>
      <c r="F126" s="269"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9" t="s">
        <v>1179</v>
      </c>
    </row>
    <row r="131" spans="2:14">
      <c r="F131" s="5" t="s">
        <v>1047</v>
      </c>
      <c r="G131" s="5"/>
    </row>
    <row r="132" spans="2:14">
      <c r="F132" s="658" t="s">
        <v>1870</v>
      </c>
      <c r="G132" s="658"/>
    </row>
    <row r="133" spans="2:14">
      <c r="G133" s="658"/>
    </row>
    <row r="134" spans="2:14">
      <c r="E134" s="5" t="s">
        <v>170</v>
      </c>
      <c r="F134" s="269" t="s">
        <v>509</v>
      </c>
    </row>
    <row r="135" spans="2:14">
      <c r="E135" s="5"/>
      <c r="F135" s="5" t="s">
        <v>1304</v>
      </c>
    </row>
    <row r="136" spans="2:14" ht="12.75" customHeight="1">
      <c r="B136" s="3"/>
      <c r="C136" s="3"/>
      <c r="F136" s="3"/>
    </row>
    <row r="137" spans="2:14">
      <c r="B137" s="3"/>
      <c r="C137" s="3" t="s">
        <v>277</v>
      </c>
      <c r="G137" s="3" t="s">
        <v>510</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68" t="s">
        <v>1705</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1749</v>
      </c>
      <c r="F149" s="5"/>
    </row>
    <row r="150" spans="4:37"/>
    <row r="151" spans="4:37">
      <c r="D151" s="3" t="s">
        <v>501</v>
      </c>
      <c r="E151" s="3" t="s">
        <v>2157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2158</v>
      </c>
    </row>
    <row r="155" spans="4:37">
      <c r="E155" t="s">
        <v>898</v>
      </c>
      <c r="F155" t="s">
        <v>503</v>
      </c>
    </row>
    <row r="156" spans="4:37">
      <c r="E156" t="s">
        <v>899</v>
      </c>
      <c r="F156" t="s">
        <v>365</v>
      </c>
    </row>
    <row r="157" spans="4:37">
      <c r="F157" t="s">
        <v>819</v>
      </c>
      <c r="G157" s="41" t="s">
        <v>2159</v>
      </c>
    </row>
    <row r="158" spans="4:37">
      <c r="F158" t="s">
        <v>71</v>
      </c>
      <c r="G158" s="968" t="s">
        <v>1706</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728</v>
      </c>
      <c r="E161" s="3" t="s">
        <v>2160</v>
      </c>
    </row>
    <row r="162" spans="3:9">
      <c r="E162" s="753" t="s">
        <v>2161</v>
      </c>
      <c r="F162" s="361"/>
    </row>
    <row r="163" spans="3:9">
      <c r="D163" s="3"/>
      <c r="E163" s="3"/>
    </row>
    <row r="164" spans="3:9">
      <c r="C164" s="3" t="s">
        <v>329</v>
      </c>
      <c r="G164" s="3" t="s">
        <v>511</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512</v>
      </c>
    </row>
    <row r="178" spans="3:20">
      <c r="E178" s="5" t="s">
        <v>1185</v>
      </c>
    </row>
    <row r="179" spans="3:20"/>
    <row r="180" spans="3:20">
      <c r="D180" s="3" t="s">
        <v>501</v>
      </c>
      <c r="E180" s="3" t="s">
        <v>452</v>
      </c>
    </row>
    <row r="181" spans="3:20">
      <c r="E181" s="5" t="s">
        <v>1186</v>
      </c>
    </row>
    <row r="182" spans="3:20">
      <c r="E182" s="5" t="s">
        <v>1187</v>
      </c>
    </row>
    <row r="183" spans="3:20">
      <c r="F183" s="158" t="s">
        <v>799</v>
      </c>
    </row>
    <row r="184" spans="3:20">
      <c r="F184" s="158"/>
      <c r="I184" s="158"/>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513</v>
      </c>
    </row>
    <row r="190" spans="3:20">
      <c r="E190" s="361" t="s">
        <v>1048</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61" t="s">
        <v>1188</v>
      </c>
    </row>
    <row r="195" spans="2:14">
      <c r="F195" s="158" t="s">
        <v>1581</v>
      </c>
      <c r="I195" s="158"/>
    </row>
    <row r="196" spans="2:14">
      <c r="I196" s="158"/>
    </row>
    <row r="197" spans="2:14">
      <c r="B197" s="5"/>
      <c r="C197" s="5"/>
      <c r="E197" t="s">
        <v>899</v>
      </c>
      <c r="F197" s="361" t="s">
        <v>1049</v>
      </c>
      <c r="H197" s="5"/>
    </row>
    <row r="198" spans="2:14">
      <c r="B198" s="5"/>
      <c r="C198" s="5"/>
      <c r="F198" t="s">
        <v>819</v>
      </c>
      <c r="G198" t="s">
        <v>311</v>
      </c>
      <c r="H198" s="5"/>
    </row>
    <row r="199" spans="2:14">
      <c r="B199" s="5"/>
      <c r="C199" s="5"/>
      <c r="H199" s="5"/>
    </row>
    <row r="200" spans="2:14">
      <c r="D200" s="3" t="s">
        <v>464</v>
      </c>
      <c r="E200" s="3" t="s">
        <v>1810</v>
      </c>
    </row>
    <row r="201" spans="2:14">
      <c r="B201" s="5"/>
      <c r="C201" s="5"/>
      <c r="E201" s="5" t="s">
        <v>315</v>
      </c>
      <c r="F201" s="5"/>
      <c r="I201" s="5"/>
    </row>
    <row r="202" spans="2:14">
      <c r="B202" s="5"/>
      <c r="C202" s="5"/>
      <c r="E202" s="5" t="s">
        <v>1305</v>
      </c>
      <c r="F202" s="158"/>
      <c r="G202" s="5"/>
      <c r="I202" s="158"/>
    </row>
    <row r="203" spans="2:14">
      <c r="B203" s="5"/>
      <c r="C203" s="5"/>
      <c r="F203" s="158"/>
      <c r="G203" s="5"/>
      <c r="I203" s="158"/>
    </row>
    <row r="204" spans="2:14">
      <c r="B204" s="5"/>
      <c r="C204" s="5"/>
      <c r="D204" s="3" t="s">
        <v>848</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747</v>
      </c>
      <c r="E207" s="3" t="s">
        <v>897</v>
      </c>
    </row>
    <row r="208" spans="2:14">
      <c r="B208" s="5"/>
      <c r="C208" s="3"/>
      <c r="E208" t="s">
        <v>898</v>
      </c>
      <c r="F208" s="5" t="s">
        <v>531</v>
      </c>
      <c r="G208" s="5"/>
      <c r="H208" s="5"/>
      <c r="I208" s="5"/>
    </row>
    <row r="209" spans="2:37">
      <c r="B209" s="5"/>
      <c r="C209" s="3"/>
      <c r="F209" s="5" t="s">
        <v>819</v>
      </c>
      <c r="G209" s="41" t="s">
        <v>1736</v>
      </c>
    </row>
    <row r="210" spans="2:37">
      <c r="B210" s="5"/>
      <c r="C210" s="5"/>
      <c r="F210" s="5" t="s">
        <v>71</v>
      </c>
      <c r="G210" s="41" t="s">
        <v>1737</v>
      </c>
      <c r="I210" s="5"/>
      <c r="J210" s="5"/>
      <c r="M210" s="5"/>
      <c r="N210" s="5"/>
      <c r="O210" s="5"/>
      <c r="P210" s="5"/>
      <c r="Q210" s="5"/>
      <c r="R210" s="5"/>
      <c r="S210" s="5"/>
    </row>
    <row r="211" spans="2:37">
      <c r="B211" s="5"/>
      <c r="C211" s="5"/>
      <c r="F211" s="5" t="s">
        <v>534</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68" t="s">
        <v>1707</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68" t="s">
        <v>2313</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899</v>
      </c>
      <c r="F235" s="5" t="s">
        <v>244</v>
      </c>
      <c r="G235" s="5"/>
      <c r="H235" s="5"/>
      <c r="I235" s="5"/>
      <c r="M235" s="5"/>
      <c r="N235" s="5"/>
      <c r="O235" s="5"/>
      <c r="P235" s="5"/>
      <c r="Q235" s="5"/>
      <c r="R235" s="5"/>
      <c r="S235" s="5"/>
    </row>
    <row r="236" spans="1:38">
      <c r="B236" s="5"/>
      <c r="C236" s="5"/>
      <c r="F236" s="5" t="s">
        <v>819</v>
      </c>
      <c r="G236" s="968" t="s">
        <v>1708</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9"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8" t="s">
        <v>1584</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1916</v>
      </c>
      <c r="J275" s="5"/>
      <c r="K275" s="5"/>
      <c r="L275" s="5"/>
      <c r="M275" s="5"/>
      <c r="N275" s="5"/>
      <c r="O275" s="5"/>
      <c r="P275" s="5"/>
      <c r="Q275" s="5"/>
      <c r="R275" s="5"/>
      <c r="S275" s="5"/>
      <c r="T275" s="5"/>
      <c r="U275" s="5"/>
    </row>
    <row r="276" spans="2:21">
      <c r="B276" s="3"/>
      <c r="D276" s="5"/>
      <c r="E276" s="41" t="s">
        <v>1917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1582</v>
      </c>
      <c r="F285" s="158"/>
      <c r="G285" s="5"/>
      <c r="H285" s="158"/>
      <c r="I285" s="158"/>
      <c r="J285" s="5"/>
      <c r="K285" s="5"/>
      <c r="L285" s="5"/>
      <c r="M285" s="5"/>
      <c r="P285" s="5"/>
      <c r="Q285" s="5"/>
      <c r="R285" s="5"/>
      <c r="S285" s="5"/>
    </row>
    <row r="286" spans="2:21">
      <c r="B286" s="3"/>
      <c r="D286" s="3"/>
      <c r="E286" s="660" t="s">
        <v>1050</v>
      </c>
      <c r="G286" s="5"/>
      <c r="H286" s="660"/>
      <c r="I286" s="660"/>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8" t="s">
        <v>1583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8" t="s">
        <v>1004</v>
      </c>
      <c r="G301" s="158"/>
      <c r="H301" s="158"/>
      <c r="I301" s="158"/>
      <c r="J301" s="158"/>
      <c r="K301" s="158"/>
      <c r="L301" s="158"/>
      <c r="M301" s="5"/>
      <c r="N301" s="5"/>
      <c r="O301" s="5"/>
      <c r="P301" s="5"/>
      <c r="Q301" s="5"/>
      <c r="R301" s="5"/>
      <c r="S301" s="5"/>
      <c r="T301" s="5"/>
      <c r="U301" s="5"/>
      <c r="V301" s="5"/>
      <c r="W301" s="5"/>
    </row>
    <row r="302" spans="2:24">
      <c r="B302" s="3"/>
      <c r="D302" s="5"/>
      <c r="E302" s="5"/>
      <c r="F302" s="158" t="s">
        <v>1221</v>
      </c>
      <c r="G302" s="158"/>
      <c r="H302" s="158"/>
      <c r="I302" s="158"/>
      <c r="J302" s="158"/>
      <c r="K302" s="158"/>
      <c r="L302" s="158"/>
      <c r="M302" s="5"/>
      <c r="N302" s="5"/>
      <c r="O302" s="5"/>
      <c r="P302" s="5"/>
      <c r="Q302" s="5"/>
      <c r="R302" s="5"/>
      <c r="S302" s="5"/>
      <c r="T302" s="5"/>
      <c r="U302" s="5"/>
      <c r="V302" s="5"/>
      <c r="W302" s="5"/>
    </row>
    <row r="303" spans="2:24">
      <c r="B303" s="3"/>
      <c r="D303" s="5"/>
      <c r="E303" s="5"/>
      <c r="F303" s="158" t="s">
        <v>1001</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725</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1198</v>
      </c>
      <c r="I306" s="158"/>
      <c r="J306" s="158"/>
      <c r="K306" s="158"/>
      <c r="L306" s="158"/>
      <c r="M306" s="5"/>
      <c r="N306" s="5"/>
      <c r="O306" s="5"/>
      <c r="P306" s="5"/>
      <c r="Q306" s="5"/>
      <c r="R306" s="5"/>
      <c r="S306" s="5"/>
      <c r="T306" s="5"/>
      <c r="U306" s="5"/>
      <c r="V306" s="5"/>
      <c r="W306" s="5"/>
    </row>
    <row r="307" spans="1:38">
      <c r="B307" s="3"/>
      <c r="D307" s="3"/>
      <c r="E307" s="5" t="s">
        <v>1195</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1"/>
      <c r="C319" s="43"/>
      <c r="D319" s="661" t="s">
        <v>848</v>
      </c>
      <c r="E319" s="661"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8" t="s">
        <v>1585</v>
      </c>
      <c r="I328" s="158"/>
      <c r="J328" s="5"/>
      <c r="K328" s="5"/>
      <c r="L328" s="5"/>
      <c r="M328" s="5"/>
      <c r="N328" s="5"/>
      <c r="O328" s="5"/>
      <c r="P328" s="5"/>
      <c r="Q328" s="5"/>
      <c r="R328" s="5"/>
      <c r="S328" s="5"/>
    </row>
    <row r="329" spans="1:38">
      <c r="F329" s="158" t="s">
        <v>1586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748</v>
      </c>
      <c r="C331" s="168" t="s">
        <v>794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1587</v>
      </c>
      <c r="I338" s="5"/>
      <c r="J338" s="5"/>
      <c r="K338" s="5"/>
      <c r="L338" s="5"/>
      <c r="M338" s="5"/>
      <c r="N338" s="5"/>
      <c r="O338" s="5"/>
      <c r="P338" s="5"/>
      <c r="Q338" s="5"/>
      <c r="R338" s="5"/>
      <c r="S338" s="5"/>
    </row>
    <row r="339" spans="2:37">
      <c r="B339" s="3"/>
      <c r="E339" s="5"/>
      <c r="F339" s="5" t="s">
        <v>1588</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1817</v>
      </c>
      <c r="I342" s="3"/>
      <c r="J342" s="5"/>
      <c r="K342" s="5"/>
      <c r="L342" s="5"/>
      <c r="M342" s="5"/>
      <c r="N342" s="5"/>
      <c r="O342" s="5"/>
      <c r="P342" s="5"/>
      <c r="Q342" s="5"/>
      <c r="R342" s="5"/>
      <c r="S342" s="5"/>
    </row>
    <row r="343" spans="2:37" ht="13.95" customHeight="1">
      <c r="B343" s="3"/>
      <c r="E343" s="977" t="s">
        <v>1818</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898</v>
      </c>
      <c r="F348" s="968" t="s">
        <v>1819</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899</v>
      </c>
      <c r="F352" s="968" t="s">
        <v>1820</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74" customFormat="1">
      <c r="A365"/>
      <c r="B365" s="3"/>
      <c r="C365"/>
      <c r="D365"/>
      <c r="E365" s="974" t="s">
        <v>1815</v>
      </c>
    </row>
    <row r="366" spans="1:38" s="974" customFormat="1">
      <c r="A366"/>
      <c r="B366" s="3"/>
      <c r="C366"/>
      <c r="D366"/>
    </row>
    <row r="367" spans="1:38">
      <c r="B367" s="3"/>
      <c r="F367" s="972" t="s">
        <v>1816</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8" t="s">
        <v>1589</v>
      </c>
      <c r="G376" s="5"/>
      <c r="I376" s="158"/>
      <c r="J376" s="5"/>
      <c r="K376" s="5"/>
      <c r="L376" s="5"/>
      <c r="M376" s="5"/>
      <c r="N376" s="5"/>
      <c r="O376" s="5"/>
      <c r="P376" s="5"/>
      <c r="Q376" s="5"/>
      <c r="R376" s="5"/>
      <c r="S376" s="5"/>
    </row>
    <row r="377" spans="2:19">
      <c r="B377" s="3"/>
      <c r="E377" s="5" t="s">
        <v>899</v>
      </c>
      <c r="F377" s="5" t="s">
        <v>758</v>
      </c>
      <c r="G377" s="5"/>
      <c r="I377" s="158"/>
      <c r="J377" s="5"/>
      <c r="K377" s="5"/>
      <c r="L377" s="5"/>
      <c r="M377" s="5"/>
      <c r="N377" s="5"/>
      <c r="O377" s="5"/>
      <c r="P377" s="5"/>
      <c r="Q377" s="5"/>
      <c r="R377" s="5"/>
      <c r="S377" s="5"/>
    </row>
    <row r="378" spans="2:19">
      <c r="B378" s="3"/>
      <c r="E378" s="5"/>
      <c r="F378" s="5" t="s">
        <v>759</v>
      </c>
      <c r="G378" s="5"/>
      <c r="I378" s="662"/>
      <c r="J378" s="5"/>
      <c r="K378" s="5"/>
      <c r="L378" s="5"/>
      <c r="M378" s="5"/>
      <c r="N378" s="5"/>
      <c r="O378" s="5"/>
      <c r="P378" s="5"/>
      <c r="Q378" s="5"/>
      <c r="R378" s="5"/>
      <c r="S378" s="5"/>
    </row>
    <row r="379" spans="2:19">
      <c r="B379" s="3"/>
      <c r="E379" s="5"/>
      <c r="F379" s="5" t="s">
        <v>1030</v>
      </c>
      <c r="G379" s="5"/>
      <c r="I379" s="662"/>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8" t="s">
        <v>1589</v>
      </c>
      <c r="G387" s="5"/>
      <c r="I387" s="158"/>
      <c r="J387" s="5"/>
      <c r="K387" s="5"/>
      <c r="L387" s="5"/>
      <c r="M387" s="5"/>
      <c r="N387" s="5"/>
      <c r="O387" s="5"/>
      <c r="P387" s="5"/>
      <c r="Q387" s="5"/>
      <c r="R387" s="5"/>
      <c r="S387" s="5"/>
    </row>
    <row r="388" spans="1:38">
      <c r="B388" s="3"/>
      <c r="E388" s="5" t="s">
        <v>899</v>
      </c>
      <c r="F388" s="5" t="s">
        <v>761</v>
      </c>
      <c r="G388" s="5"/>
      <c r="I388" s="158"/>
      <c r="J388" s="5"/>
      <c r="K388" s="5"/>
      <c r="L388" s="5"/>
      <c r="M388" s="5"/>
      <c r="N388" s="5"/>
      <c r="O388" s="5"/>
      <c r="P388" s="5"/>
      <c r="Q388" s="5"/>
      <c r="R388" s="5"/>
      <c r="S388" s="5"/>
    </row>
    <row r="389" spans="1:38">
      <c r="B389" s="3"/>
      <c r="E389" s="5"/>
      <c r="F389" s="5" t="s">
        <v>762</v>
      </c>
      <c r="G389" s="5"/>
      <c r="I389" s="662"/>
      <c r="J389" s="5"/>
      <c r="K389" s="5"/>
      <c r="L389" s="5"/>
      <c r="M389" s="5"/>
      <c r="N389" s="5"/>
      <c r="O389" s="5"/>
      <c r="P389" s="5"/>
      <c r="Q389" s="5"/>
      <c r="R389" s="5"/>
      <c r="S389" s="5"/>
    </row>
    <row r="390" spans="1:38">
      <c r="B390" s="3"/>
      <c r="E390" s="5"/>
      <c r="F390" s="5" t="s">
        <v>1031</v>
      </c>
      <c r="G390" s="5"/>
      <c r="I390" s="662"/>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749</v>
      </c>
      <c r="C393" s="168"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2162</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2163</v>
      </c>
      <c r="G409" s="3"/>
      <c r="I409" s="5"/>
      <c r="S409" s="5"/>
    </row>
    <row r="410" spans="1:38">
      <c r="B410" s="3"/>
      <c r="C410" s="41" t="s">
        <v>1918</v>
      </c>
      <c r="S410" s="5"/>
    </row>
    <row r="411" spans="1:38">
      <c r="B411" s="3"/>
      <c r="C411" s="5" t="s">
        <v>2164</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1" zoomScaleNormal="100" workbookViewId="0">
      <selection activeCell="H48" sqref="H48"/>
    </sheetView>
  </sheetViews>
  <sheetFormatPr defaultColWidth="0" defaultRowHeight="15" customHeight="1"/>
  <cols>
    <col min="1" max="1" width="3.44140625" style="753" customWidth="1"/>
    <col min="2" max="4" width="17.44140625" style="753" customWidth="1"/>
    <col min="5" max="5" width="15.44140625" style="753" customWidth="1"/>
    <col min="6" max="6" width="2.44140625" style="753" customWidth="1"/>
    <col min="7" max="7" width="14.44140625" style="753" customWidth="1"/>
    <col min="8" max="9" width="2.44140625" style="753" customWidth="1"/>
    <col min="10" max="10" width="3.44140625" style="753" customWidth="1"/>
    <col min="11" max="14" width="2.44140625" style="753" customWidth="1"/>
    <col min="15" max="15" width="43.6640625" style="753" customWidth="1"/>
    <col min="16" max="16" width="7.44140625" style="753" customWidth="1"/>
    <col min="17" max="17" width="3.44140625" style="753" customWidth="1"/>
    <col min="18" max="19" width="10.44140625" style="753" customWidth="1"/>
    <col min="20" max="20" width="8.6640625" style="753" customWidth="1"/>
    <col min="21" max="16384" width="8.6640625" style="753" hidden="1"/>
  </cols>
  <sheetData>
    <row r="1" spans="1:19" ht="15" customHeight="1">
      <c r="A1" s="1930" t="s">
        <v>1860</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6"/>
      <c r="B3" s="506"/>
      <c r="C3" s="506"/>
      <c r="D3" s="506"/>
      <c r="E3" s="506"/>
      <c r="F3" s="506"/>
      <c r="G3" s="506"/>
      <c r="H3" s="506"/>
      <c r="I3" s="506"/>
      <c r="J3" s="506"/>
      <c r="K3" s="506"/>
      <c r="L3" s="506"/>
      <c r="M3" s="506"/>
      <c r="N3" s="506"/>
      <c r="O3" s="506"/>
      <c r="P3" s="506"/>
      <c r="Q3" s="506"/>
      <c r="R3" s="506"/>
    </row>
    <row r="4" spans="1:19" ht="15" customHeight="1">
      <c r="A4" s="506"/>
      <c r="B4" s="1914" t="s">
        <v>2117</v>
      </c>
      <c r="C4" s="1914"/>
      <c r="D4" s="1914"/>
      <c r="E4" s="1914"/>
      <c r="F4" s="1914"/>
      <c r="G4" s="1914"/>
      <c r="H4" s="1914"/>
      <c r="I4" s="1914"/>
      <c r="J4" s="1914"/>
      <c r="K4" s="1914"/>
      <c r="L4" s="1914"/>
      <c r="M4" s="1914"/>
      <c r="N4" s="1914"/>
      <c r="O4" s="1914"/>
      <c r="P4" s="1914"/>
      <c r="Q4" s="1914"/>
      <c r="R4" s="1914"/>
    </row>
    <row r="5" spans="1:19" ht="15" customHeight="1">
      <c r="A5" s="506"/>
      <c r="B5" s="1914"/>
      <c r="C5" s="1914"/>
      <c r="D5" s="1914"/>
      <c r="E5" s="1914"/>
      <c r="F5" s="1914"/>
      <c r="G5" s="1914"/>
      <c r="H5" s="1914"/>
      <c r="I5" s="1914"/>
      <c r="J5" s="1914"/>
      <c r="K5" s="1914"/>
      <c r="L5" s="1914"/>
      <c r="M5" s="1914"/>
      <c r="N5" s="1914"/>
      <c r="O5" s="1914"/>
      <c r="P5" s="1914"/>
      <c r="Q5" s="1914"/>
      <c r="R5" s="1914"/>
    </row>
    <row r="6" spans="1:19" ht="15" customHeight="1">
      <c r="A6" s="506"/>
      <c r="B6" s="1914"/>
      <c r="C6" s="1914"/>
      <c r="D6" s="1914"/>
      <c r="E6" s="1914"/>
      <c r="F6" s="1914"/>
      <c r="G6" s="1914"/>
      <c r="H6" s="1914"/>
      <c r="I6" s="1914"/>
      <c r="J6" s="1914"/>
      <c r="K6" s="1914"/>
      <c r="L6" s="1914"/>
      <c r="M6" s="1914"/>
      <c r="N6" s="1914"/>
      <c r="O6" s="1914"/>
      <c r="P6" s="1914"/>
      <c r="Q6" s="1914"/>
      <c r="R6" s="1914"/>
    </row>
    <row r="7" spans="1:19" ht="15" customHeight="1">
      <c r="A7" s="506"/>
      <c r="B7" s="648"/>
      <c r="C7" s="648"/>
      <c r="D7" s="648"/>
      <c r="E7" s="648"/>
      <c r="F7" s="648"/>
      <c r="G7" s="648"/>
      <c r="H7" s="648"/>
      <c r="I7" s="648"/>
      <c r="J7" s="648"/>
      <c r="K7" s="648"/>
      <c r="L7" s="648"/>
      <c r="M7" s="648"/>
      <c r="N7" s="648"/>
      <c r="O7" s="648"/>
      <c r="P7" s="648"/>
      <c r="Q7" s="648"/>
      <c r="R7" s="648"/>
    </row>
    <row r="8" spans="1:19" ht="32.25" customHeight="1">
      <c r="A8" s="506"/>
      <c r="B8" s="1914" t="s">
        <v>2224</v>
      </c>
      <c r="C8" s="1914"/>
      <c r="D8" s="1914"/>
      <c r="E8" s="1914"/>
      <c r="F8" s="1914"/>
      <c r="G8" s="1914"/>
      <c r="H8" s="1914"/>
      <c r="I8" s="1914"/>
      <c r="J8" s="1914"/>
      <c r="K8" s="1914"/>
      <c r="L8" s="1914"/>
      <c r="M8" s="1914"/>
      <c r="N8" s="1914"/>
      <c r="O8" s="1914"/>
      <c r="P8" s="1914"/>
      <c r="Q8" s="1914"/>
      <c r="R8" s="1914"/>
    </row>
    <row r="9" spans="1:19" ht="15" customHeight="1">
      <c r="A9" s="506"/>
      <c r="B9" s="382"/>
      <c r="C9" s="506"/>
      <c r="D9" s="506"/>
      <c r="E9" s="506"/>
      <c r="F9" s="506"/>
      <c r="G9" s="506"/>
      <c r="H9" s="506"/>
      <c r="I9" s="506"/>
      <c r="J9" s="506"/>
      <c r="K9" s="506"/>
      <c r="L9" s="506"/>
      <c r="M9" s="506"/>
      <c r="N9" s="506"/>
      <c r="O9" s="506"/>
      <c r="P9" s="506"/>
      <c r="Q9" s="506"/>
      <c r="R9" s="506"/>
    </row>
    <row r="10" spans="1:19" ht="15" customHeight="1">
      <c r="A10" s="506"/>
      <c r="B10" s="1914" t="s">
        <v>2203</v>
      </c>
      <c r="C10" s="1914"/>
      <c r="D10" s="1914"/>
      <c r="E10" s="1914"/>
      <c r="F10" s="1914"/>
      <c r="G10" s="1914"/>
      <c r="H10" s="1914"/>
      <c r="I10" s="1914"/>
      <c r="J10" s="1914"/>
      <c r="K10" s="1914"/>
      <c r="L10" s="1914"/>
      <c r="M10" s="1914"/>
      <c r="N10" s="1914"/>
      <c r="O10" s="1914"/>
      <c r="P10" s="1914"/>
      <c r="Q10" s="1914"/>
      <c r="R10" s="1914"/>
    </row>
    <row r="11" spans="1:19" ht="29.25" customHeight="1">
      <c r="A11" s="506"/>
      <c r="B11" s="1914"/>
      <c r="C11" s="1914"/>
      <c r="D11" s="1914"/>
      <c r="E11" s="1914"/>
      <c r="F11" s="1914"/>
      <c r="G11" s="1914"/>
      <c r="H11" s="1914"/>
      <c r="I11" s="1914"/>
      <c r="J11" s="1914"/>
      <c r="K11" s="1914"/>
      <c r="L11" s="1914"/>
      <c r="M11" s="1914"/>
      <c r="N11" s="1914"/>
      <c r="O11" s="1914"/>
      <c r="P11" s="1914"/>
      <c r="Q11" s="1914"/>
      <c r="R11" s="1914"/>
    </row>
    <row r="12" spans="1:19" ht="15" customHeight="1">
      <c r="A12" s="506"/>
      <c r="B12" s="648"/>
      <c r="C12" s="648"/>
      <c r="D12" s="648"/>
      <c r="E12" s="648"/>
      <c r="F12" s="648"/>
      <c r="G12" s="648"/>
      <c r="H12" s="648"/>
      <c r="I12" s="648"/>
      <c r="J12" s="648"/>
      <c r="K12" s="648"/>
      <c r="L12" s="648"/>
      <c r="M12" s="648"/>
      <c r="N12" s="648"/>
      <c r="O12" s="648"/>
      <c r="P12" s="648"/>
      <c r="Q12" s="648"/>
      <c r="R12" s="648"/>
    </row>
    <row r="13" spans="1:19" ht="15" customHeight="1">
      <c r="A13" s="506"/>
      <c r="B13" s="1914" t="s">
        <v>2118</v>
      </c>
      <c r="C13" s="1914"/>
      <c r="D13" s="1914"/>
      <c r="E13" s="1914"/>
      <c r="F13" s="1914"/>
      <c r="G13" s="1914"/>
      <c r="H13" s="1914"/>
      <c r="I13" s="1914"/>
      <c r="J13" s="1914"/>
      <c r="K13" s="1914"/>
      <c r="L13" s="1914"/>
      <c r="M13" s="1914"/>
      <c r="N13" s="1914"/>
      <c r="O13" s="1914"/>
      <c r="P13" s="1914"/>
      <c r="Q13" s="1914"/>
      <c r="R13" s="1914"/>
    </row>
    <row r="14" spans="1:19" ht="15" customHeight="1">
      <c r="A14" s="506"/>
      <c r="B14" s="1914"/>
      <c r="C14" s="1914"/>
      <c r="D14" s="1914"/>
      <c r="E14" s="1914"/>
      <c r="F14" s="1914"/>
      <c r="G14" s="1914"/>
      <c r="H14" s="1914"/>
      <c r="I14" s="1914"/>
      <c r="J14" s="1914"/>
      <c r="K14" s="1914"/>
      <c r="L14" s="1914"/>
      <c r="M14" s="1914"/>
      <c r="N14" s="1914"/>
      <c r="O14" s="1914"/>
      <c r="P14" s="1914"/>
      <c r="Q14" s="1914"/>
      <c r="R14" s="1914"/>
    </row>
    <row r="15" spans="1:19" ht="15" customHeight="1">
      <c r="A15" s="506"/>
      <c r="B15" s="1914"/>
      <c r="C15" s="1914"/>
      <c r="D15" s="1914"/>
      <c r="E15" s="1914"/>
      <c r="F15" s="1914"/>
      <c r="G15" s="1914"/>
      <c r="H15" s="1914"/>
      <c r="I15" s="1914"/>
      <c r="J15" s="1914"/>
      <c r="K15" s="1914"/>
      <c r="L15" s="1914"/>
      <c r="M15" s="1914"/>
      <c r="N15" s="1914"/>
      <c r="O15" s="1914"/>
      <c r="P15" s="1914"/>
      <c r="Q15" s="1914"/>
      <c r="R15" s="1914"/>
    </row>
    <row r="16" spans="1:19" ht="15" customHeight="1">
      <c r="A16" s="506"/>
      <c r="B16" s="1914"/>
      <c r="C16" s="1914"/>
      <c r="D16" s="1914"/>
      <c r="E16" s="1914"/>
      <c r="F16" s="1914"/>
      <c r="G16" s="1914"/>
      <c r="H16" s="1914"/>
      <c r="I16" s="1914"/>
      <c r="J16" s="1914"/>
      <c r="K16" s="1914"/>
      <c r="L16" s="1914"/>
      <c r="M16" s="1914"/>
      <c r="N16" s="1914"/>
      <c r="O16" s="1914"/>
      <c r="P16" s="1914"/>
      <c r="Q16" s="1914"/>
      <c r="R16" s="1914"/>
    </row>
    <row r="17" spans="1:18" ht="15" customHeight="1">
      <c r="A17" s="506"/>
      <c r="B17" s="1914"/>
      <c r="C17" s="1914"/>
      <c r="D17" s="1914"/>
      <c r="E17" s="1914"/>
      <c r="F17" s="1914"/>
      <c r="G17" s="1914"/>
      <c r="H17" s="1914"/>
      <c r="I17" s="1914"/>
      <c r="J17" s="1914"/>
      <c r="K17" s="1914"/>
      <c r="L17" s="1914"/>
      <c r="M17" s="1914"/>
      <c r="N17" s="1914"/>
      <c r="O17" s="1914"/>
      <c r="P17" s="1914"/>
      <c r="Q17" s="1914"/>
      <c r="R17" s="1914"/>
    </row>
    <row r="18" spans="1:18" ht="15" customHeight="1">
      <c r="A18" s="506"/>
      <c r="B18" s="382"/>
      <c r="C18" s="506"/>
      <c r="D18" s="506"/>
      <c r="E18" s="506"/>
      <c r="F18" s="506"/>
      <c r="G18" s="506"/>
      <c r="H18" s="506"/>
      <c r="I18" s="506"/>
      <c r="J18" s="506"/>
      <c r="K18" s="506"/>
      <c r="L18" s="506"/>
      <c r="M18" s="506"/>
      <c r="N18" s="506"/>
      <c r="O18" s="506"/>
      <c r="P18" s="506"/>
      <c r="Q18" s="506"/>
      <c r="R18" s="506"/>
    </row>
    <row r="19" spans="1:18" ht="15" customHeight="1">
      <c r="A19" s="506"/>
      <c r="B19" s="1914" t="s">
        <v>1799</v>
      </c>
      <c r="C19" s="1914"/>
      <c r="D19" s="1914"/>
      <c r="E19" s="1914"/>
      <c r="F19" s="1914"/>
      <c r="G19" s="1914"/>
      <c r="H19" s="1914"/>
      <c r="I19" s="1914"/>
      <c r="J19" s="1914"/>
      <c r="K19" s="1914"/>
      <c r="L19" s="1914"/>
      <c r="M19" s="1914"/>
      <c r="N19" s="1914"/>
      <c r="O19" s="1914"/>
      <c r="P19" s="1914"/>
      <c r="Q19" s="1914"/>
      <c r="R19" s="1914"/>
    </row>
    <row r="20" spans="1:18" ht="15" customHeight="1">
      <c r="A20" s="506"/>
      <c r="B20" s="1914"/>
      <c r="C20" s="1914"/>
      <c r="D20" s="1914"/>
      <c r="E20" s="1914"/>
      <c r="F20" s="1914"/>
      <c r="G20" s="1914"/>
      <c r="H20" s="1914"/>
      <c r="I20" s="1914"/>
      <c r="J20" s="1914"/>
      <c r="K20" s="1914"/>
      <c r="L20" s="1914"/>
      <c r="M20" s="1914"/>
      <c r="N20" s="1914"/>
      <c r="O20" s="1914"/>
      <c r="P20" s="1914"/>
      <c r="Q20" s="1914"/>
      <c r="R20" s="1914"/>
    </row>
    <row r="21" spans="1:18" ht="15" customHeight="1">
      <c r="A21" s="506"/>
      <c r="B21" s="1914"/>
      <c r="C21" s="1914"/>
      <c r="D21" s="1914"/>
      <c r="E21" s="1914"/>
      <c r="F21" s="1914"/>
      <c r="G21" s="1914"/>
      <c r="H21" s="1914"/>
      <c r="I21" s="1914"/>
      <c r="J21" s="1914"/>
      <c r="K21" s="1914"/>
      <c r="L21" s="1914"/>
      <c r="M21" s="1914"/>
      <c r="N21" s="1914"/>
      <c r="O21" s="1914"/>
      <c r="P21" s="1914"/>
      <c r="Q21" s="1914"/>
      <c r="R21" s="1914"/>
    </row>
    <row r="22" spans="1:18" ht="15" customHeight="1">
      <c r="A22" s="506"/>
      <c r="B22" s="648"/>
      <c r="C22" s="648"/>
      <c r="D22" s="648"/>
      <c r="E22" s="648"/>
      <c r="F22" s="648"/>
      <c r="G22" s="648"/>
      <c r="H22" s="648"/>
      <c r="I22" s="648"/>
      <c r="J22" s="648"/>
      <c r="K22" s="648"/>
      <c r="L22" s="648"/>
      <c r="M22" s="648"/>
      <c r="N22" s="648"/>
      <c r="O22" s="648"/>
      <c r="P22" s="648"/>
      <c r="Q22" s="648"/>
      <c r="R22" s="648"/>
    </row>
    <row r="23" spans="1:18" ht="15" customHeight="1">
      <c r="A23" s="506"/>
      <c r="B23" s="1914" t="s">
        <v>1800</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8"/>
      <c r="C25" s="648"/>
      <c r="D25" s="648"/>
      <c r="E25" s="648"/>
      <c r="F25" s="648"/>
      <c r="G25" s="648"/>
      <c r="H25" s="648"/>
      <c r="I25" s="648"/>
      <c r="J25" s="648"/>
      <c r="K25" s="648"/>
      <c r="L25" s="648"/>
      <c r="M25" s="648"/>
      <c r="N25" s="648"/>
      <c r="O25" s="648"/>
      <c r="P25" s="648"/>
      <c r="Q25" s="648"/>
      <c r="R25" s="648"/>
    </row>
    <row r="26" spans="1:18" ht="15" customHeight="1">
      <c r="B26" s="1914" t="s">
        <v>1693</v>
      </c>
      <c r="C26" s="1914"/>
      <c r="D26" s="1914"/>
      <c r="E26" s="1914"/>
      <c r="F26" s="1914"/>
      <c r="G26" s="1914"/>
      <c r="H26" s="1914"/>
      <c r="I26" s="1914"/>
      <c r="J26" s="1914"/>
      <c r="K26" s="1914"/>
      <c r="L26" s="1914"/>
      <c r="M26" s="1914"/>
      <c r="N26" s="1914"/>
      <c r="O26" s="1914"/>
      <c r="P26" s="1914"/>
      <c r="Q26" s="1914"/>
      <c r="R26" s="1914"/>
    </row>
    <row r="27" spans="1:18" ht="15" customHeight="1">
      <c r="B27" s="648"/>
      <c r="C27" s="648"/>
      <c r="D27" s="648"/>
      <c r="E27" s="648"/>
      <c r="F27" s="648"/>
      <c r="G27" s="648"/>
      <c r="H27" s="648"/>
      <c r="I27" s="648"/>
      <c r="J27" s="648"/>
      <c r="K27" s="648"/>
      <c r="L27" s="648"/>
      <c r="M27" s="648"/>
      <c r="N27" s="648"/>
      <c r="O27" s="648"/>
      <c r="P27" s="648"/>
      <c r="Q27" s="648"/>
      <c r="R27" s="648"/>
    </row>
    <row r="28" spans="1:18" ht="15" customHeight="1">
      <c r="B28" s="507" t="s">
        <v>139</v>
      </c>
    </row>
    <row r="29" spans="1:18" ht="15" customHeight="1">
      <c r="B29" s="1922" t="s">
        <v>1606</v>
      </c>
      <c r="C29" s="1922"/>
      <c r="D29" s="1922"/>
      <c r="E29" s="1922"/>
      <c r="F29" s="1922"/>
      <c r="G29" s="1922"/>
      <c r="H29" s="375"/>
      <c r="I29" s="375"/>
      <c r="J29" s="375"/>
      <c r="K29" s="375"/>
      <c r="L29" s="375"/>
      <c r="M29" s="375"/>
      <c r="N29" s="375"/>
      <c r="O29" s="1920" t="s">
        <v>1615</v>
      </c>
    </row>
    <row r="30" spans="1:18" ht="15" customHeight="1">
      <c r="B30" s="1922"/>
      <c r="C30" s="1922"/>
      <c r="D30" s="1922"/>
      <c r="E30" s="1922"/>
      <c r="F30" s="1922"/>
      <c r="G30" s="1922"/>
      <c r="H30" s="375"/>
      <c r="I30" s="375"/>
      <c r="J30" s="375"/>
      <c r="K30" s="375"/>
      <c r="L30" s="375"/>
      <c r="M30" s="375"/>
      <c r="N30" s="375"/>
      <c r="O30" s="1920"/>
    </row>
    <row r="31" spans="1:18" ht="15" customHeight="1">
      <c r="B31" s="1922"/>
      <c r="C31" s="1922"/>
      <c r="D31" s="1922"/>
      <c r="E31" s="1922"/>
      <c r="F31" s="1922"/>
      <c r="G31" s="1922"/>
      <c r="H31" s="375"/>
      <c r="I31" s="375"/>
      <c r="J31" s="375"/>
      <c r="K31" s="375"/>
      <c r="L31" s="375"/>
      <c r="M31" s="375"/>
      <c r="N31" s="375"/>
      <c r="O31" s="1920"/>
    </row>
    <row r="32" spans="1:18" ht="15" customHeight="1">
      <c r="B32" s="1923"/>
      <c r="C32" s="1923"/>
      <c r="D32" s="1923"/>
      <c r="E32" s="1923"/>
      <c r="F32" s="1923"/>
      <c r="G32" s="1923"/>
      <c r="I32" s="1924" t="s">
        <v>138</v>
      </c>
      <c r="J32" s="1925" t="s">
        <v>990</v>
      </c>
      <c r="K32" s="1926">
        <v>1</v>
      </c>
      <c r="M32" s="508"/>
      <c r="O32" s="1921"/>
      <c r="P32" s="1925" t="s">
        <v>1938</v>
      </c>
    </row>
    <row r="33" spans="1:21" ht="15" customHeight="1">
      <c r="B33" s="1927" t="s">
        <v>1610</v>
      </c>
      <c r="C33" s="1927"/>
      <c r="D33" s="1927"/>
      <c r="E33" s="1927"/>
      <c r="F33" s="1927"/>
      <c r="G33" s="1927"/>
      <c r="I33" s="1924"/>
      <c r="J33" s="1925"/>
      <c r="K33" s="1926"/>
      <c r="M33" s="509"/>
      <c r="O33" s="1927" t="s">
        <v>1610</v>
      </c>
      <c r="P33" s="1925"/>
    </row>
    <row r="34" spans="1:21" ht="15" customHeight="1">
      <c r="B34" s="1924"/>
      <c r="C34" s="1924"/>
      <c r="D34" s="1924"/>
      <c r="E34" s="1924"/>
      <c r="F34" s="1924"/>
      <c r="G34" s="1924"/>
      <c r="I34" s="647"/>
      <c r="J34" s="646"/>
      <c r="K34" s="526"/>
      <c r="M34" s="509"/>
      <c r="O34" s="1924"/>
      <c r="P34" s="646"/>
    </row>
    <row r="35" spans="1:21" ht="15" customHeight="1">
      <c r="B35" s="510"/>
      <c r="C35" s="510"/>
      <c r="D35" s="510"/>
      <c r="E35" s="510"/>
      <c r="F35" s="510"/>
      <c r="G35" s="510"/>
      <c r="H35" s="394"/>
      <c r="I35" s="511"/>
      <c r="J35" s="512"/>
      <c r="K35" s="513"/>
      <c r="L35" s="394"/>
      <c r="M35" s="508"/>
      <c r="N35" s="394"/>
      <c r="O35" s="510"/>
      <c r="P35" s="512"/>
      <c r="Q35" s="394"/>
      <c r="R35" s="394"/>
    </row>
    <row r="36" spans="1:21" ht="15" customHeight="1">
      <c r="B36" s="538"/>
      <c r="C36" s="538"/>
      <c r="D36" s="538"/>
      <c r="E36" s="538"/>
      <c r="F36" s="538"/>
      <c r="G36" s="538"/>
      <c r="I36" s="647"/>
      <c r="J36" s="646"/>
      <c r="K36" s="526"/>
      <c r="M36" s="509"/>
      <c r="O36" s="538"/>
      <c r="P36" s="646"/>
    </row>
    <row r="37" spans="1:21" ht="15" customHeight="1">
      <c r="A37" s="514"/>
      <c r="B37" s="1931" t="s">
        <v>1600</v>
      </c>
      <c r="C37" s="1931"/>
      <c r="D37" s="1931"/>
      <c r="E37" s="1931"/>
      <c r="F37" s="515"/>
      <c r="G37" s="515"/>
      <c r="H37" s="516"/>
      <c r="I37" s="375"/>
      <c r="J37" s="375"/>
      <c r="L37" s="528"/>
      <c r="M37" s="528"/>
      <c r="N37" s="528"/>
      <c r="O37" s="528"/>
      <c r="P37" s="528"/>
      <c r="Q37" s="528"/>
      <c r="R37" s="528"/>
      <c r="S37" s="528"/>
    </row>
    <row r="38" spans="1:21" ht="15" customHeight="1">
      <c r="B38" s="1936" t="s">
        <v>1616</v>
      </c>
      <c r="C38" s="1936"/>
      <c r="D38" s="1936"/>
      <c r="E38" s="1936"/>
      <c r="F38" s="649"/>
      <c r="G38" s="517">
        <f>D110</f>
        <v>1670851.5211116879</v>
      </c>
      <c r="H38" s="383"/>
      <c r="I38" s="518"/>
      <c r="J38" s="383"/>
      <c r="K38" s="1943" t="s">
        <v>2221</v>
      </c>
      <c r="L38" s="1943"/>
      <c r="M38" s="1943"/>
      <c r="N38" s="1943"/>
      <c r="O38" s="1943"/>
      <c r="P38" s="1943"/>
      <c r="Q38" s="1943"/>
      <c r="R38" s="1943"/>
      <c r="S38" s="1943"/>
    </row>
    <row r="39" spans="1:21" ht="15" customHeight="1">
      <c r="B39" s="1937" t="s">
        <v>1281</v>
      </c>
      <c r="C39" s="1937"/>
      <c r="D39" s="1937"/>
      <c r="E39" s="1937"/>
      <c r="F39" s="649"/>
      <c r="G39" s="631"/>
      <c r="H39" s="383"/>
      <c r="I39" s="518"/>
      <c r="J39" s="383"/>
      <c r="K39" s="1943"/>
      <c r="L39" s="1943"/>
      <c r="M39" s="1943"/>
      <c r="N39" s="1943"/>
      <c r="O39" s="1943"/>
      <c r="P39" s="1943"/>
      <c r="Q39" s="1943"/>
      <c r="R39" s="1943"/>
      <c r="S39" s="1943"/>
    </row>
    <row r="40" spans="1:21" ht="15" customHeight="1">
      <c r="B40" s="1937" t="s">
        <v>1282</v>
      </c>
      <c r="C40" s="1937"/>
      <c r="D40" s="1937"/>
      <c r="E40" s="1937"/>
      <c r="F40" s="649"/>
      <c r="G40" s="631"/>
      <c r="H40" s="383"/>
      <c r="I40" s="518"/>
      <c r="J40" s="383"/>
      <c r="K40" s="1943"/>
      <c r="L40" s="1943"/>
      <c r="M40" s="1943"/>
      <c r="N40" s="1943"/>
      <c r="O40" s="1943"/>
      <c r="P40" s="1943"/>
      <c r="Q40" s="1943"/>
      <c r="R40" s="1943"/>
      <c r="S40" s="1943"/>
    </row>
    <row r="41" spans="1:21" ht="15" customHeight="1">
      <c r="B41" s="1938" t="s">
        <v>1611</v>
      </c>
      <c r="C41" s="1938"/>
      <c r="D41" s="1938"/>
      <c r="E41" s="1938"/>
      <c r="F41" s="649"/>
      <c r="G41" s="383"/>
      <c r="H41" s="383"/>
      <c r="I41" s="518"/>
      <c r="J41" s="383"/>
      <c r="K41" s="1942" t="s">
        <v>123</v>
      </c>
      <c r="L41" s="1942"/>
      <c r="M41" s="1942"/>
      <c r="N41" s="1942"/>
      <c r="O41" s="1942"/>
      <c r="P41" s="1942"/>
      <c r="Q41" s="1942"/>
      <c r="R41" s="1942"/>
      <c r="S41" s="1942"/>
    </row>
    <row r="42" spans="1:21" ht="15" customHeight="1">
      <c r="B42" s="633" t="str">
        <f>+Application!C622</f>
        <v>HCD - Joe Serna</v>
      </c>
      <c r="C42" s="633"/>
      <c r="D42" s="627"/>
      <c r="E42" s="651">
        <f>+Application!AO622</f>
        <v>18299382</v>
      </c>
      <c r="F42" s="649"/>
      <c r="G42" s="383"/>
      <c r="H42" s="383"/>
      <c r="I42" s="518"/>
      <c r="J42" s="383"/>
      <c r="K42" s="1941"/>
      <c r="L42" s="1941"/>
      <c r="M42" s="1941"/>
      <c r="N42" s="1941"/>
      <c r="O42" s="1941"/>
      <c r="Q42" s="1944"/>
      <c r="R42" s="1944"/>
      <c r="U42" s="753" t="s">
        <v>123</v>
      </c>
    </row>
    <row r="43" spans="1:21" ht="15" customHeight="1">
      <c r="B43" s="633" t="str">
        <f>+Application!C623</f>
        <v>HCD - IIG</v>
      </c>
      <c r="C43" s="633"/>
      <c r="D43" s="503"/>
      <c r="E43" s="651">
        <f>+Application!AO623</f>
        <v>3611400</v>
      </c>
      <c r="F43" s="649"/>
      <c r="G43" s="383"/>
      <c r="H43" s="383"/>
      <c r="I43" s="518"/>
      <c r="J43" s="383"/>
      <c r="L43" s="383"/>
      <c r="M43" s="375"/>
      <c r="N43" s="375"/>
      <c r="O43" s="375"/>
      <c r="Q43" s="519"/>
      <c r="R43" s="519"/>
      <c r="U43" s="753" t="s">
        <v>2220</v>
      </c>
    </row>
    <row r="44" spans="1:21" ht="15" customHeight="1">
      <c r="B44" s="633" t="str">
        <f>+Application!C624</f>
        <v>Sonoma County - HOME</v>
      </c>
      <c r="C44" s="633"/>
      <c r="D44" s="503"/>
      <c r="E44" s="651">
        <f>+Application!AO624</f>
        <v>1834186</v>
      </c>
      <c r="F44" s="649"/>
      <c r="G44" s="383"/>
      <c r="H44" s="383"/>
      <c r="I44" s="518"/>
      <c r="K44" s="382" t="s">
        <v>1851</v>
      </c>
      <c r="Q44" s="1944"/>
      <c r="R44" s="1944"/>
    </row>
    <row r="45" spans="1:21" ht="15" customHeight="1">
      <c r="B45" s="633" t="str">
        <f>+Application!C625</f>
        <v>Sonoma County - CDBG</v>
      </c>
      <c r="C45" s="633"/>
      <c r="D45" s="503"/>
      <c r="E45" s="651">
        <f>+Application!AO625</f>
        <v>935758</v>
      </c>
      <c r="F45" s="649"/>
      <c r="G45" s="383"/>
      <c r="H45" s="383"/>
      <c r="I45" s="518"/>
      <c r="K45" s="387" t="s">
        <v>1846</v>
      </c>
      <c r="L45" s="387"/>
      <c r="M45" s="383"/>
      <c r="N45" s="383"/>
      <c r="O45" s="383"/>
      <c r="P45" s="383"/>
    </row>
    <row r="46" spans="1:21" ht="15" customHeight="1">
      <c r="B46" s="633" t="str">
        <f>+Application!C626</f>
        <v>FHLB - AHP</v>
      </c>
      <c r="C46" s="633"/>
      <c r="D46" s="503"/>
      <c r="E46" s="651">
        <f>+Application!AO626</f>
        <v>1000000</v>
      </c>
      <c r="F46" s="649"/>
      <c r="G46" s="383"/>
      <c r="H46" s="383"/>
      <c r="I46" s="518"/>
      <c r="J46" s="383"/>
      <c r="K46" s="1918" t="s">
        <v>1847</v>
      </c>
      <c r="L46" s="1918"/>
      <c r="M46" s="1918"/>
      <c r="N46" s="1918"/>
      <c r="O46" s="1918"/>
      <c r="Q46" s="1915"/>
      <c r="R46" s="1915"/>
    </row>
    <row r="47" spans="1:21" ht="15" customHeight="1">
      <c r="B47" s="633"/>
      <c r="C47" s="633"/>
      <c r="D47" s="503"/>
      <c r="E47" s="651"/>
      <c r="F47" s="649"/>
      <c r="G47" s="383"/>
      <c r="H47" s="383"/>
      <c r="I47" s="518"/>
      <c r="J47" s="383"/>
      <c r="K47" s="1919" t="s">
        <v>1848</v>
      </c>
      <c r="L47" s="1919"/>
      <c r="M47" s="1919"/>
      <c r="N47" s="1919"/>
      <c r="O47" s="1919"/>
      <c r="Q47" s="1917"/>
      <c r="R47" s="1917"/>
    </row>
    <row r="48" spans="1:21" ht="15" customHeight="1">
      <c r="B48" s="633"/>
      <c r="C48" s="633"/>
      <c r="D48" s="503"/>
      <c r="E48" s="651"/>
      <c r="F48" s="649"/>
      <c r="G48" s="383"/>
      <c r="H48" s="383"/>
      <c r="I48" s="518"/>
      <c r="J48" s="383"/>
      <c r="K48" s="1916" t="s">
        <v>1849</v>
      </c>
      <c r="L48" s="1916"/>
      <c r="M48" s="1916"/>
      <c r="N48" s="1916"/>
      <c r="O48" s="1916"/>
      <c r="Q48" s="1918">
        <f>Q46+Q47</f>
        <v>0</v>
      </c>
      <c r="R48" s="1918"/>
    </row>
    <row r="49" spans="1:29" ht="15" customHeight="1">
      <c r="B49" s="633"/>
      <c r="C49" s="633"/>
      <c r="D49" s="503"/>
      <c r="E49" s="651"/>
      <c r="F49" s="649"/>
      <c r="G49" s="383"/>
      <c r="H49" s="383"/>
      <c r="I49" s="518"/>
      <c r="J49" s="383"/>
    </row>
    <row r="50" spans="1:29" ht="15" customHeight="1">
      <c r="B50" s="629" t="s">
        <v>1694</v>
      </c>
      <c r="C50" s="629"/>
      <c r="D50" s="632"/>
      <c r="E50" s="630">
        <f>MAX(IF('Sources and Uses Budget'!B15="",0,'Sources and Uses Budget'!B15),IF(Application!AG387="",0,Application!AG387))</f>
        <v>0</v>
      </c>
      <c r="F50" s="649"/>
      <c r="G50" s="383"/>
      <c r="H50" s="383"/>
      <c r="I50" s="518"/>
      <c r="J50" s="383"/>
    </row>
    <row r="51" spans="1:29" ht="15" customHeight="1">
      <c r="B51" s="628" t="s">
        <v>1344</v>
      </c>
      <c r="C51" s="628"/>
      <c r="D51" s="632"/>
      <c r="E51" s="630">
        <v>297780</v>
      </c>
      <c r="F51" s="649"/>
      <c r="G51" s="383"/>
      <c r="H51" s="383"/>
      <c r="I51" s="518"/>
      <c r="J51" s="383"/>
    </row>
    <row r="52" spans="1:29" ht="15" customHeight="1">
      <c r="B52" s="1936" t="s">
        <v>1607</v>
      </c>
      <c r="C52" s="1936"/>
      <c r="D52" s="1936"/>
      <c r="E52" s="1936"/>
      <c r="F52" s="649"/>
      <c r="G52" s="517">
        <f>SUM(E42:E49)-ABS(E50)-ABS(E51)</f>
        <v>25382946</v>
      </c>
      <c r="H52" s="383"/>
      <c r="I52" s="518"/>
      <c r="J52" s="383"/>
    </row>
    <row r="53" spans="1:29" ht="15" customHeight="1">
      <c r="C53" s="522"/>
      <c r="D53" s="522" t="s">
        <v>873</v>
      </c>
      <c r="E53" s="522"/>
      <c r="F53" s="522"/>
      <c r="G53" s="523">
        <f>SUM(G38:G40)+G52</f>
        <v>27053797.52111169</v>
      </c>
      <c r="H53" s="520"/>
      <c r="I53" s="518"/>
      <c r="J53" s="383"/>
      <c r="K53" s="383"/>
      <c r="L53" s="383"/>
    </row>
    <row r="54" spans="1:29" ht="15" customHeight="1">
      <c r="B54" s="524"/>
      <c r="C54" s="524"/>
      <c r="D54" s="524"/>
      <c r="E54" s="524"/>
      <c r="F54" s="524"/>
      <c r="G54" s="524"/>
      <c r="H54" s="394"/>
      <c r="I54" s="521"/>
      <c r="J54" s="521"/>
      <c r="K54" s="521"/>
      <c r="L54" s="521"/>
      <c r="M54" s="521"/>
      <c r="N54" s="521"/>
      <c r="O54" s="394"/>
      <c r="P54" s="394"/>
      <c r="Q54" s="394"/>
      <c r="R54" s="394"/>
    </row>
    <row r="55" spans="1:29" ht="15" customHeight="1">
      <c r="B55" s="649"/>
      <c r="C55" s="649"/>
      <c r="D55" s="649"/>
      <c r="E55" s="649"/>
      <c r="F55" s="649"/>
      <c r="G55" s="649"/>
      <c r="H55" s="649"/>
      <c r="I55" s="649"/>
      <c r="J55" s="649"/>
      <c r="K55" s="649"/>
      <c r="L55" s="649"/>
      <c r="M55" s="649"/>
      <c r="N55" s="649"/>
      <c r="O55" s="649"/>
      <c r="P55" s="649"/>
      <c r="U55" s="753" t="s">
        <v>123</v>
      </c>
      <c r="AC55" s="753" t="s">
        <v>972</v>
      </c>
    </row>
    <row r="56" spans="1:29" ht="15" customHeight="1">
      <c r="B56" s="1939" t="s">
        <v>1262</v>
      </c>
      <c r="C56" s="1939"/>
      <c r="D56" s="649"/>
      <c r="E56" s="649"/>
      <c r="F56" s="649"/>
      <c r="G56" s="649"/>
      <c r="H56" s="649"/>
      <c r="I56" s="649"/>
      <c r="J56" s="649"/>
      <c r="K56" s="649"/>
      <c r="L56" s="649"/>
      <c r="M56" s="649"/>
      <c r="N56" s="649"/>
      <c r="O56" s="649"/>
      <c r="P56" s="649"/>
      <c r="U56" s="951" t="s">
        <v>1794</v>
      </c>
      <c r="AC56" s="952">
        <v>0.2</v>
      </c>
    </row>
    <row r="57" spans="1:29" ht="15" customHeight="1">
      <c r="A57" s="520"/>
      <c r="B57" s="1940" t="s">
        <v>1602</v>
      </c>
      <c r="C57" s="1940"/>
      <c r="D57" s="1940"/>
      <c r="E57" s="1940"/>
      <c r="F57" s="1940"/>
      <c r="G57" s="1940"/>
      <c r="H57" s="1940"/>
      <c r="I57" s="1940"/>
      <c r="J57" s="1940"/>
      <c r="K57" s="1940"/>
      <c r="L57" s="1940"/>
      <c r="M57" s="1940"/>
      <c r="N57" s="1940"/>
      <c r="O57" s="1940"/>
      <c r="P57" s="649"/>
      <c r="U57" s="951" t="s">
        <v>1795</v>
      </c>
      <c r="AC57" s="952">
        <v>0.1</v>
      </c>
    </row>
    <row r="58" spans="1:29" ht="15" customHeight="1">
      <c r="B58" s="1931" t="s">
        <v>2219</v>
      </c>
      <c r="C58" s="1932"/>
      <c r="D58" s="1932"/>
      <c r="E58" s="1932"/>
      <c r="F58" s="525"/>
      <c r="G58" s="525"/>
      <c r="H58" s="515"/>
      <c r="I58" s="515"/>
      <c r="J58" s="1933">
        <f>('Sources and Uses Budget'!D104+Q47)/('Sources and Uses Budget'!B104+Q48)</f>
        <v>0</v>
      </c>
      <c r="K58" s="1934"/>
      <c r="L58" s="1934"/>
      <c r="M58" s="1934"/>
      <c r="N58" s="1935"/>
      <c r="O58" s="515"/>
      <c r="P58" s="515"/>
      <c r="U58" s="951" t="s">
        <v>1796</v>
      </c>
      <c r="AC58" s="952">
        <v>0.1</v>
      </c>
    </row>
    <row r="59" spans="1:29" ht="15" customHeight="1">
      <c r="B59" s="1914" t="s">
        <v>2119</v>
      </c>
      <c r="C59" s="1914"/>
      <c r="D59" s="1914"/>
      <c r="E59" s="1914"/>
      <c r="F59" s="1914"/>
      <c r="G59" s="1914"/>
      <c r="H59" s="1914"/>
      <c r="I59" s="1914"/>
      <c r="J59" s="1914"/>
      <c r="K59" s="1914"/>
      <c r="L59" s="1914"/>
      <c r="M59" s="1914"/>
      <c r="N59" s="1914"/>
      <c r="O59" s="1914"/>
      <c r="P59" s="515"/>
      <c r="U59" s="951" t="s">
        <v>1797</v>
      </c>
      <c r="AC59" s="952">
        <v>0.05</v>
      </c>
    </row>
    <row r="60" spans="1:29" ht="15" customHeight="1">
      <c r="B60" s="1914"/>
      <c r="C60" s="1914"/>
      <c r="D60" s="1914"/>
      <c r="E60" s="1914"/>
      <c r="F60" s="1914"/>
      <c r="G60" s="1914"/>
      <c r="H60" s="1914"/>
      <c r="I60" s="1914"/>
      <c r="J60" s="1914"/>
      <c r="K60" s="1914"/>
      <c r="L60" s="1914"/>
      <c r="M60" s="1914"/>
      <c r="N60" s="1914"/>
      <c r="O60" s="1914"/>
      <c r="P60" s="515"/>
      <c r="AC60" s="953"/>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5"/>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5"/>
      <c r="C63" s="375"/>
      <c r="D63" s="375"/>
      <c r="E63" s="382"/>
      <c r="F63" s="375"/>
      <c r="G63" s="375"/>
      <c r="H63" s="375"/>
      <c r="I63" s="756"/>
      <c r="J63" s="1946" t="s">
        <v>2222</v>
      </c>
      <c r="K63" s="1947"/>
      <c r="L63" s="1947"/>
      <c r="M63" s="1947"/>
      <c r="N63" s="1947"/>
      <c r="O63" s="1947"/>
      <c r="P63" s="1947"/>
      <c r="Q63" s="1947"/>
      <c r="R63" s="1947"/>
    </row>
    <row r="64" spans="1:29" ht="15" customHeight="1" thickBot="1">
      <c r="B64" s="1939" t="s">
        <v>1612</v>
      </c>
      <c r="C64" s="1939"/>
      <c r="D64" s="375"/>
      <c r="F64" s="375"/>
      <c r="G64" s="522" t="s">
        <v>1850</v>
      </c>
      <c r="H64" s="375"/>
      <c r="I64" s="757"/>
      <c r="J64" s="1948"/>
      <c r="K64" s="1949"/>
      <c r="L64" s="1949"/>
      <c r="M64" s="1949"/>
      <c r="N64" s="1949"/>
      <c r="O64" s="1949"/>
      <c r="P64" s="1949"/>
      <c r="Q64" s="1949"/>
      <c r="R64" s="1949"/>
      <c r="U64" s="950">
        <f>IF(K41="Rural project in a county where no tax credit applications have been received within 5 years",AC59,0)</f>
        <v>0</v>
      </c>
    </row>
    <row r="65" spans="1:22" ht="15" customHeight="1" thickBot="1">
      <c r="B65" s="526" t="s">
        <v>1605</v>
      </c>
      <c r="C65" s="511" t="str">
        <f>IF(OR(Application!M349="Yes",Application!M350="Yes"),"Yes","No")</f>
        <v>Yes</v>
      </c>
      <c r="E65" s="787"/>
      <c r="F65" s="787"/>
      <c r="G65" s="522" t="s">
        <v>1852</v>
      </c>
      <c r="H65" s="375"/>
      <c r="I65" s="757"/>
      <c r="J65" s="1948"/>
      <c r="K65" s="1949"/>
      <c r="L65" s="1949"/>
      <c r="M65" s="1949"/>
      <c r="N65" s="1949"/>
      <c r="O65" s="1949"/>
      <c r="P65" s="1949"/>
      <c r="Q65" s="1949"/>
      <c r="R65" s="1949"/>
      <c r="U65" s="950">
        <f>IF(J67="Non-rural project, Census Tract is Highest Resource (20 percentage points)",AC56,0)</f>
        <v>0</v>
      </c>
    </row>
    <row r="66" spans="1:22" ht="15" customHeight="1" thickBot="1">
      <c r="B66" s="527" t="s">
        <v>1681</v>
      </c>
      <c r="C66" s="637">
        <f>Application!AG430-Application!AG431</f>
        <v>72</v>
      </c>
      <c r="D66" s="787"/>
      <c r="E66" s="527" t="s">
        <v>1853</v>
      </c>
      <c r="F66" s="787"/>
      <c r="G66" s="654"/>
      <c r="H66" s="528"/>
      <c r="I66" s="758"/>
      <c r="J66" s="1948"/>
      <c r="K66" s="1949"/>
      <c r="L66" s="1949"/>
      <c r="M66" s="1949"/>
      <c r="N66" s="1949"/>
      <c r="O66" s="1949"/>
      <c r="P66" s="1949"/>
      <c r="Q66" s="1949"/>
      <c r="R66" s="1949"/>
      <c r="U66" s="950">
        <f>IF(J67="Non-rural project, Census Tract is High Resource (10 percentage points)",AC57,0)</f>
        <v>0</v>
      </c>
    </row>
    <row r="67" spans="1:22" ht="15" customHeight="1" thickBot="1">
      <c r="B67" s="527" t="s">
        <v>1601</v>
      </c>
      <c r="C67" s="638">
        <f>MIN(IF(AND(C65="Yes",G67&gt;=50),(0.75+(G67/200)),1),1.5)</f>
        <v>1.1099999999999999</v>
      </c>
      <c r="D67" s="528"/>
      <c r="E67" s="527" t="s">
        <v>1682</v>
      </c>
      <c r="G67" s="637">
        <f>C66+G66</f>
        <v>72</v>
      </c>
      <c r="H67" s="528"/>
      <c r="I67" s="758"/>
      <c r="J67" s="1945" t="s">
        <v>123</v>
      </c>
      <c r="K67" s="1942"/>
      <c r="L67" s="1942"/>
      <c r="M67" s="1942"/>
      <c r="N67" s="1942"/>
      <c r="O67" s="1942"/>
      <c r="P67" s="1942"/>
      <c r="Q67" s="1942"/>
      <c r="R67" s="1942"/>
      <c r="U67" s="950">
        <f>IF(J67="Rural project, Census Tract is Highest Resource (10 percentage points)",AC58,0)</f>
        <v>0</v>
      </c>
    </row>
    <row r="68" spans="1:22" ht="15" customHeight="1" thickBot="1">
      <c r="B68" s="394"/>
      <c r="C68" s="394"/>
      <c r="D68" s="394"/>
      <c r="E68" s="394"/>
      <c r="F68" s="394"/>
      <c r="G68" s="394"/>
      <c r="H68" s="394"/>
      <c r="I68" s="759"/>
      <c r="J68" s="394"/>
      <c r="K68" s="394"/>
      <c r="L68" s="394"/>
      <c r="M68" s="394"/>
      <c r="N68" s="394"/>
      <c r="O68" s="394"/>
      <c r="P68" s="394"/>
      <c r="Q68" s="394"/>
      <c r="R68" s="394"/>
      <c r="U68" s="950">
        <f>IF(J67="Rural project, Census Tract is High Resource (5 percentage points)",AC59,0)</f>
        <v>0</v>
      </c>
    </row>
    <row r="69" spans="1:22" ht="15" customHeight="1">
      <c r="U69" s="1928">
        <f>SUM(U62:U68)</f>
        <v>0</v>
      </c>
    </row>
    <row r="70" spans="1:22" ht="15" customHeight="1" thickBot="1">
      <c r="B70" s="507" t="s">
        <v>1609</v>
      </c>
      <c r="C70" s="507"/>
      <c r="D70" s="507"/>
      <c r="E70" s="507"/>
      <c r="F70" s="507"/>
      <c r="G70" s="507"/>
      <c r="U70" s="1929"/>
      <c r="V70" s="373" t="s">
        <v>1798</v>
      </c>
    </row>
    <row r="71" spans="1:22" ht="15" customHeight="1">
      <c r="B71" s="1936" t="s">
        <v>1613</v>
      </c>
      <c r="C71" s="1936"/>
      <c r="D71" s="1936"/>
      <c r="E71" s="507"/>
      <c r="F71" s="507"/>
      <c r="G71" s="517">
        <f>G53*(1-J58)</f>
        <v>27053797.52111169</v>
      </c>
      <c r="J71" s="529"/>
      <c r="K71" s="686" t="s">
        <v>1615</v>
      </c>
      <c r="L71" s="686"/>
      <c r="M71" s="686"/>
      <c r="N71" s="686"/>
      <c r="O71" s="686"/>
      <c r="Q71" s="1918">
        <f>'Basis &amp; Credits'!T23+'Basis &amp; Credits'!Y23+'Basis &amp; Credits'!AD23+'Basis &amp; Credits'!AI23</f>
        <v>28517292</v>
      </c>
      <c r="R71" s="1918"/>
    </row>
    <row r="72" spans="1:22" ht="15" customHeight="1">
      <c r="B72" s="1950" t="s">
        <v>1614</v>
      </c>
      <c r="C72" s="1950"/>
      <c r="D72" s="1950"/>
      <c r="E72" s="507"/>
      <c r="F72" s="507"/>
      <c r="G72" s="517">
        <f>G71*C67</f>
        <v>30029715.248433974</v>
      </c>
      <c r="J72" s="529"/>
      <c r="K72" s="649"/>
      <c r="L72" s="649"/>
      <c r="M72" s="649"/>
      <c r="N72" s="649"/>
      <c r="O72" s="649"/>
      <c r="Q72" s="1944"/>
      <c r="R72" s="1944"/>
    </row>
    <row r="73" spans="1:22" ht="15" customHeight="1">
      <c r="B73" s="634"/>
      <c r="C73" s="635"/>
      <c r="D73" s="523"/>
      <c r="E73" s="507"/>
      <c r="F73" s="507"/>
      <c r="G73" s="383"/>
      <c r="J73" s="529"/>
    </row>
    <row r="74" spans="1:22" ht="15" customHeight="1" thickBot="1">
      <c r="B74" s="507"/>
      <c r="C74" s="507"/>
      <c r="D74" s="507"/>
      <c r="E74" s="507"/>
      <c r="F74" s="507"/>
      <c r="G74" s="507"/>
    </row>
    <row r="75" spans="1:22" ht="15" customHeight="1">
      <c r="A75" s="520"/>
      <c r="B75" s="1951">
        <f>$G$72</f>
        <v>30029715.248433974</v>
      </c>
      <c r="C75" s="1952"/>
      <c r="D75" s="1952"/>
      <c r="E75" s="1952"/>
      <c r="F75" s="1952"/>
      <c r="G75" s="1952"/>
      <c r="H75" s="530"/>
      <c r="I75" s="1924" t="s">
        <v>138</v>
      </c>
      <c r="J75" s="1925" t="s">
        <v>990</v>
      </c>
      <c r="K75" s="1924">
        <v>1</v>
      </c>
      <c r="M75" s="394"/>
      <c r="N75" s="509"/>
      <c r="O75" s="656">
        <f>$Q$71</f>
        <v>28517292</v>
      </c>
      <c r="P75" s="1925" t="s">
        <v>1938</v>
      </c>
      <c r="Q75" s="1953" t="s">
        <v>137</v>
      </c>
      <c r="R75" s="1956">
        <f>((B75/B76)+((1-(O75/O76))/2))+U69</f>
        <v>0.77760967080108578</v>
      </c>
    </row>
    <row r="76" spans="1:22" ht="15" customHeight="1" thickBot="1">
      <c r="B76" s="1954">
        <f>'Sources and Uses Budget'!$C$104+$Q$46-($E$50+$E$51)*(1-$J$58)</f>
        <v>56810230</v>
      </c>
      <c r="C76" s="1955"/>
      <c r="D76" s="1955"/>
      <c r="E76" s="1955"/>
      <c r="F76" s="1955"/>
      <c r="G76" s="1954"/>
      <c r="I76" s="1924"/>
      <c r="J76" s="1925"/>
      <c r="K76" s="1924"/>
      <c r="M76" s="647"/>
      <c r="O76" s="655">
        <f>B76</f>
        <v>56810230</v>
      </c>
      <c r="P76" s="1925"/>
      <c r="Q76" s="1953"/>
      <c r="R76" s="1957"/>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5" t="s">
        <v>1608</v>
      </c>
      <c r="C79" s="375"/>
      <c r="D79" s="375"/>
      <c r="E79" s="375"/>
      <c r="F79" s="375"/>
      <c r="G79" s="375"/>
      <c r="H79" s="375"/>
      <c r="I79" s="375"/>
      <c r="J79" s="375"/>
      <c r="K79" s="375"/>
      <c r="L79" s="375"/>
      <c r="M79" s="375"/>
      <c r="N79" s="375"/>
      <c r="O79" s="375"/>
      <c r="P79" s="375"/>
      <c r="Q79" s="375"/>
      <c r="R79" s="375"/>
    </row>
    <row r="80" spans="1:22" ht="15" customHeight="1">
      <c r="C80" s="685"/>
      <c r="D80" s="685"/>
      <c r="E80" s="685"/>
      <c r="F80" s="685"/>
      <c r="G80" s="685"/>
      <c r="H80" s="685"/>
      <c r="I80" s="685"/>
      <c r="J80" s="685"/>
      <c r="K80" s="685"/>
      <c r="L80" s="685"/>
      <c r="M80" s="685"/>
      <c r="N80" s="685"/>
      <c r="O80" s="685"/>
    </row>
    <row r="81" spans="2:18" ht="15" customHeight="1">
      <c r="B81" s="382" t="s">
        <v>1844</v>
      </c>
      <c r="C81" s="650"/>
      <c r="D81" s="650"/>
      <c r="E81" s="650"/>
      <c r="F81" s="650"/>
      <c r="H81" s="650"/>
      <c r="I81" s="518"/>
      <c r="J81" s="650"/>
      <c r="K81" s="382" t="s">
        <v>1845</v>
      </c>
      <c r="L81" s="650"/>
      <c r="M81" s="650"/>
      <c r="N81" s="650"/>
      <c r="O81" s="650"/>
    </row>
    <row r="82" spans="2:18" ht="15" customHeight="1">
      <c r="B82" s="773" t="s">
        <v>1803</v>
      </c>
      <c r="C82" s="765"/>
      <c r="D82" s="760"/>
      <c r="E82" s="765"/>
      <c r="F82" s="765"/>
      <c r="G82" s="766"/>
      <c r="I82" s="518"/>
    </row>
    <row r="83" spans="2:18" ht="15" customHeight="1">
      <c r="B83" s="771" t="s">
        <v>1806</v>
      </c>
      <c r="C83" s="765"/>
      <c r="D83" s="765"/>
      <c r="E83" s="763"/>
      <c r="F83" s="763"/>
      <c r="G83" s="766"/>
      <c r="I83" s="518"/>
      <c r="K83" s="754" t="s">
        <v>1683</v>
      </c>
    </row>
    <row r="84" spans="2:18" ht="15" customHeight="1">
      <c r="B84" s="772" t="s">
        <v>2120</v>
      </c>
      <c r="C84" s="767"/>
      <c r="D84" s="767"/>
      <c r="E84" s="761"/>
      <c r="F84" s="761"/>
      <c r="G84" s="768"/>
      <c r="I84" s="518"/>
      <c r="K84" s="754" t="s">
        <v>1622</v>
      </c>
      <c r="L84" s="650"/>
      <c r="M84" s="650"/>
      <c r="N84" s="650"/>
      <c r="O84" s="650"/>
      <c r="P84" s="650"/>
      <c r="Q84" s="1915"/>
      <c r="R84" s="1915"/>
    </row>
    <row r="85" spans="2:18" ht="15" customHeight="1">
      <c r="B85" s="772" t="s">
        <v>1802</v>
      </c>
      <c r="C85" s="769"/>
      <c r="D85" s="769"/>
      <c r="E85" s="764"/>
      <c r="F85" s="764"/>
      <c r="G85" s="770"/>
      <c r="I85" s="518"/>
      <c r="L85" s="683"/>
      <c r="M85" s="683"/>
      <c r="N85" s="683"/>
      <c r="O85" s="683"/>
      <c r="P85" s="683"/>
    </row>
    <row r="86" spans="2:18" ht="15" customHeight="1">
      <c r="B86" s="773" t="s">
        <v>1858</v>
      </c>
      <c r="C86" s="767"/>
      <c r="D86" s="767"/>
      <c r="E86" s="761"/>
      <c r="F86" s="761"/>
      <c r="G86" s="762"/>
      <c r="I86" s="518"/>
      <c r="L86" s="684"/>
      <c r="M86" s="684"/>
      <c r="N86" s="684"/>
      <c r="O86" s="788" t="s">
        <v>1014</v>
      </c>
      <c r="P86" s="684"/>
    </row>
    <row r="87" spans="2:18" ht="15" customHeight="1">
      <c r="B87" s="773" t="s">
        <v>1926</v>
      </c>
      <c r="C87" s="769"/>
      <c r="D87" s="760"/>
      <c r="E87" s="765"/>
      <c r="F87" s="765"/>
      <c r="G87" s="791"/>
      <c r="I87" s="518"/>
    </row>
    <row r="88" spans="2:18" ht="15" customHeight="1">
      <c r="B88" s="789"/>
      <c r="C88" s="765"/>
      <c r="D88" s="765"/>
      <c r="E88" s="790" t="s">
        <v>1801</v>
      </c>
      <c r="F88" s="763"/>
      <c r="G88" s="763" t="s">
        <v>991</v>
      </c>
      <c r="I88" s="518"/>
      <c r="K88" s="755" t="s">
        <v>1621</v>
      </c>
      <c r="L88" s="650"/>
      <c r="M88" s="650"/>
      <c r="N88" s="650"/>
      <c r="O88" s="650"/>
      <c r="P88" s="650"/>
    </row>
    <row r="89" spans="2:18" ht="15" customHeight="1">
      <c r="B89" s="531" t="s">
        <v>984</v>
      </c>
      <c r="C89" s="532" t="s">
        <v>985</v>
      </c>
      <c r="D89" s="774" t="s">
        <v>1804</v>
      </c>
      <c r="E89" s="774" t="s">
        <v>1859</v>
      </c>
      <c r="F89" s="510"/>
      <c r="G89" s="510" t="s">
        <v>1805</v>
      </c>
      <c r="I89" s="518"/>
      <c r="K89" s="755" t="s">
        <v>1623</v>
      </c>
      <c r="L89" s="683"/>
      <c r="M89" s="683"/>
      <c r="N89" s="683"/>
      <c r="O89" s="683"/>
      <c r="P89" s="683"/>
      <c r="Q89" s="1915"/>
      <c r="R89" s="1915"/>
    </row>
    <row r="90" spans="2:18" ht="15" customHeight="1">
      <c r="B90" s="496" t="s">
        <v>2462</v>
      </c>
      <c r="C90" s="497">
        <v>15</v>
      </c>
      <c r="D90" s="498">
        <v>1038</v>
      </c>
      <c r="E90" s="498">
        <v>1809</v>
      </c>
      <c r="F90" s="539"/>
      <c r="G90" s="383">
        <f>MAX(($E90-$D90)*$C90*12,0)</f>
        <v>138780</v>
      </c>
      <c r="I90" s="518"/>
      <c r="K90" s="755" t="s">
        <v>1624</v>
      </c>
      <c r="L90" s="683"/>
      <c r="M90" s="683"/>
      <c r="N90" s="683"/>
      <c r="O90" s="683"/>
      <c r="P90" s="683"/>
      <c r="Q90" s="1958"/>
      <c r="R90" s="1958"/>
    </row>
    <row r="91" spans="2:18" ht="15" customHeight="1">
      <c r="B91" s="496" t="s">
        <v>2463</v>
      </c>
      <c r="C91" s="497">
        <v>3</v>
      </c>
      <c r="D91" s="498">
        <v>1245</v>
      </c>
      <c r="E91" s="498">
        <v>2377</v>
      </c>
      <c r="F91" s="539"/>
      <c r="G91" s="383">
        <f t="shared" ref="G91:G97" si="0">MAX(($E91-$D91)*$C91*12,0)</f>
        <v>40752</v>
      </c>
      <c r="I91" s="518"/>
      <c r="K91" s="755" t="s">
        <v>1627</v>
      </c>
      <c r="L91" s="683"/>
      <c r="M91" s="683"/>
      <c r="N91" s="683"/>
      <c r="O91" s="683"/>
      <c r="P91" s="683"/>
      <c r="Q91" s="1919">
        <f>IFERROR(Q89/Q90,0)</f>
        <v>0</v>
      </c>
      <c r="R91" s="1919"/>
    </row>
    <row r="92" spans="2:18" ht="15" customHeight="1">
      <c r="B92" s="496" t="s">
        <v>613</v>
      </c>
      <c r="C92" s="497"/>
      <c r="D92" s="498"/>
      <c r="E92" s="498"/>
      <c r="F92" s="539"/>
      <c r="G92" s="383">
        <f t="shared" si="0"/>
        <v>0</v>
      </c>
      <c r="I92" s="518"/>
    </row>
    <row r="93" spans="2:18" ht="15" customHeight="1">
      <c r="B93" s="496" t="s">
        <v>613</v>
      </c>
      <c r="C93" s="497"/>
      <c r="D93" s="498"/>
      <c r="E93" s="498"/>
      <c r="F93" s="539"/>
      <c r="G93" s="383">
        <f t="shared" si="0"/>
        <v>0</v>
      </c>
      <c r="I93" s="518"/>
      <c r="K93" s="375" t="s">
        <v>1628</v>
      </c>
      <c r="L93" s="527"/>
      <c r="M93" s="527"/>
      <c r="N93" s="527"/>
      <c r="O93" s="527"/>
      <c r="P93" s="527"/>
      <c r="Q93" s="1918">
        <f>MAX(Q84,Q91)</f>
        <v>0</v>
      </c>
      <c r="R93" s="1918"/>
    </row>
    <row r="94" spans="2:18" ht="15" customHeight="1">
      <c r="B94" s="496" t="s">
        <v>613</v>
      </c>
      <c r="C94" s="497"/>
      <c r="D94" s="498"/>
      <c r="E94" s="498"/>
      <c r="F94" s="539"/>
      <c r="G94" s="383">
        <f t="shared" si="0"/>
        <v>0</v>
      </c>
      <c r="I94" s="518"/>
      <c r="K94" s="375"/>
      <c r="L94" s="527"/>
      <c r="M94" s="527"/>
      <c r="N94" s="527"/>
      <c r="O94" s="527"/>
      <c r="P94" s="527"/>
      <c r="Q94" s="519"/>
      <c r="R94" s="519"/>
    </row>
    <row r="95" spans="2:18" ht="15" customHeight="1">
      <c r="B95" s="496" t="s">
        <v>613</v>
      </c>
      <c r="C95" s="497"/>
      <c r="D95" s="498"/>
      <c r="E95" s="498"/>
      <c r="F95" s="539"/>
      <c r="G95" s="383">
        <f t="shared" si="0"/>
        <v>0</v>
      </c>
      <c r="I95" s="518"/>
      <c r="K95" s="375"/>
      <c r="L95" s="527"/>
      <c r="M95" s="527"/>
      <c r="N95" s="527"/>
      <c r="O95" s="527"/>
      <c r="P95" s="527"/>
      <c r="Q95" s="519"/>
      <c r="R95" s="519"/>
    </row>
    <row r="96" spans="2:18" ht="15" customHeight="1">
      <c r="B96" s="496" t="s">
        <v>613</v>
      </c>
      <c r="C96" s="497"/>
      <c r="D96" s="498"/>
      <c r="E96" s="498"/>
      <c r="F96" s="539"/>
      <c r="G96" s="383">
        <f t="shared" si="0"/>
        <v>0</v>
      </c>
      <c r="I96" s="518"/>
    </row>
    <row r="97" spans="2:9" ht="15" customHeight="1">
      <c r="B97" s="496" t="s">
        <v>613</v>
      </c>
      <c r="C97" s="497"/>
      <c r="D97" s="498"/>
      <c r="E97" s="498"/>
      <c r="F97" s="539"/>
      <c r="G97" s="383">
        <f t="shared" si="0"/>
        <v>0</v>
      </c>
      <c r="I97" s="518"/>
    </row>
    <row r="98" spans="2:9" ht="15" customHeight="1">
      <c r="C98" s="534"/>
      <c r="D98" s="375"/>
      <c r="E98" s="527" t="s">
        <v>1715</v>
      </c>
      <c r="F98" s="527"/>
      <c r="G98" s="523">
        <f>SUM(G90:G97)</f>
        <v>179532</v>
      </c>
      <c r="I98" s="518"/>
    </row>
    <row r="99" spans="2:9" ht="15" customHeight="1">
      <c r="I99" s="518"/>
    </row>
    <row r="100" spans="2:9" ht="15" customHeight="1">
      <c r="B100" s="375" t="s">
        <v>1625</v>
      </c>
      <c r="D100" s="519">
        <f>G98+Q93</f>
        <v>179532</v>
      </c>
      <c r="I100" s="518"/>
    </row>
    <row r="101" spans="2:9" ht="15" customHeight="1">
      <c r="B101" s="375" t="s">
        <v>986</v>
      </c>
      <c r="D101" s="535">
        <v>0.05</v>
      </c>
      <c r="I101" s="518"/>
    </row>
    <row r="102" spans="2:9" ht="15" customHeight="1">
      <c r="B102" s="375" t="s">
        <v>1015</v>
      </c>
      <c r="D102" s="519">
        <f>D100-(D100*D101)</f>
        <v>170555.4</v>
      </c>
    </row>
    <row r="103" spans="2:9" ht="15" customHeight="1">
      <c r="B103" s="375" t="s">
        <v>1617</v>
      </c>
      <c r="D103" s="536"/>
    </row>
    <row r="104" spans="2:9" ht="15" customHeight="1">
      <c r="B104" s="375" t="s">
        <v>1626</v>
      </c>
      <c r="D104" s="519">
        <f>D102/D108</f>
        <v>148309.04347826086</v>
      </c>
    </row>
    <row r="106" spans="2:9" ht="15" customHeight="1">
      <c r="B106" s="375" t="s">
        <v>1618</v>
      </c>
      <c r="D106" s="375">
        <v>15</v>
      </c>
    </row>
    <row r="107" spans="2:9" ht="15" customHeight="1">
      <c r="B107" s="375" t="s">
        <v>1619</v>
      </c>
      <c r="D107" s="642">
        <v>0.04</v>
      </c>
    </row>
    <row r="108" spans="2:9" ht="15" customHeight="1">
      <c r="B108" s="375" t="s">
        <v>1088</v>
      </c>
      <c r="D108" s="537">
        <v>1.1499999999999999</v>
      </c>
    </row>
    <row r="109" spans="2:9" ht="15" customHeight="1">
      <c r="B109" s="375"/>
      <c r="C109" s="375"/>
      <c r="D109" s="538"/>
      <c r="E109" s="538"/>
      <c r="F109" s="538"/>
    </row>
    <row r="110" spans="2:9" ht="15" customHeight="1">
      <c r="B110" s="375" t="s">
        <v>1620</v>
      </c>
      <c r="C110" s="375"/>
      <c r="D110" s="636">
        <f>PV(D107/12,D106*12,-D104/12, ,0)</f>
        <v>1670851.5211116879</v>
      </c>
      <c r="E110" s="375"/>
      <c r="F110" s="375"/>
      <c r="G110" s="533"/>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topLeftCell="A4" workbookViewId="0">
      <selection activeCell="C16" sqref="C16"/>
    </sheetView>
  </sheetViews>
  <sheetFormatPr defaultColWidth="10.6640625" defaultRowHeight="13.2"/>
  <cols>
    <col min="1" max="1" width="3.44140625" customWidth="1"/>
    <col min="2" max="2" width="32.6640625" customWidth="1"/>
    <col min="3" max="3" width="9.44140625" customWidth="1"/>
    <col min="4" max="4" width="2.44140625" customWidth="1"/>
    <col min="5" max="19" width="12.44140625" customWidth="1"/>
  </cols>
  <sheetData>
    <row r="1" spans="1:19" ht="17.399999999999999">
      <c r="A1" s="376" t="s">
        <v>2121</v>
      </c>
      <c r="B1" s="376"/>
      <c r="C1" s="361"/>
      <c r="D1" s="361"/>
      <c r="E1" s="361"/>
      <c r="F1" s="361"/>
      <c r="G1" s="361"/>
      <c r="H1" s="361"/>
      <c r="I1" s="361"/>
      <c r="J1" s="361"/>
      <c r="K1" s="361"/>
      <c r="L1" s="361"/>
      <c r="M1" s="361"/>
      <c r="N1" s="361"/>
      <c r="O1" s="361"/>
      <c r="P1" s="361"/>
      <c r="Q1" s="361"/>
      <c r="R1" s="361"/>
      <c r="S1" s="361"/>
    </row>
    <row r="3" spans="1:19" ht="15.6">
      <c r="A3" s="377" t="s">
        <v>1054</v>
      </c>
      <c r="B3" s="377"/>
      <c r="C3" s="403" t="s">
        <v>1055</v>
      </c>
      <c r="D3" s="378"/>
      <c r="E3" s="404" t="s">
        <v>1056</v>
      </c>
      <c r="F3" s="404" t="s">
        <v>1057</v>
      </c>
      <c r="G3" s="404" t="s">
        <v>1058</v>
      </c>
      <c r="H3" s="404" t="s">
        <v>1059</v>
      </c>
      <c r="I3" s="404" t="s">
        <v>1060</v>
      </c>
      <c r="J3" s="404" t="s">
        <v>1061</v>
      </c>
      <c r="K3" s="404" t="s">
        <v>1062</v>
      </c>
      <c r="L3" s="404" t="s">
        <v>1063</v>
      </c>
      <c r="M3" s="404" t="s">
        <v>1064</v>
      </c>
      <c r="N3" s="404" t="s">
        <v>1065</v>
      </c>
      <c r="O3" s="404" t="s">
        <v>1066</v>
      </c>
      <c r="P3" s="404" t="s">
        <v>1067</v>
      </c>
      <c r="Q3" s="404" t="s">
        <v>1068</v>
      </c>
      <c r="R3" s="404" t="s">
        <v>1069</v>
      </c>
      <c r="S3" s="404" t="s">
        <v>1070</v>
      </c>
    </row>
    <row r="4" spans="1:19" ht="13.8">
      <c r="A4" s="383" t="s">
        <v>1071</v>
      </c>
      <c r="B4" s="383"/>
      <c r="C4" s="406">
        <v>1.0249999999999999</v>
      </c>
      <c r="D4" s="383"/>
      <c r="E4" s="383">
        <f>Application!Y780</f>
        <v>1109160</v>
      </c>
      <c r="F4" s="383">
        <f t="shared" ref="F4:S4" si="0">E4*$C$4</f>
        <v>1136889</v>
      </c>
      <c r="G4" s="383">
        <f t="shared" si="0"/>
        <v>1165311.2249999999</v>
      </c>
      <c r="H4" s="383">
        <f t="shared" si="0"/>
        <v>1194444.0056249998</v>
      </c>
      <c r="I4" s="383">
        <f t="shared" si="0"/>
        <v>1224305.1057656247</v>
      </c>
      <c r="J4" s="383">
        <f t="shared" si="0"/>
        <v>1254912.7334097652</v>
      </c>
      <c r="K4" s="383">
        <f t="shared" si="0"/>
        <v>1286285.5517450091</v>
      </c>
      <c r="L4" s="383">
        <f t="shared" si="0"/>
        <v>1318442.6905386343</v>
      </c>
      <c r="M4" s="383">
        <f t="shared" si="0"/>
        <v>1351403.7578021002</v>
      </c>
      <c r="N4" s="383">
        <f t="shared" si="0"/>
        <v>1385188.8517471526</v>
      </c>
      <c r="O4" s="383">
        <f t="shared" si="0"/>
        <v>1419818.5730408314</v>
      </c>
      <c r="P4" s="383">
        <f t="shared" si="0"/>
        <v>1455314.0373668519</v>
      </c>
      <c r="Q4" s="383">
        <f t="shared" si="0"/>
        <v>1491696.888301023</v>
      </c>
      <c r="R4" s="383">
        <f t="shared" si="0"/>
        <v>1528989.3105085485</v>
      </c>
      <c r="S4" s="383">
        <f t="shared" si="0"/>
        <v>1567214.0432712622</v>
      </c>
    </row>
    <row r="5" spans="1:19" ht="13.8">
      <c r="A5" s="375"/>
      <c r="B5" s="375" t="s">
        <v>986</v>
      </c>
      <c r="C5" s="407">
        <f>IF(Application!$D$214="Special Needs",0.1,0.05)</f>
        <v>0.05</v>
      </c>
      <c r="D5" s="375"/>
      <c r="E5" s="385">
        <f t="shared" ref="E5:S5" si="1">-E4*$C$5</f>
        <v>-55458</v>
      </c>
      <c r="F5" s="385">
        <f t="shared" si="1"/>
        <v>-56844.450000000004</v>
      </c>
      <c r="G5" s="385">
        <f t="shared" si="1"/>
        <v>-58265.561249999999</v>
      </c>
      <c r="H5" s="385">
        <f t="shared" si="1"/>
        <v>-59722.200281249992</v>
      </c>
      <c r="I5" s="385">
        <f t="shared" si="1"/>
        <v>-61215.255288281238</v>
      </c>
      <c r="J5" s="385">
        <f t="shared" si="1"/>
        <v>-62745.63667048826</v>
      </c>
      <c r="K5" s="385">
        <f t="shared" si="1"/>
        <v>-64314.277587250457</v>
      </c>
      <c r="L5" s="385">
        <f t="shared" si="1"/>
        <v>-65922.134526931724</v>
      </c>
      <c r="M5" s="385">
        <f t="shared" si="1"/>
        <v>-67570.187890105008</v>
      </c>
      <c r="N5" s="385">
        <f t="shared" si="1"/>
        <v>-69259.44258735764</v>
      </c>
      <c r="O5" s="385">
        <f t="shared" si="1"/>
        <v>-70990.928652041577</v>
      </c>
      <c r="P5" s="385">
        <f t="shared" si="1"/>
        <v>-72765.701868342599</v>
      </c>
      <c r="Q5" s="385">
        <f t="shared" si="1"/>
        <v>-74584.84441505115</v>
      </c>
      <c r="R5" s="385">
        <f t="shared" si="1"/>
        <v>-76449.465525427426</v>
      </c>
      <c r="S5" s="385">
        <f t="shared" si="1"/>
        <v>-78360.70216356311</v>
      </c>
    </row>
    <row r="6" spans="1:19" ht="13.8">
      <c r="A6" s="375" t="s">
        <v>1072</v>
      </c>
      <c r="B6" s="375"/>
      <c r="C6" s="406">
        <v>1.0249999999999999</v>
      </c>
      <c r="D6" s="375"/>
      <c r="E6" s="386">
        <f>Application!Z788</f>
        <v>152208</v>
      </c>
      <c r="F6" s="386">
        <f t="shared" ref="F6:S6" si="2">E6*$C$6</f>
        <v>156013.19999999998</v>
      </c>
      <c r="G6" s="386">
        <f t="shared" si="2"/>
        <v>159913.52999999997</v>
      </c>
      <c r="H6" s="386">
        <f t="shared" si="2"/>
        <v>163911.36824999994</v>
      </c>
      <c r="I6" s="386">
        <f t="shared" si="2"/>
        <v>168009.15245624993</v>
      </c>
      <c r="J6" s="386">
        <f t="shared" si="2"/>
        <v>172209.38126765616</v>
      </c>
      <c r="K6" s="386">
        <f t="shared" si="2"/>
        <v>176514.61579934755</v>
      </c>
      <c r="L6" s="386">
        <f t="shared" si="2"/>
        <v>180927.48119433122</v>
      </c>
      <c r="M6" s="386">
        <f t="shared" si="2"/>
        <v>185450.66822418949</v>
      </c>
      <c r="N6" s="386">
        <f t="shared" si="2"/>
        <v>190086.9349297942</v>
      </c>
      <c r="O6" s="386">
        <f t="shared" si="2"/>
        <v>194839.10830303904</v>
      </c>
      <c r="P6" s="386">
        <f t="shared" si="2"/>
        <v>199710.08601061499</v>
      </c>
      <c r="Q6" s="386">
        <f t="shared" si="2"/>
        <v>204702.83816088035</v>
      </c>
      <c r="R6" s="386">
        <f t="shared" si="2"/>
        <v>209820.40911490234</v>
      </c>
      <c r="S6" s="386">
        <f t="shared" si="2"/>
        <v>215065.9193427749</v>
      </c>
    </row>
    <row r="7" spans="1:19" ht="13.8">
      <c r="A7" s="375"/>
      <c r="B7" s="375" t="s">
        <v>986</v>
      </c>
      <c r="C7" s="407">
        <f>IF(Application!$D$214="Special Needs",0.1,0.05)</f>
        <v>0.05</v>
      </c>
      <c r="D7" s="375"/>
      <c r="E7" s="385">
        <f t="shared" ref="E7:S7" si="3">-E6*$C$7</f>
        <v>-7610.4000000000005</v>
      </c>
      <c r="F7" s="385">
        <f t="shared" si="3"/>
        <v>-7800.66</v>
      </c>
      <c r="G7" s="385">
        <f t="shared" si="3"/>
        <v>-7995.6764999999987</v>
      </c>
      <c r="H7" s="385">
        <f t="shared" si="3"/>
        <v>-8195.5684124999971</v>
      </c>
      <c r="I7" s="385">
        <f t="shared" si="3"/>
        <v>-8400.457622812497</v>
      </c>
      <c r="J7" s="385">
        <f t="shared" si="3"/>
        <v>-8610.4690633828086</v>
      </c>
      <c r="K7" s="385">
        <f t="shared" si="3"/>
        <v>-8825.7307899673779</v>
      </c>
      <c r="L7" s="385">
        <f t="shared" si="3"/>
        <v>-9046.3740597165615</v>
      </c>
      <c r="M7" s="385">
        <f t="shared" si="3"/>
        <v>-9272.5334112094752</v>
      </c>
      <c r="N7" s="385">
        <f t="shared" si="3"/>
        <v>-9504.3467464897094</v>
      </c>
      <c r="O7" s="385">
        <f t="shared" si="3"/>
        <v>-9741.9554151519533</v>
      </c>
      <c r="P7" s="385">
        <f t="shared" si="3"/>
        <v>-9985.5043005307507</v>
      </c>
      <c r="Q7" s="385">
        <f t="shared" si="3"/>
        <v>-10235.141908044017</v>
      </c>
      <c r="R7" s="385">
        <f t="shared" si="3"/>
        <v>-10491.020455745118</v>
      </c>
      <c r="S7" s="385">
        <f t="shared" si="3"/>
        <v>-10753.295967138745</v>
      </c>
    </row>
    <row r="8" spans="1:19" ht="13.8">
      <c r="A8" s="375" t="s">
        <v>260</v>
      </c>
      <c r="B8" s="375"/>
      <c r="C8" s="406">
        <v>1.0249999999999999</v>
      </c>
      <c r="D8" s="375"/>
      <c r="E8" s="386">
        <f>Application!Z796</f>
        <v>8640</v>
      </c>
      <c r="F8" s="386">
        <f t="shared" ref="F8:S8" si="4">E8*$C$8</f>
        <v>8856</v>
      </c>
      <c r="G8" s="386">
        <f t="shared" si="4"/>
        <v>9077.4</v>
      </c>
      <c r="H8" s="386">
        <f t="shared" si="4"/>
        <v>9304.3349999999991</v>
      </c>
      <c r="I8" s="386">
        <f t="shared" si="4"/>
        <v>9536.9433749999989</v>
      </c>
      <c r="J8" s="386">
        <f t="shared" si="4"/>
        <v>9775.3669593749983</v>
      </c>
      <c r="K8" s="386">
        <f t="shared" si="4"/>
        <v>10019.751133359372</v>
      </c>
      <c r="L8" s="386">
        <f t="shared" si="4"/>
        <v>10270.244911693355</v>
      </c>
      <c r="M8" s="386">
        <f t="shared" si="4"/>
        <v>10527.001034485687</v>
      </c>
      <c r="N8" s="386">
        <f t="shared" si="4"/>
        <v>10790.176060347829</v>
      </c>
      <c r="O8" s="386">
        <f t="shared" si="4"/>
        <v>11059.930461856524</v>
      </c>
      <c r="P8" s="386">
        <f t="shared" si="4"/>
        <v>11336.428723402936</v>
      </c>
      <c r="Q8" s="386">
        <f t="shared" si="4"/>
        <v>11619.839441488008</v>
      </c>
      <c r="R8" s="386">
        <f t="shared" si="4"/>
        <v>11910.335427525208</v>
      </c>
      <c r="S8" s="386">
        <f t="shared" si="4"/>
        <v>12208.093813213336</v>
      </c>
    </row>
    <row r="9" spans="1:19" ht="13.8">
      <c r="A9" s="375"/>
      <c r="B9" s="375" t="s">
        <v>986</v>
      </c>
      <c r="C9" s="407">
        <f>IF(Application!$D$214="Special Needs",0.1,0.05)</f>
        <v>0.05</v>
      </c>
      <c r="D9" s="375"/>
      <c r="E9" s="385">
        <f t="shared" ref="E9:S9" si="5">-E8*$C$9</f>
        <v>-432</v>
      </c>
      <c r="F9" s="385">
        <f t="shared" si="5"/>
        <v>-442.8</v>
      </c>
      <c r="G9" s="385">
        <f t="shared" si="5"/>
        <v>-453.87</v>
      </c>
      <c r="H9" s="385">
        <f t="shared" si="5"/>
        <v>-465.21674999999999</v>
      </c>
      <c r="I9" s="385">
        <f t="shared" si="5"/>
        <v>-476.84716874999998</v>
      </c>
      <c r="J9" s="385">
        <f t="shared" si="5"/>
        <v>-488.76834796874994</v>
      </c>
      <c r="K9" s="385">
        <f t="shared" si="5"/>
        <v>-500.98755666796865</v>
      </c>
      <c r="L9" s="385">
        <f t="shared" si="5"/>
        <v>-513.51224558466777</v>
      </c>
      <c r="M9" s="385">
        <f t="shared" si="5"/>
        <v>-526.35005172428441</v>
      </c>
      <c r="N9" s="385">
        <f t="shared" si="5"/>
        <v>-539.50880301739141</v>
      </c>
      <c r="O9" s="385">
        <f t="shared" si="5"/>
        <v>-552.99652309282624</v>
      </c>
      <c r="P9" s="385">
        <f t="shared" si="5"/>
        <v>-566.82143617014685</v>
      </c>
      <c r="Q9" s="385">
        <f t="shared" si="5"/>
        <v>-580.99197207440045</v>
      </c>
      <c r="R9" s="385">
        <f t="shared" si="5"/>
        <v>-595.51677137626041</v>
      </c>
      <c r="S9" s="385">
        <f t="shared" si="5"/>
        <v>-610.4046906606668</v>
      </c>
    </row>
    <row r="10" spans="1:19" ht="13.8">
      <c r="A10" s="934" t="s">
        <v>2309</v>
      </c>
      <c r="B10" s="934"/>
      <c r="C10" s="407"/>
      <c r="D10" s="375"/>
      <c r="E10" s="935"/>
      <c r="F10" s="935"/>
      <c r="G10" s="935"/>
      <c r="H10" s="935"/>
      <c r="I10" s="935"/>
      <c r="J10" s="935"/>
      <c r="K10" s="935"/>
      <c r="L10" s="935"/>
      <c r="M10" s="935"/>
      <c r="N10" s="935"/>
      <c r="O10" s="935"/>
      <c r="P10" s="935"/>
      <c r="Q10" s="935"/>
      <c r="R10" s="935"/>
      <c r="S10" s="935"/>
    </row>
    <row r="11" spans="1:19" ht="13.8">
      <c r="A11" s="387" t="s">
        <v>1073</v>
      </c>
      <c r="B11" s="387"/>
      <c r="C11" s="380"/>
      <c r="D11" s="387"/>
      <c r="E11" s="387">
        <f t="shared" ref="E11:S11" si="6">SUM(E4:E10)</f>
        <v>1206507.6000000001</v>
      </c>
      <c r="F11" s="387">
        <f t="shared" si="6"/>
        <v>1236670.29</v>
      </c>
      <c r="G11" s="387">
        <f t="shared" si="6"/>
        <v>1267587.0472499996</v>
      </c>
      <c r="H11" s="387">
        <f t="shared" si="6"/>
        <v>1299276.7234312498</v>
      </c>
      <c r="I11" s="387">
        <f t="shared" si="6"/>
        <v>1331758.641517031</v>
      </c>
      <c r="J11" s="387">
        <f t="shared" si="6"/>
        <v>1365052.6075549566</v>
      </c>
      <c r="K11" s="387">
        <f t="shared" si="6"/>
        <v>1399178.9227438304</v>
      </c>
      <c r="L11" s="387">
        <f t="shared" si="6"/>
        <v>1434158.395812426</v>
      </c>
      <c r="M11" s="387">
        <f t="shared" si="6"/>
        <v>1470012.3557077365</v>
      </c>
      <c r="N11" s="387">
        <f t="shared" si="6"/>
        <v>1506762.6646004298</v>
      </c>
      <c r="O11" s="387">
        <f t="shared" si="6"/>
        <v>1544431.7312154407</v>
      </c>
      <c r="P11" s="387">
        <f t="shared" si="6"/>
        <v>1583042.5244958263</v>
      </c>
      <c r="Q11" s="387">
        <f t="shared" si="6"/>
        <v>1622618.5876082219</v>
      </c>
      <c r="R11" s="387">
        <f t="shared" si="6"/>
        <v>1663184.0522984273</v>
      </c>
      <c r="S11" s="387">
        <f t="shared" si="6"/>
        <v>1704763.6536058877</v>
      </c>
    </row>
    <row r="12" spans="1:19">
      <c r="A12" s="361"/>
      <c r="B12" s="361"/>
      <c r="C12" s="397"/>
      <c r="D12" s="361"/>
      <c r="E12" s="379"/>
      <c r="F12" s="379"/>
      <c r="G12" s="379"/>
      <c r="H12" s="379"/>
      <c r="I12" s="379"/>
      <c r="J12" s="379"/>
      <c r="K12" s="379"/>
      <c r="L12" s="379"/>
      <c r="M12" s="379"/>
      <c r="N12" s="379"/>
      <c r="O12" s="379"/>
      <c r="P12" s="379"/>
      <c r="Q12" s="379"/>
      <c r="R12" s="379"/>
      <c r="S12" s="379"/>
    </row>
    <row r="13" spans="1:19" ht="15.6">
      <c r="A13" s="377" t="s">
        <v>1074</v>
      </c>
      <c r="B13" s="361"/>
      <c r="C13" s="397"/>
      <c r="D13" s="361"/>
      <c r="E13" s="379"/>
      <c r="F13" s="379"/>
      <c r="G13" s="379"/>
      <c r="H13" s="379"/>
      <c r="I13" s="379"/>
      <c r="J13" s="379"/>
      <c r="K13" s="379"/>
      <c r="L13" s="379"/>
      <c r="M13" s="379"/>
      <c r="N13" s="379"/>
      <c r="O13" s="379"/>
      <c r="P13" s="379"/>
      <c r="Q13" s="379"/>
      <c r="R13" s="379"/>
      <c r="S13" s="379"/>
    </row>
    <row r="14" spans="1:19" ht="13.8">
      <c r="A14" s="375" t="s">
        <v>1075</v>
      </c>
      <c r="B14" s="375"/>
      <c r="C14" s="406">
        <v>1.0349999999999999</v>
      </c>
      <c r="D14" s="375"/>
      <c r="E14" s="386"/>
      <c r="F14" s="386"/>
      <c r="G14" s="386"/>
      <c r="H14" s="386"/>
      <c r="I14" s="386"/>
      <c r="J14" s="386"/>
      <c r="K14" s="386"/>
      <c r="L14" s="386"/>
      <c r="M14" s="386"/>
      <c r="N14" s="386"/>
      <c r="O14" s="386"/>
      <c r="P14" s="386"/>
      <c r="Q14" s="386"/>
      <c r="R14" s="386"/>
      <c r="S14" s="386"/>
    </row>
    <row r="15" spans="1:19" ht="13.8">
      <c r="A15" s="383" t="s">
        <v>1076</v>
      </c>
      <c r="B15" s="383"/>
      <c r="C15" s="398"/>
      <c r="D15" s="383"/>
      <c r="E15" s="383">
        <f>Application!W826</f>
        <v>59842</v>
      </c>
      <c r="F15" s="383">
        <f t="shared" ref="F15:R15" si="7">E15*$C$14</f>
        <v>61936.469999999994</v>
      </c>
      <c r="G15" s="383">
        <f t="shared" si="7"/>
        <v>64104.246449999991</v>
      </c>
      <c r="H15" s="383">
        <f t="shared" si="7"/>
        <v>66347.895075749984</v>
      </c>
      <c r="I15" s="383">
        <f t="shared" si="7"/>
        <v>68670.071403401234</v>
      </c>
      <c r="J15" s="383">
        <f t="shared" si="7"/>
        <v>71073.523902520275</v>
      </c>
      <c r="K15" s="383">
        <f t="shared" si="7"/>
        <v>73561.09723910848</v>
      </c>
      <c r="L15" s="383">
        <f t="shared" si="7"/>
        <v>76135.735642477273</v>
      </c>
      <c r="M15" s="383">
        <f t="shared" si="7"/>
        <v>78800.486389963975</v>
      </c>
      <c r="N15" s="383">
        <f t="shared" si="7"/>
        <v>81558.503413612707</v>
      </c>
      <c r="O15" s="383">
        <f t="shared" si="7"/>
        <v>84413.051033089141</v>
      </c>
      <c r="P15" s="383">
        <f t="shared" si="7"/>
        <v>87367.507819247257</v>
      </c>
      <c r="Q15" s="383">
        <f t="shared" si="7"/>
        <v>90425.37059292091</v>
      </c>
      <c r="R15" s="383">
        <f t="shared" si="7"/>
        <v>93590.258563673138</v>
      </c>
      <c r="S15" s="383">
        <f t="shared" ref="S15:S21" si="8">R15*$C$14</f>
        <v>96865.917613401689</v>
      </c>
    </row>
    <row r="16" spans="1:19" ht="13.8">
      <c r="A16" s="375" t="s">
        <v>467</v>
      </c>
      <c r="B16" s="375"/>
      <c r="C16" s="397"/>
      <c r="D16" s="375"/>
      <c r="E16" s="386">
        <f>Application!W828</f>
        <v>66960</v>
      </c>
      <c r="F16" s="386">
        <f t="shared" ref="F16:R16" si="9">E16*$C$14</f>
        <v>69303.599999999991</v>
      </c>
      <c r="G16" s="386">
        <f t="shared" si="9"/>
        <v>71729.225999999981</v>
      </c>
      <c r="H16" s="386">
        <f t="shared" si="9"/>
        <v>74239.74890999998</v>
      </c>
      <c r="I16" s="386">
        <f t="shared" si="9"/>
        <v>76838.140121849967</v>
      </c>
      <c r="J16" s="386">
        <f t="shared" si="9"/>
        <v>79527.475026114713</v>
      </c>
      <c r="K16" s="386">
        <f t="shared" si="9"/>
        <v>82310.936652028715</v>
      </c>
      <c r="L16" s="386">
        <f t="shared" si="9"/>
        <v>85191.81943484972</v>
      </c>
      <c r="M16" s="386">
        <f t="shared" si="9"/>
        <v>88173.533115069455</v>
      </c>
      <c r="N16" s="386">
        <f t="shared" si="9"/>
        <v>91259.606774096872</v>
      </c>
      <c r="O16" s="386">
        <f t="shared" si="9"/>
        <v>94453.693011190262</v>
      </c>
      <c r="P16" s="386">
        <f t="shared" si="9"/>
        <v>97759.572266581919</v>
      </c>
      <c r="Q16" s="386">
        <f t="shared" si="9"/>
        <v>101181.15729591229</v>
      </c>
      <c r="R16" s="386">
        <f t="shared" si="9"/>
        <v>104722.4978012692</v>
      </c>
      <c r="S16" s="386">
        <f t="shared" si="8"/>
        <v>108387.78522431361</v>
      </c>
    </row>
    <row r="17" spans="1:19" ht="13.8">
      <c r="A17" s="375" t="s">
        <v>732</v>
      </c>
      <c r="B17" s="375"/>
      <c r="C17" s="397"/>
      <c r="D17" s="375"/>
      <c r="E17" s="386">
        <f>Application!W834</f>
        <v>166679</v>
      </c>
      <c r="F17" s="386">
        <f t="shared" ref="F17:R17" si="10">E17*$C$14</f>
        <v>172512.76499999998</v>
      </c>
      <c r="G17" s="386">
        <f t="shared" si="10"/>
        <v>178550.71177499997</v>
      </c>
      <c r="H17" s="386">
        <f t="shared" si="10"/>
        <v>184799.98668712497</v>
      </c>
      <c r="I17" s="386">
        <f t="shared" si="10"/>
        <v>191267.98622117433</v>
      </c>
      <c r="J17" s="386">
        <f t="shared" si="10"/>
        <v>197962.36573891543</v>
      </c>
      <c r="K17" s="386">
        <f t="shared" si="10"/>
        <v>204891.04853977746</v>
      </c>
      <c r="L17" s="386">
        <f t="shared" si="10"/>
        <v>212062.23523866964</v>
      </c>
      <c r="M17" s="386">
        <f t="shared" si="10"/>
        <v>219484.41347202306</v>
      </c>
      <c r="N17" s="386">
        <f t="shared" si="10"/>
        <v>227166.36794354385</v>
      </c>
      <c r="O17" s="386">
        <f t="shared" si="10"/>
        <v>235117.19082156787</v>
      </c>
      <c r="P17" s="386">
        <f t="shared" si="10"/>
        <v>243346.29250032271</v>
      </c>
      <c r="Q17" s="386">
        <f t="shared" si="10"/>
        <v>251863.41273783398</v>
      </c>
      <c r="R17" s="386">
        <f t="shared" si="10"/>
        <v>260678.63218365813</v>
      </c>
      <c r="S17" s="386">
        <f t="shared" si="8"/>
        <v>269802.38431008614</v>
      </c>
    </row>
    <row r="18" spans="1:19" ht="13.8">
      <c r="A18" s="375" t="s">
        <v>1077</v>
      </c>
      <c r="B18" s="375"/>
      <c r="C18" s="397"/>
      <c r="D18" s="375"/>
      <c r="E18" s="386">
        <f>Application!W841</f>
        <v>201949</v>
      </c>
      <c r="F18" s="386">
        <f t="shared" ref="F18:R18" si="11">E18*$C$14</f>
        <v>209017.215</v>
      </c>
      <c r="G18" s="386">
        <f t="shared" si="11"/>
        <v>216332.81752499999</v>
      </c>
      <c r="H18" s="386">
        <f t="shared" si="11"/>
        <v>223904.46613837496</v>
      </c>
      <c r="I18" s="386">
        <f t="shared" si="11"/>
        <v>231741.12245321806</v>
      </c>
      <c r="J18" s="386">
        <f t="shared" si="11"/>
        <v>239852.06173908067</v>
      </c>
      <c r="K18" s="386">
        <f t="shared" si="11"/>
        <v>248246.88389994847</v>
      </c>
      <c r="L18" s="386">
        <f t="shared" si="11"/>
        <v>256935.52483644665</v>
      </c>
      <c r="M18" s="386">
        <f t="shared" si="11"/>
        <v>265928.26820572227</v>
      </c>
      <c r="N18" s="386">
        <f t="shared" si="11"/>
        <v>275235.75759292254</v>
      </c>
      <c r="O18" s="386">
        <f t="shared" si="11"/>
        <v>284869.00910867483</v>
      </c>
      <c r="P18" s="386">
        <f t="shared" si="11"/>
        <v>294839.4244274784</v>
      </c>
      <c r="Q18" s="386">
        <f t="shared" si="11"/>
        <v>305158.80428244011</v>
      </c>
      <c r="R18" s="386">
        <f t="shared" si="11"/>
        <v>315839.36243232549</v>
      </c>
      <c r="S18" s="386">
        <f t="shared" si="8"/>
        <v>326893.74011745688</v>
      </c>
    </row>
    <row r="19" spans="1:19" ht="13.8">
      <c r="A19" s="375" t="s">
        <v>929</v>
      </c>
      <c r="B19" s="375"/>
      <c r="C19" s="397"/>
      <c r="D19" s="375"/>
      <c r="E19" s="386">
        <f>Application!W842</f>
        <v>86808</v>
      </c>
      <c r="F19" s="386">
        <f t="shared" ref="F19:R19" si="12">E19*$C$14</f>
        <v>89846.28</v>
      </c>
      <c r="G19" s="386">
        <f t="shared" si="12"/>
        <v>92990.899799999985</v>
      </c>
      <c r="H19" s="386">
        <f t="shared" si="12"/>
        <v>96245.581292999981</v>
      </c>
      <c r="I19" s="386">
        <f t="shared" si="12"/>
        <v>99614.176638254969</v>
      </c>
      <c r="J19" s="386">
        <f t="shared" si="12"/>
        <v>103100.67282059389</v>
      </c>
      <c r="K19" s="386">
        <f t="shared" si="12"/>
        <v>106709.19636931467</v>
      </c>
      <c r="L19" s="386">
        <f t="shared" si="12"/>
        <v>110444.01824224068</v>
      </c>
      <c r="M19" s="386">
        <f t="shared" si="12"/>
        <v>114309.55888071909</v>
      </c>
      <c r="N19" s="386">
        <f t="shared" si="12"/>
        <v>118310.39344154425</v>
      </c>
      <c r="O19" s="386">
        <f t="shared" si="12"/>
        <v>122451.25721199829</v>
      </c>
      <c r="P19" s="386">
        <f t="shared" si="12"/>
        <v>126737.05121441823</v>
      </c>
      <c r="Q19" s="386">
        <f t="shared" si="12"/>
        <v>131172.84800692287</v>
      </c>
      <c r="R19" s="386">
        <f t="shared" si="12"/>
        <v>135763.89768716515</v>
      </c>
      <c r="S19" s="386">
        <f t="shared" si="8"/>
        <v>140515.63410621593</v>
      </c>
    </row>
    <row r="20" spans="1:19" ht="13.8">
      <c r="A20" s="375" t="s">
        <v>54</v>
      </c>
      <c r="B20" s="375"/>
      <c r="C20" s="397"/>
      <c r="D20" s="375"/>
      <c r="E20" s="386">
        <f>Application!W851</f>
        <v>104567</v>
      </c>
      <c r="F20" s="386">
        <f t="shared" ref="F20:R20" si="13">E20*$C$14</f>
        <v>108226.84499999999</v>
      </c>
      <c r="G20" s="386">
        <f t="shared" si="13"/>
        <v>112014.78457499998</v>
      </c>
      <c r="H20" s="386">
        <f t="shared" si="13"/>
        <v>115935.30203512497</v>
      </c>
      <c r="I20" s="386">
        <f t="shared" si="13"/>
        <v>119993.03760635434</v>
      </c>
      <c r="J20" s="386">
        <f t="shared" si="13"/>
        <v>124192.79392257673</v>
      </c>
      <c r="K20" s="386">
        <f t="shared" si="13"/>
        <v>128539.54170986691</v>
      </c>
      <c r="L20" s="386">
        <f t="shared" si="13"/>
        <v>133038.42566971225</v>
      </c>
      <c r="M20" s="386">
        <f t="shared" si="13"/>
        <v>137694.77056815216</v>
      </c>
      <c r="N20" s="386">
        <f t="shared" si="13"/>
        <v>142514.08753803748</v>
      </c>
      <c r="O20" s="386">
        <f t="shared" si="13"/>
        <v>147502.08060186877</v>
      </c>
      <c r="P20" s="386">
        <f t="shared" si="13"/>
        <v>152664.65342293418</v>
      </c>
      <c r="Q20" s="386">
        <f t="shared" si="13"/>
        <v>158007.91629273686</v>
      </c>
      <c r="R20" s="386">
        <f t="shared" si="13"/>
        <v>163538.19336298262</v>
      </c>
      <c r="S20" s="386">
        <f t="shared" si="8"/>
        <v>169262.030130687</v>
      </c>
    </row>
    <row r="21" spans="1:19" ht="13.8">
      <c r="A21" s="598" t="s">
        <v>1217</v>
      </c>
      <c r="B21" s="598"/>
      <c r="C21" s="397"/>
      <c r="D21" s="375"/>
      <c r="E21" s="396">
        <f>Application!W858</f>
        <v>800</v>
      </c>
      <c r="F21" s="396">
        <f t="shared" ref="F21:R21" si="14">E21*$C$14</f>
        <v>827.99999999999989</v>
      </c>
      <c r="G21" s="396">
        <f t="shared" si="14"/>
        <v>856.97999999999979</v>
      </c>
      <c r="H21" s="396">
        <f t="shared" si="14"/>
        <v>886.97429999999974</v>
      </c>
      <c r="I21" s="396">
        <f t="shared" si="14"/>
        <v>918.01840049999964</v>
      </c>
      <c r="J21" s="396">
        <f t="shared" si="14"/>
        <v>950.14904451749953</v>
      </c>
      <c r="K21" s="396">
        <f t="shared" si="14"/>
        <v>983.40426107561188</v>
      </c>
      <c r="L21" s="396">
        <f t="shared" si="14"/>
        <v>1017.8234102132582</v>
      </c>
      <c r="M21" s="396">
        <f t="shared" si="14"/>
        <v>1053.4472295707221</v>
      </c>
      <c r="N21" s="396">
        <f t="shared" si="14"/>
        <v>1090.3178826056974</v>
      </c>
      <c r="O21" s="396">
        <f t="shared" si="14"/>
        <v>1128.4790084968968</v>
      </c>
      <c r="P21" s="396">
        <f t="shared" si="14"/>
        <v>1167.975773794288</v>
      </c>
      <c r="Q21" s="396">
        <f t="shared" si="14"/>
        <v>1208.8549258770879</v>
      </c>
      <c r="R21" s="396">
        <f t="shared" si="14"/>
        <v>1251.1648482827859</v>
      </c>
      <c r="S21" s="396">
        <f t="shared" si="8"/>
        <v>1294.9556179726833</v>
      </c>
    </row>
    <row r="22" spans="1:19" ht="13.8">
      <c r="A22" s="387" t="s">
        <v>1078</v>
      </c>
      <c r="B22" s="387"/>
      <c r="C22" s="397"/>
      <c r="D22" s="387"/>
      <c r="E22" s="387">
        <f t="shared" ref="E22:S22" si="15">SUM(E15:E21)</f>
        <v>687605</v>
      </c>
      <c r="F22" s="387">
        <f t="shared" si="15"/>
        <v>711671.17499999993</v>
      </c>
      <c r="G22" s="387">
        <f t="shared" si="15"/>
        <v>736579.66612499987</v>
      </c>
      <c r="H22" s="387">
        <f t="shared" si="15"/>
        <v>762359.95443937497</v>
      </c>
      <c r="I22" s="387">
        <f t="shared" si="15"/>
        <v>789042.55284475291</v>
      </c>
      <c r="J22" s="387">
        <f t="shared" si="15"/>
        <v>816659.04219431931</v>
      </c>
      <c r="K22" s="387">
        <f t="shared" si="15"/>
        <v>845242.10867112037</v>
      </c>
      <c r="L22" s="387">
        <f t="shared" si="15"/>
        <v>874825.58247460937</v>
      </c>
      <c r="M22" s="387">
        <f t="shared" si="15"/>
        <v>905444.47786122072</v>
      </c>
      <c r="N22" s="387">
        <f t="shared" si="15"/>
        <v>937135.03458636336</v>
      </c>
      <c r="O22" s="387">
        <f t="shared" si="15"/>
        <v>969934.76079688605</v>
      </c>
      <c r="P22" s="387">
        <f t="shared" si="15"/>
        <v>1003882.4774247771</v>
      </c>
      <c r="Q22" s="387">
        <f t="shared" si="15"/>
        <v>1039018.364134644</v>
      </c>
      <c r="R22" s="387">
        <f t="shared" si="15"/>
        <v>1075384.0068793565</v>
      </c>
      <c r="S22" s="387">
        <f t="shared" si="15"/>
        <v>1113022.4471201338</v>
      </c>
    </row>
    <row r="23" spans="1:19" ht="13.8">
      <c r="A23" s="387"/>
      <c r="B23" s="387"/>
      <c r="C23" s="397"/>
      <c r="D23" s="387"/>
      <c r="E23" s="387"/>
      <c r="F23" s="387"/>
      <c r="G23" s="387"/>
      <c r="H23" s="387"/>
      <c r="I23" s="387"/>
      <c r="J23" s="387"/>
      <c r="K23" s="387"/>
      <c r="L23" s="387"/>
      <c r="M23" s="387"/>
      <c r="N23" s="387"/>
      <c r="O23" s="387"/>
      <c r="P23" s="387"/>
      <c r="Q23" s="387"/>
      <c r="R23" s="387"/>
      <c r="S23" s="387"/>
    </row>
    <row r="24" spans="1:19" ht="13.8">
      <c r="A24" s="598" t="s">
        <v>1934</v>
      </c>
      <c r="B24" s="598"/>
      <c r="C24" s="814"/>
      <c r="D24" s="598"/>
      <c r="E24" s="815"/>
      <c r="F24" s="383">
        <f t="shared" ref="F24:S24" si="16">E24*$C$24</f>
        <v>0</v>
      </c>
      <c r="G24" s="383">
        <f t="shared" si="16"/>
        <v>0</v>
      </c>
      <c r="H24" s="383">
        <f t="shared" si="16"/>
        <v>0</v>
      </c>
      <c r="I24" s="383">
        <f t="shared" si="16"/>
        <v>0</v>
      </c>
      <c r="J24" s="383">
        <f t="shared" si="16"/>
        <v>0</v>
      </c>
      <c r="K24" s="383">
        <f t="shared" si="16"/>
        <v>0</v>
      </c>
      <c r="L24" s="383">
        <f t="shared" si="16"/>
        <v>0</v>
      </c>
      <c r="M24" s="383">
        <f t="shared" si="16"/>
        <v>0</v>
      </c>
      <c r="N24" s="383">
        <f t="shared" si="16"/>
        <v>0</v>
      </c>
      <c r="O24" s="383">
        <f t="shared" si="16"/>
        <v>0</v>
      </c>
      <c r="P24" s="383">
        <f t="shared" si="16"/>
        <v>0</v>
      </c>
      <c r="Q24" s="383">
        <f t="shared" si="16"/>
        <v>0</v>
      </c>
      <c r="R24" s="383">
        <f t="shared" si="16"/>
        <v>0</v>
      </c>
      <c r="S24" s="383">
        <f t="shared" si="16"/>
        <v>0</v>
      </c>
    </row>
    <row r="25" spans="1:19" ht="13.8">
      <c r="A25" s="375"/>
      <c r="B25" s="375"/>
      <c r="C25" s="397"/>
      <c r="D25" s="375"/>
      <c r="E25" s="386"/>
      <c r="F25" s="386"/>
      <c r="G25" s="386"/>
      <c r="H25" s="386"/>
      <c r="I25" s="386"/>
      <c r="J25" s="386"/>
      <c r="K25" s="386"/>
      <c r="L25" s="386"/>
      <c r="M25" s="386"/>
      <c r="N25" s="386"/>
      <c r="O25" s="386"/>
      <c r="P25" s="386"/>
      <c r="Q25" s="386"/>
      <c r="R25" s="386"/>
      <c r="S25" s="386"/>
    </row>
    <row r="26" spans="1:19" ht="13.8">
      <c r="A26" s="375" t="s">
        <v>1359</v>
      </c>
      <c r="B26" s="375"/>
      <c r="C26" s="406">
        <v>1.0349999999999999</v>
      </c>
      <c r="D26" s="375"/>
      <c r="E26" s="383">
        <f>Application!AC866</f>
        <v>0</v>
      </c>
      <c r="F26" s="383">
        <f t="shared" ref="F26:S26" si="17">E26*$C$26</f>
        <v>0</v>
      </c>
      <c r="G26" s="383">
        <f t="shared" si="17"/>
        <v>0</v>
      </c>
      <c r="H26" s="383">
        <f t="shared" si="17"/>
        <v>0</v>
      </c>
      <c r="I26" s="383">
        <f t="shared" si="17"/>
        <v>0</v>
      </c>
      <c r="J26" s="383">
        <f t="shared" si="17"/>
        <v>0</v>
      </c>
      <c r="K26" s="383">
        <f t="shared" si="17"/>
        <v>0</v>
      </c>
      <c r="L26" s="383">
        <f t="shared" si="17"/>
        <v>0</v>
      </c>
      <c r="M26" s="383">
        <f t="shared" si="17"/>
        <v>0</v>
      </c>
      <c r="N26" s="383">
        <f t="shared" si="17"/>
        <v>0</v>
      </c>
      <c r="O26" s="383">
        <f t="shared" si="17"/>
        <v>0</v>
      </c>
      <c r="P26" s="383">
        <f t="shared" si="17"/>
        <v>0</v>
      </c>
      <c r="Q26" s="383">
        <f t="shared" si="17"/>
        <v>0</v>
      </c>
      <c r="R26" s="383">
        <f t="shared" si="17"/>
        <v>0</v>
      </c>
      <c r="S26" s="383">
        <f t="shared" si="17"/>
        <v>0</v>
      </c>
    </row>
    <row r="27" spans="1:19" ht="13.8">
      <c r="A27" s="375" t="s">
        <v>1079</v>
      </c>
      <c r="B27" s="375"/>
      <c r="C27" s="406">
        <v>1.0349999999999999</v>
      </c>
      <c r="D27" s="375"/>
      <c r="E27" s="386">
        <f>Application!AC867</f>
        <v>95902</v>
      </c>
      <c r="F27" s="386">
        <f t="shared" ref="F27:S27" si="18">E27*$C$27</f>
        <v>99258.569999999992</v>
      </c>
      <c r="G27" s="386">
        <f t="shared" si="18"/>
        <v>102732.61994999998</v>
      </c>
      <c r="H27" s="386">
        <f t="shared" si="18"/>
        <v>106328.26164824997</v>
      </c>
      <c r="I27" s="386">
        <f t="shared" si="18"/>
        <v>110049.75080593872</v>
      </c>
      <c r="J27" s="386">
        <f t="shared" si="18"/>
        <v>113901.49208414656</v>
      </c>
      <c r="K27" s="386">
        <f t="shared" si="18"/>
        <v>117888.04430709168</v>
      </c>
      <c r="L27" s="386">
        <f t="shared" si="18"/>
        <v>122014.12585783988</v>
      </c>
      <c r="M27" s="386">
        <f t="shared" si="18"/>
        <v>126284.62026286426</v>
      </c>
      <c r="N27" s="386">
        <f t="shared" si="18"/>
        <v>130704.58197206451</v>
      </c>
      <c r="O27" s="386">
        <f t="shared" si="18"/>
        <v>135279.24234108676</v>
      </c>
      <c r="P27" s="386">
        <f t="shared" si="18"/>
        <v>140014.01582302479</v>
      </c>
      <c r="Q27" s="386">
        <f t="shared" si="18"/>
        <v>144914.50637683066</v>
      </c>
      <c r="R27" s="386">
        <f t="shared" si="18"/>
        <v>149986.51410001973</v>
      </c>
      <c r="S27" s="386">
        <f t="shared" si="18"/>
        <v>155236.0420935204</v>
      </c>
    </row>
    <row r="28" spans="1:19" ht="13.8">
      <c r="A28" s="598" t="s">
        <v>1080</v>
      </c>
      <c r="B28" s="375"/>
      <c r="C28" s="406"/>
      <c r="D28" s="375"/>
      <c r="E28" s="386">
        <f>Application!AC868</f>
        <v>36000</v>
      </c>
      <c r="F28" s="386">
        <f t="shared" ref="F28:S28" si="19">$E$28</f>
        <v>36000</v>
      </c>
      <c r="G28" s="386">
        <f t="shared" si="19"/>
        <v>36000</v>
      </c>
      <c r="H28" s="386">
        <f t="shared" si="19"/>
        <v>36000</v>
      </c>
      <c r="I28" s="386">
        <f t="shared" si="19"/>
        <v>36000</v>
      </c>
      <c r="J28" s="386">
        <f t="shared" si="19"/>
        <v>36000</v>
      </c>
      <c r="K28" s="386">
        <f t="shared" si="19"/>
        <v>36000</v>
      </c>
      <c r="L28" s="386">
        <f t="shared" si="19"/>
        <v>36000</v>
      </c>
      <c r="M28" s="386">
        <f t="shared" si="19"/>
        <v>36000</v>
      </c>
      <c r="N28" s="386">
        <f t="shared" si="19"/>
        <v>36000</v>
      </c>
      <c r="O28" s="386">
        <f t="shared" si="19"/>
        <v>36000</v>
      </c>
      <c r="P28" s="386">
        <f t="shared" si="19"/>
        <v>36000</v>
      </c>
      <c r="Q28" s="386">
        <f t="shared" si="19"/>
        <v>36000</v>
      </c>
      <c r="R28" s="386">
        <f t="shared" si="19"/>
        <v>36000</v>
      </c>
      <c r="S28" s="386">
        <f t="shared" si="19"/>
        <v>36000</v>
      </c>
    </row>
    <row r="29" spans="1:19" ht="13.8">
      <c r="A29" s="598" t="s">
        <v>1935</v>
      </c>
      <c r="B29" s="375"/>
      <c r="C29" s="406"/>
      <c r="D29" s="375"/>
      <c r="E29" s="386">
        <f>Application!AC869</f>
        <v>5400</v>
      </c>
      <c r="F29" s="386">
        <f t="shared" ref="F29:S29" si="20">$E$29</f>
        <v>5400</v>
      </c>
      <c r="G29" s="386">
        <f t="shared" si="20"/>
        <v>5400</v>
      </c>
      <c r="H29" s="386">
        <f t="shared" si="20"/>
        <v>5400</v>
      </c>
      <c r="I29" s="386">
        <f t="shared" si="20"/>
        <v>5400</v>
      </c>
      <c r="J29" s="386">
        <f t="shared" si="20"/>
        <v>5400</v>
      </c>
      <c r="K29" s="386">
        <f t="shared" si="20"/>
        <v>5400</v>
      </c>
      <c r="L29" s="386">
        <f t="shared" si="20"/>
        <v>5400</v>
      </c>
      <c r="M29" s="386">
        <f t="shared" si="20"/>
        <v>5400</v>
      </c>
      <c r="N29" s="386">
        <f t="shared" si="20"/>
        <v>5400</v>
      </c>
      <c r="O29" s="386">
        <f t="shared" si="20"/>
        <v>5400</v>
      </c>
      <c r="P29" s="386">
        <f t="shared" si="20"/>
        <v>5400</v>
      </c>
      <c r="Q29" s="386">
        <f t="shared" si="20"/>
        <v>5400</v>
      </c>
      <c r="R29" s="386">
        <f t="shared" si="20"/>
        <v>5400</v>
      </c>
      <c r="S29" s="386">
        <f t="shared" si="20"/>
        <v>5400</v>
      </c>
    </row>
    <row r="30" spans="1:19" ht="13.8">
      <c r="A30" s="598" t="s">
        <v>1081</v>
      </c>
      <c r="B30" s="375"/>
      <c r="C30" s="406">
        <v>1.02</v>
      </c>
      <c r="D30" s="375"/>
      <c r="E30" s="386">
        <f>Application!AC870</f>
        <v>3090</v>
      </c>
      <c r="F30" s="386">
        <f t="shared" ref="F30:S30" si="21">E30*$C$30</f>
        <v>3151.8</v>
      </c>
      <c r="G30" s="386">
        <f t="shared" si="21"/>
        <v>3214.8360000000002</v>
      </c>
      <c r="H30" s="386">
        <f t="shared" si="21"/>
        <v>3279.1327200000005</v>
      </c>
      <c r="I30" s="386">
        <f t="shared" si="21"/>
        <v>3344.7153744000007</v>
      </c>
      <c r="J30" s="386">
        <f t="shared" si="21"/>
        <v>3411.6096818880005</v>
      </c>
      <c r="K30" s="386">
        <f t="shared" si="21"/>
        <v>3479.8418755257608</v>
      </c>
      <c r="L30" s="386">
        <f t="shared" si="21"/>
        <v>3549.4387130362761</v>
      </c>
      <c r="M30" s="386">
        <f t="shared" si="21"/>
        <v>3620.4274872970018</v>
      </c>
      <c r="N30" s="386">
        <f t="shared" si="21"/>
        <v>3692.8360370429418</v>
      </c>
      <c r="O30" s="386">
        <f t="shared" si="21"/>
        <v>3766.6927577838005</v>
      </c>
      <c r="P30" s="386">
        <f t="shared" si="21"/>
        <v>3842.0266129394768</v>
      </c>
      <c r="Q30" s="386">
        <f t="shared" si="21"/>
        <v>3918.8671451982664</v>
      </c>
      <c r="R30" s="386">
        <f t="shared" si="21"/>
        <v>3997.2444881022316</v>
      </c>
      <c r="S30" s="386">
        <f t="shared" si="21"/>
        <v>4077.1893778642761</v>
      </c>
    </row>
    <row r="31" spans="1:19" ht="13.8">
      <c r="A31" s="598" t="s">
        <v>1936</v>
      </c>
      <c r="B31" s="375"/>
      <c r="C31" s="406">
        <v>1.02</v>
      </c>
      <c r="D31" s="375"/>
      <c r="E31" s="386">
        <f>Application!AC871</f>
        <v>0</v>
      </c>
      <c r="F31" s="386">
        <f t="shared" ref="F31:S31" si="22">E31*$C$31</f>
        <v>0</v>
      </c>
      <c r="G31" s="386">
        <f t="shared" si="22"/>
        <v>0</v>
      </c>
      <c r="H31" s="386">
        <f t="shared" si="22"/>
        <v>0</v>
      </c>
      <c r="I31" s="386">
        <f t="shared" si="22"/>
        <v>0</v>
      </c>
      <c r="J31" s="386">
        <f t="shared" si="22"/>
        <v>0</v>
      </c>
      <c r="K31" s="386">
        <f t="shared" si="22"/>
        <v>0</v>
      </c>
      <c r="L31" s="386">
        <f t="shared" si="22"/>
        <v>0</v>
      </c>
      <c r="M31" s="386">
        <f t="shared" si="22"/>
        <v>0</v>
      </c>
      <c r="N31" s="386">
        <f t="shared" si="22"/>
        <v>0</v>
      </c>
      <c r="O31" s="386">
        <f t="shared" si="22"/>
        <v>0</v>
      </c>
      <c r="P31" s="386">
        <f t="shared" si="22"/>
        <v>0</v>
      </c>
      <c r="Q31" s="386">
        <f t="shared" si="22"/>
        <v>0</v>
      </c>
      <c r="R31" s="386">
        <f t="shared" si="22"/>
        <v>0</v>
      </c>
      <c r="S31" s="386">
        <f t="shared" si="22"/>
        <v>0</v>
      </c>
    </row>
    <row r="32" spans="1:19" ht="13.8">
      <c r="A32" s="375" t="str">
        <f>Application!E872</f>
        <v>Other (Specify):</v>
      </c>
      <c r="B32" s="375"/>
      <c r="C32" s="487">
        <v>1.0349999999999999</v>
      </c>
      <c r="D32" s="375"/>
      <c r="E32" s="386">
        <f>Application!AC872</f>
        <v>0</v>
      </c>
      <c r="F32" s="386">
        <f t="shared" ref="F32:S32" si="23">E32*$C$32</f>
        <v>0</v>
      </c>
      <c r="G32" s="386">
        <f t="shared" si="23"/>
        <v>0</v>
      </c>
      <c r="H32" s="386">
        <f t="shared" si="23"/>
        <v>0</v>
      </c>
      <c r="I32" s="386">
        <f t="shared" si="23"/>
        <v>0</v>
      </c>
      <c r="J32" s="386">
        <f t="shared" si="23"/>
        <v>0</v>
      </c>
      <c r="K32" s="386">
        <f t="shared" si="23"/>
        <v>0</v>
      </c>
      <c r="L32" s="386">
        <f t="shared" si="23"/>
        <v>0</v>
      </c>
      <c r="M32" s="386">
        <f t="shared" si="23"/>
        <v>0</v>
      </c>
      <c r="N32" s="386">
        <f t="shared" si="23"/>
        <v>0</v>
      </c>
      <c r="O32" s="386">
        <f t="shared" si="23"/>
        <v>0</v>
      </c>
      <c r="P32" s="386">
        <f t="shared" si="23"/>
        <v>0</v>
      </c>
      <c r="Q32" s="386">
        <f t="shared" si="23"/>
        <v>0</v>
      </c>
      <c r="R32" s="386">
        <f t="shared" si="23"/>
        <v>0</v>
      </c>
      <c r="S32" s="386">
        <f t="shared" si="23"/>
        <v>0</v>
      </c>
    </row>
    <row r="33" spans="1:20" ht="13.8">
      <c r="A33" s="375" t="str">
        <f>Application!E873</f>
        <v>Other (Specify):</v>
      </c>
      <c r="B33" s="375"/>
      <c r="C33" s="487">
        <v>1.0349999999999999</v>
      </c>
      <c r="D33" s="375"/>
      <c r="E33" s="386">
        <f>Application!AC873</f>
        <v>0</v>
      </c>
      <c r="F33" s="386">
        <f t="shared" ref="F33:S33" si="24">E33*$C$33</f>
        <v>0</v>
      </c>
      <c r="G33" s="386">
        <f t="shared" si="24"/>
        <v>0</v>
      </c>
      <c r="H33" s="386">
        <f t="shared" si="24"/>
        <v>0</v>
      </c>
      <c r="I33" s="386">
        <f t="shared" si="24"/>
        <v>0</v>
      </c>
      <c r="J33" s="386">
        <f t="shared" si="24"/>
        <v>0</v>
      </c>
      <c r="K33" s="386">
        <f t="shared" si="24"/>
        <v>0</v>
      </c>
      <c r="L33" s="386">
        <f t="shared" si="24"/>
        <v>0</v>
      </c>
      <c r="M33" s="386">
        <f t="shared" si="24"/>
        <v>0</v>
      </c>
      <c r="N33" s="386">
        <f t="shared" si="24"/>
        <v>0</v>
      </c>
      <c r="O33" s="386">
        <f t="shared" si="24"/>
        <v>0</v>
      </c>
      <c r="P33" s="386">
        <f t="shared" si="24"/>
        <v>0</v>
      </c>
      <c r="Q33" s="386">
        <f t="shared" si="24"/>
        <v>0</v>
      </c>
      <c r="R33" s="386">
        <f t="shared" si="24"/>
        <v>0</v>
      </c>
      <c r="S33" s="386">
        <f t="shared" si="24"/>
        <v>0</v>
      </c>
    </row>
    <row r="34" spans="1:20" ht="13.8">
      <c r="A34" s="375"/>
      <c r="B34" s="375"/>
      <c r="C34" s="384"/>
      <c r="D34" s="375"/>
      <c r="E34" s="386"/>
      <c r="F34" s="386"/>
      <c r="G34" s="386"/>
      <c r="H34" s="386"/>
      <c r="I34" s="386"/>
      <c r="J34" s="386"/>
      <c r="K34" s="386"/>
      <c r="L34" s="386"/>
      <c r="M34" s="386"/>
      <c r="N34" s="386"/>
      <c r="O34" s="386"/>
      <c r="P34" s="386"/>
      <c r="Q34" s="386"/>
      <c r="R34" s="386"/>
      <c r="S34" s="386"/>
    </row>
    <row r="35" spans="1:20" ht="13.8">
      <c r="A35" s="387" t="s">
        <v>147</v>
      </c>
      <c r="B35" s="387"/>
      <c r="C35" s="388"/>
      <c r="D35" s="387"/>
      <c r="E35" s="387">
        <f t="shared" ref="E35:S35" si="25">SUM(E22:E33)</f>
        <v>827997</v>
      </c>
      <c r="F35" s="387">
        <f t="shared" si="25"/>
        <v>855481.54499999993</v>
      </c>
      <c r="G35" s="387">
        <f t="shared" si="25"/>
        <v>883927.12207499985</v>
      </c>
      <c r="H35" s="387">
        <f t="shared" si="25"/>
        <v>913367.34880762489</v>
      </c>
      <c r="I35" s="387">
        <f t="shared" si="25"/>
        <v>943837.01902509166</v>
      </c>
      <c r="J35" s="387">
        <f t="shared" si="25"/>
        <v>975372.14396035392</v>
      </c>
      <c r="K35" s="387">
        <f t="shared" si="25"/>
        <v>1008009.9948537379</v>
      </c>
      <c r="L35" s="387">
        <f t="shared" si="25"/>
        <v>1041789.1470454854</v>
      </c>
      <c r="M35" s="387">
        <f t="shared" si="25"/>
        <v>1076749.525611382</v>
      </c>
      <c r="N35" s="387">
        <f t="shared" si="25"/>
        <v>1112932.4525954709</v>
      </c>
      <c r="O35" s="387">
        <f t="shared" si="25"/>
        <v>1150380.6958957566</v>
      </c>
      <c r="P35" s="387">
        <f t="shared" si="25"/>
        <v>1189138.5198607414</v>
      </c>
      <c r="Q35" s="387">
        <f t="shared" si="25"/>
        <v>1229251.737656673</v>
      </c>
      <c r="R35" s="387">
        <f t="shared" si="25"/>
        <v>1270767.7654674784</v>
      </c>
      <c r="S35" s="387">
        <f t="shared" si="25"/>
        <v>1313735.6785915187</v>
      </c>
    </row>
    <row r="36" spans="1:20" ht="13.8">
      <c r="A36" s="375"/>
      <c r="B36" s="375"/>
      <c r="C36" s="384"/>
      <c r="D36" s="375"/>
      <c r="E36" s="386"/>
      <c r="F36" s="386"/>
      <c r="G36" s="386"/>
      <c r="H36" s="386"/>
      <c r="I36" s="386"/>
      <c r="J36" s="386"/>
      <c r="K36" s="386"/>
      <c r="L36" s="386"/>
      <c r="M36" s="386"/>
      <c r="N36" s="386"/>
      <c r="O36" s="386"/>
      <c r="P36" s="386"/>
      <c r="Q36" s="386"/>
      <c r="R36" s="386"/>
      <c r="S36" s="386"/>
    </row>
    <row r="37" spans="1:20" ht="13.8">
      <c r="A37" s="387" t="s">
        <v>1082</v>
      </c>
      <c r="B37" s="387"/>
      <c r="C37" s="388"/>
      <c r="D37" s="387"/>
      <c r="E37" s="387">
        <f t="shared" ref="E37:S37" si="26">E11-E35</f>
        <v>378510.60000000009</v>
      </c>
      <c r="F37" s="387">
        <f t="shared" si="26"/>
        <v>381188.74500000011</v>
      </c>
      <c r="G37" s="387">
        <f t="shared" si="26"/>
        <v>383659.92517499975</v>
      </c>
      <c r="H37" s="387">
        <f t="shared" si="26"/>
        <v>385909.37462362496</v>
      </c>
      <c r="I37" s="387">
        <f t="shared" si="26"/>
        <v>387921.62249193934</v>
      </c>
      <c r="J37" s="387">
        <f t="shared" si="26"/>
        <v>389680.46359460265</v>
      </c>
      <c r="K37" s="387">
        <f t="shared" si="26"/>
        <v>391168.92789009248</v>
      </c>
      <c r="L37" s="387">
        <f t="shared" si="26"/>
        <v>392369.24876694055</v>
      </c>
      <c r="M37" s="387">
        <f t="shared" si="26"/>
        <v>393262.83009635448</v>
      </c>
      <c r="N37" s="387">
        <f t="shared" si="26"/>
        <v>393830.21200495888</v>
      </c>
      <c r="O37" s="387">
        <f t="shared" si="26"/>
        <v>394051.03531968407</v>
      </c>
      <c r="P37" s="387">
        <f t="shared" si="26"/>
        <v>393904.00463508489</v>
      </c>
      <c r="Q37" s="387">
        <f t="shared" si="26"/>
        <v>393366.84995154897</v>
      </c>
      <c r="R37" s="387">
        <f t="shared" si="26"/>
        <v>392416.2868309489</v>
      </c>
      <c r="S37" s="387">
        <f t="shared" si="26"/>
        <v>391027.975014369</v>
      </c>
    </row>
    <row r="38" spans="1:20" ht="13.8">
      <c r="A38" s="375"/>
      <c r="B38" s="375"/>
      <c r="C38" s="384"/>
      <c r="D38" s="375"/>
      <c r="E38" s="386"/>
      <c r="F38" s="386"/>
      <c r="G38" s="386"/>
      <c r="H38" s="386"/>
      <c r="I38" s="386"/>
      <c r="J38" s="386"/>
      <c r="K38" s="386"/>
      <c r="L38" s="386"/>
      <c r="M38" s="386"/>
      <c r="N38" s="386"/>
      <c r="O38" s="386"/>
      <c r="P38" s="386"/>
      <c r="Q38" s="386"/>
      <c r="R38" s="386"/>
      <c r="S38" s="386"/>
    </row>
    <row r="39" spans="1:20" ht="13.8">
      <c r="A39" s="382" t="s">
        <v>1083</v>
      </c>
      <c r="B39" s="375"/>
      <c r="C39" s="384"/>
      <c r="D39" s="375"/>
      <c r="E39" s="386"/>
      <c r="F39" s="386"/>
      <c r="G39" s="386"/>
      <c r="H39" s="386"/>
      <c r="I39" s="386"/>
      <c r="J39" s="386"/>
      <c r="K39" s="386"/>
      <c r="L39" s="386"/>
      <c r="M39" s="386"/>
      <c r="N39" s="386"/>
      <c r="O39" s="386"/>
      <c r="P39" s="386"/>
      <c r="Q39" s="386"/>
      <c r="R39" s="386"/>
      <c r="S39" s="386"/>
    </row>
    <row r="40" spans="1:20" ht="13.8">
      <c r="A40" s="389" t="str">
        <f>Application!C621</f>
        <v>Chase Perm Loan</v>
      </c>
      <c r="B40" s="390"/>
      <c r="C40" s="384"/>
      <c r="D40" s="375"/>
      <c r="E40" s="383">
        <f>Application!AF621</f>
        <v>214299</v>
      </c>
      <c r="F40" s="383">
        <f t="shared" ref="F40:S40" si="27">$E$40</f>
        <v>214299</v>
      </c>
      <c r="G40" s="383">
        <f t="shared" si="27"/>
        <v>214299</v>
      </c>
      <c r="H40" s="383">
        <f t="shared" si="27"/>
        <v>214299</v>
      </c>
      <c r="I40" s="383">
        <f t="shared" si="27"/>
        <v>214299</v>
      </c>
      <c r="J40" s="383">
        <f t="shared" si="27"/>
        <v>214299</v>
      </c>
      <c r="K40" s="383">
        <f t="shared" si="27"/>
        <v>214299</v>
      </c>
      <c r="L40" s="383">
        <f t="shared" si="27"/>
        <v>214299</v>
      </c>
      <c r="M40" s="383">
        <f t="shared" si="27"/>
        <v>214299</v>
      </c>
      <c r="N40" s="383">
        <f t="shared" si="27"/>
        <v>214299</v>
      </c>
      <c r="O40" s="383">
        <f t="shared" si="27"/>
        <v>214299</v>
      </c>
      <c r="P40" s="383">
        <f t="shared" si="27"/>
        <v>214299</v>
      </c>
      <c r="Q40" s="383">
        <f t="shared" si="27"/>
        <v>214299</v>
      </c>
      <c r="R40" s="383">
        <f t="shared" si="27"/>
        <v>214299</v>
      </c>
      <c r="S40" s="383">
        <f t="shared" si="27"/>
        <v>214299</v>
      </c>
      <c r="T40" s="375"/>
    </row>
    <row r="41" spans="1:20" ht="13.8">
      <c r="A41" s="389" t="str">
        <f>Application!C622</f>
        <v>HCD - Joe Serna</v>
      </c>
      <c r="B41" s="390"/>
      <c r="C41" s="384"/>
      <c r="D41" s="375"/>
      <c r="E41" s="383">
        <f>Application!AF622</f>
        <v>76857.404399999999</v>
      </c>
      <c r="F41" s="386">
        <f t="shared" ref="F41:S41" si="28">$E$41</f>
        <v>76857.404399999999</v>
      </c>
      <c r="G41" s="386">
        <f t="shared" si="28"/>
        <v>76857.404399999999</v>
      </c>
      <c r="H41" s="386">
        <f t="shared" si="28"/>
        <v>76857.404399999999</v>
      </c>
      <c r="I41" s="386">
        <f t="shared" si="28"/>
        <v>76857.404399999999</v>
      </c>
      <c r="J41" s="386">
        <f t="shared" si="28"/>
        <v>76857.404399999999</v>
      </c>
      <c r="K41" s="386">
        <f t="shared" si="28"/>
        <v>76857.404399999999</v>
      </c>
      <c r="L41" s="386">
        <f t="shared" si="28"/>
        <v>76857.404399999999</v>
      </c>
      <c r="M41" s="386">
        <f t="shared" si="28"/>
        <v>76857.404399999999</v>
      </c>
      <c r="N41" s="386">
        <f t="shared" si="28"/>
        <v>76857.404399999999</v>
      </c>
      <c r="O41" s="386">
        <f t="shared" si="28"/>
        <v>76857.404399999999</v>
      </c>
      <c r="P41" s="386">
        <f t="shared" si="28"/>
        <v>76857.404399999999</v>
      </c>
      <c r="Q41" s="386">
        <f t="shared" si="28"/>
        <v>76857.404399999999</v>
      </c>
      <c r="R41" s="386">
        <f t="shared" si="28"/>
        <v>76857.404399999999</v>
      </c>
      <c r="S41" s="386">
        <f t="shared" si="28"/>
        <v>76857.404399999999</v>
      </c>
      <c r="T41" s="375"/>
    </row>
    <row r="42" spans="1:20" ht="13.8">
      <c r="A42" s="389"/>
      <c r="B42" s="390"/>
      <c r="C42" s="384"/>
      <c r="D42" s="375"/>
      <c r="E42" s="396"/>
      <c r="F42" s="396">
        <f t="shared" ref="F42:S42" si="29">$E$42</f>
        <v>0</v>
      </c>
      <c r="G42" s="396">
        <f t="shared" si="29"/>
        <v>0</v>
      </c>
      <c r="H42" s="396">
        <f t="shared" si="29"/>
        <v>0</v>
      </c>
      <c r="I42" s="396">
        <f t="shared" si="29"/>
        <v>0</v>
      </c>
      <c r="J42" s="396">
        <f t="shared" si="29"/>
        <v>0</v>
      </c>
      <c r="K42" s="396">
        <f t="shared" si="29"/>
        <v>0</v>
      </c>
      <c r="L42" s="396">
        <f t="shared" si="29"/>
        <v>0</v>
      </c>
      <c r="M42" s="396">
        <f t="shared" si="29"/>
        <v>0</v>
      </c>
      <c r="N42" s="396">
        <f t="shared" si="29"/>
        <v>0</v>
      </c>
      <c r="O42" s="396">
        <f t="shared" si="29"/>
        <v>0</v>
      </c>
      <c r="P42" s="396">
        <f t="shared" si="29"/>
        <v>0</v>
      </c>
      <c r="Q42" s="396">
        <f t="shared" si="29"/>
        <v>0</v>
      </c>
      <c r="R42" s="396">
        <f t="shared" si="29"/>
        <v>0</v>
      </c>
      <c r="S42" s="396">
        <f t="shared" si="29"/>
        <v>0</v>
      </c>
      <c r="T42" s="375"/>
    </row>
    <row r="43" spans="1:20" ht="13.8">
      <c r="A43" s="387" t="s">
        <v>1084</v>
      </c>
      <c r="B43" s="387"/>
      <c r="C43" s="388"/>
      <c r="D43" s="387"/>
      <c r="E43" s="387">
        <f t="shared" ref="E43:S43" si="30">SUM(E40:E42)</f>
        <v>291156.4044</v>
      </c>
      <c r="F43" s="387">
        <f t="shared" si="30"/>
        <v>291156.4044</v>
      </c>
      <c r="G43" s="387">
        <f t="shared" si="30"/>
        <v>291156.4044</v>
      </c>
      <c r="H43" s="387">
        <f t="shared" si="30"/>
        <v>291156.4044</v>
      </c>
      <c r="I43" s="387">
        <f t="shared" si="30"/>
        <v>291156.4044</v>
      </c>
      <c r="J43" s="387">
        <f t="shared" si="30"/>
        <v>291156.4044</v>
      </c>
      <c r="K43" s="387">
        <f t="shared" si="30"/>
        <v>291156.4044</v>
      </c>
      <c r="L43" s="387">
        <f t="shared" si="30"/>
        <v>291156.4044</v>
      </c>
      <c r="M43" s="387">
        <f t="shared" si="30"/>
        <v>291156.4044</v>
      </c>
      <c r="N43" s="387">
        <f t="shared" si="30"/>
        <v>291156.4044</v>
      </c>
      <c r="O43" s="387">
        <f t="shared" si="30"/>
        <v>291156.4044</v>
      </c>
      <c r="P43" s="387">
        <f t="shared" si="30"/>
        <v>291156.4044</v>
      </c>
      <c r="Q43" s="387">
        <f t="shared" si="30"/>
        <v>291156.4044</v>
      </c>
      <c r="R43" s="387">
        <f t="shared" si="30"/>
        <v>291156.4044</v>
      </c>
      <c r="S43" s="387">
        <f t="shared" si="30"/>
        <v>291156.4044</v>
      </c>
      <c r="T43" s="387"/>
    </row>
    <row r="44" spans="1:20" ht="13.8">
      <c r="A44" s="375"/>
      <c r="B44" s="375"/>
      <c r="C44" s="384"/>
      <c r="D44" s="375"/>
      <c r="E44" s="386"/>
      <c r="F44" s="386"/>
      <c r="G44" s="386"/>
      <c r="H44" s="386"/>
      <c r="I44" s="386"/>
      <c r="J44" s="386"/>
      <c r="K44" s="386"/>
      <c r="L44" s="386"/>
      <c r="M44" s="386"/>
      <c r="N44" s="386"/>
      <c r="O44" s="386"/>
      <c r="P44" s="386"/>
      <c r="Q44" s="386"/>
      <c r="R44" s="386"/>
      <c r="S44" s="386"/>
      <c r="T44" s="375"/>
    </row>
    <row r="45" spans="1:20" ht="13.8">
      <c r="A45" s="387" t="s">
        <v>1085</v>
      </c>
      <c r="B45" s="387"/>
      <c r="C45" s="388"/>
      <c r="D45" s="387"/>
      <c r="E45" s="387">
        <f t="shared" ref="E45:S45" si="31">E37-E43</f>
        <v>87354.195600000094</v>
      </c>
      <c r="F45" s="387">
        <f t="shared" si="31"/>
        <v>90032.340600000112</v>
      </c>
      <c r="G45" s="387">
        <f t="shared" si="31"/>
        <v>92503.52077499975</v>
      </c>
      <c r="H45" s="387">
        <f t="shared" si="31"/>
        <v>94752.970223624958</v>
      </c>
      <c r="I45" s="387">
        <f t="shared" si="31"/>
        <v>96765.218091939343</v>
      </c>
      <c r="J45" s="387">
        <f t="shared" si="31"/>
        <v>98524.059194602654</v>
      </c>
      <c r="K45" s="387">
        <f t="shared" si="31"/>
        <v>100012.52349009248</v>
      </c>
      <c r="L45" s="387">
        <f t="shared" si="31"/>
        <v>101212.84436694055</v>
      </c>
      <c r="M45" s="387">
        <f t="shared" si="31"/>
        <v>102106.42569635448</v>
      </c>
      <c r="N45" s="387">
        <f t="shared" si="31"/>
        <v>102673.80760495889</v>
      </c>
      <c r="O45" s="387">
        <f t="shared" si="31"/>
        <v>102894.63091968407</v>
      </c>
      <c r="P45" s="387">
        <f t="shared" si="31"/>
        <v>102747.60023508489</v>
      </c>
      <c r="Q45" s="387">
        <f t="shared" si="31"/>
        <v>102210.44555154897</v>
      </c>
      <c r="R45" s="387">
        <f t="shared" si="31"/>
        <v>101259.8824309489</v>
      </c>
      <c r="S45" s="387">
        <f t="shared" si="31"/>
        <v>99871.570614369004</v>
      </c>
      <c r="T45" s="387"/>
    </row>
    <row r="46" spans="1:20" ht="13.8">
      <c r="A46" s="375"/>
      <c r="B46" s="375"/>
      <c r="C46" s="384"/>
      <c r="D46" s="375"/>
      <c r="E46" s="386"/>
      <c r="F46" s="386"/>
      <c r="G46" s="386"/>
      <c r="H46" s="386"/>
      <c r="I46" s="386"/>
      <c r="J46" s="386"/>
      <c r="K46" s="386"/>
      <c r="L46" s="386"/>
      <c r="M46" s="386"/>
      <c r="N46" s="386"/>
      <c r="O46" s="386"/>
      <c r="P46" s="386"/>
      <c r="Q46" s="386"/>
      <c r="R46" s="386"/>
      <c r="S46" s="386"/>
      <c r="T46" s="375"/>
    </row>
    <row r="47" spans="1:20" ht="13.8">
      <c r="A47" s="391" t="s">
        <v>1086</v>
      </c>
      <c r="B47" s="391"/>
      <c r="C47" s="384"/>
      <c r="D47" s="391"/>
      <c r="E47" s="391">
        <f t="shared" ref="E47:S47" si="32">E45/(E4+E6+E8)</f>
        <v>6.8782397906154993E-2</v>
      </c>
      <c r="F47" s="391">
        <f t="shared" si="32"/>
        <v>6.9162107525038152E-2</v>
      </c>
      <c r="G47" s="391">
        <f t="shared" si="32"/>
        <v>6.9327266263015039E-2</v>
      </c>
      <c r="H47" s="391">
        <f t="shared" si="32"/>
        <v>6.928110085334474E-2</v>
      </c>
      <c r="I47" s="391">
        <f t="shared" si="32"/>
        <v>6.9026739772175744E-2</v>
      </c>
      <c r="J47" s="391">
        <f t="shared" si="32"/>
        <v>6.8567215444188881E-2</v>
      </c>
      <c r="K47" s="391">
        <f t="shared" si="32"/>
        <v>6.7905466392580285E-2</v>
      </c>
      <c r="L47" s="391">
        <f t="shared" si="32"/>
        <v>6.704433933472527E-2</v>
      </c>
      <c r="M47" s="391">
        <f t="shared" si="32"/>
        <v>6.5986591224830651E-2</v>
      </c>
      <c r="N47" s="391">
        <f t="shared" si="32"/>
        <v>6.4734891244851142E-2</v>
      </c>
      <c r="O47" s="391">
        <f t="shared" si="32"/>
        <v>6.3291822744908521E-2</v>
      </c>
      <c r="P47" s="391">
        <f t="shared" si="32"/>
        <v>6.165988513442993E-2</v>
      </c>
      <c r="Q47" s="391">
        <f t="shared" si="32"/>
        <v>5.9841495725190166E-2</v>
      </c>
      <c r="R47" s="391">
        <f t="shared" si="32"/>
        <v>5.7838991527403558E-2</v>
      </c>
      <c r="S47" s="391">
        <f t="shared" si="32"/>
        <v>5.5654631000001786E-2</v>
      </c>
      <c r="T47" s="391"/>
    </row>
    <row r="48" spans="1:20" ht="13.8">
      <c r="A48" s="391" t="s">
        <v>1087</v>
      </c>
      <c r="B48" s="391"/>
      <c r="C48" s="384"/>
      <c r="D48" s="391"/>
      <c r="E48" s="391">
        <f t="shared" ref="E48:S48" si="33">E45/E43</f>
        <v>0.30002498409751654</v>
      </c>
      <c r="F48" s="391">
        <f t="shared" si="33"/>
        <v>0.30922328768805235</v>
      </c>
      <c r="G48" s="391">
        <f t="shared" si="33"/>
        <v>0.31771075400393889</v>
      </c>
      <c r="H48" s="391">
        <f t="shared" si="33"/>
        <v>0.32543666837377994</v>
      </c>
      <c r="I48" s="391">
        <f t="shared" si="33"/>
        <v>0.33234789491011912</v>
      </c>
      <c r="J48" s="391">
        <f t="shared" si="33"/>
        <v>0.33838877560545483</v>
      </c>
      <c r="K48" s="391">
        <f t="shared" si="33"/>
        <v>0.34350102549244316</v>
      </c>
      <c r="L48" s="391">
        <f t="shared" si="33"/>
        <v>0.34762362372043548</v>
      </c>
      <c r="M48" s="391">
        <f t="shared" si="33"/>
        <v>0.35069270039506806</v>
      </c>
      <c r="N48" s="391">
        <f t="shared" si="33"/>
        <v>0.35264141902199864</v>
      </c>
      <c r="O48" s="391">
        <f t="shared" si="33"/>
        <v>0.35339985439002791</v>
      </c>
      <c r="P48" s="391">
        <f t="shared" si="33"/>
        <v>0.35289486572284684</v>
      </c>
      <c r="Q48" s="391">
        <f t="shared" si="33"/>
        <v>0.35104996492238921</v>
      </c>
      <c r="R48" s="391">
        <f t="shared" si="33"/>
        <v>0.34778517972022632</v>
      </c>
      <c r="S48" s="391">
        <f t="shared" si="33"/>
        <v>0.34301691154683389</v>
      </c>
      <c r="T48" s="391"/>
    </row>
    <row r="49" spans="1:20" ht="13.8">
      <c r="A49" s="392" t="s">
        <v>1088</v>
      </c>
      <c r="B49" s="392"/>
      <c r="C49" s="393"/>
      <c r="D49" s="392"/>
      <c r="E49" s="392">
        <f t="shared" ref="E49:S49" si="34">E37/E43</f>
        <v>1.3000249840975164</v>
      </c>
      <c r="F49" s="392">
        <f t="shared" si="34"/>
        <v>1.3092232876880523</v>
      </c>
      <c r="G49" s="392">
        <f t="shared" si="34"/>
        <v>1.3177107540039388</v>
      </c>
      <c r="H49" s="392">
        <f t="shared" si="34"/>
        <v>1.3254366683737799</v>
      </c>
      <c r="I49" s="392">
        <f t="shared" si="34"/>
        <v>1.3323478949101191</v>
      </c>
      <c r="J49" s="392">
        <f t="shared" si="34"/>
        <v>1.3383887756054549</v>
      </c>
      <c r="K49" s="392">
        <f t="shared" si="34"/>
        <v>1.3435010254924431</v>
      </c>
      <c r="L49" s="392">
        <f t="shared" si="34"/>
        <v>1.3476236237204355</v>
      </c>
      <c r="M49" s="392">
        <f t="shared" si="34"/>
        <v>1.3506927003950682</v>
      </c>
      <c r="N49" s="392">
        <f t="shared" si="34"/>
        <v>1.3526414190219986</v>
      </c>
      <c r="O49" s="392">
        <f t="shared" si="34"/>
        <v>1.3533998543900279</v>
      </c>
      <c r="P49" s="392">
        <f t="shared" si="34"/>
        <v>1.3528948657228468</v>
      </c>
      <c r="Q49" s="392">
        <f t="shared" si="34"/>
        <v>1.3510499649223893</v>
      </c>
      <c r="R49" s="392">
        <f t="shared" si="34"/>
        <v>1.3477851797202263</v>
      </c>
      <c r="S49" s="392">
        <f t="shared" si="34"/>
        <v>1.343016911546834</v>
      </c>
      <c r="T49" s="392"/>
    </row>
    <row r="50" spans="1:20" ht="13.8">
      <c r="A50" s="394"/>
      <c r="B50" s="394"/>
      <c r="C50" s="395"/>
      <c r="D50" s="394"/>
      <c r="E50" s="396"/>
      <c r="F50" s="396"/>
      <c r="G50" s="396"/>
      <c r="H50" s="396"/>
      <c r="I50" s="396"/>
      <c r="J50" s="396"/>
      <c r="K50" s="396"/>
      <c r="L50" s="396"/>
      <c r="M50" s="396"/>
      <c r="N50" s="396"/>
      <c r="O50" s="396"/>
      <c r="P50" s="396"/>
      <c r="Q50" s="396"/>
      <c r="R50" s="396"/>
      <c r="S50" s="396"/>
      <c r="T50" s="375"/>
    </row>
    <row r="51" spans="1:20">
      <c r="A51" s="361" t="s">
        <v>1089</v>
      </c>
      <c r="B51" s="361"/>
      <c r="C51" s="397"/>
      <c r="D51" s="361"/>
      <c r="E51" s="379"/>
      <c r="F51" s="379"/>
      <c r="G51" s="379"/>
      <c r="H51" s="379"/>
      <c r="I51" s="379"/>
      <c r="J51" s="379"/>
      <c r="K51" s="379"/>
      <c r="L51" s="379"/>
      <c r="M51" s="379"/>
      <c r="N51" s="379"/>
      <c r="O51" s="379"/>
      <c r="P51" s="379"/>
      <c r="Q51" s="379"/>
      <c r="R51" s="379"/>
      <c r="S51" s="379"/>
      <c r="T51" s="361"/>
    </row>
    <row r="52" spans="1:20">
      <c r="A52" s="361"/>
      <c r="B52" s="361"/>
      <c r="C52" s="397"/>
      <c r="D52" s="361"/>
      <c r="E52" s="379"/>
      <c r="F52" s="379"/>
      <c r="G52" s="379"/>
      <c r="H52" s="379"/>
      <c r="I52" s="379"/>
      <c r="J52" s="379"/>
      <c r="K52" s="379"/>
      <c r="L52" s="379"/>
      <c r="M52" s="379"/>
      <c r="N52" s="379"/>
      <c r="O52" s="379"/>
      <c r="P52" s="379"/>
      <c r="Q52" s="379"/>
      <c r="R52" s="379"/>
      <c r="S52" s="379"/>
      <c r="T52" s="361"/>
    </row>
    <row r="53" spans="1:20">
      <c r="A53" s="374" t="s">
        <v>1090</v>
      </c>
      <c r="B53" s="374"/>
      <c r="C53" s="816"/>
      <c r="D53" s="374"/>
      <c r="E53" s="400"/>
      <c r="F53" s="818">
        <f t="shared" ref="F53:S53" si="35">E53*$C$53</f>
        <v>0</v>
      </c>
      <c r="G53" s="818">
        <f t="shared" si="35"/>
        <v>0</v>
      </c>
      <c r="H53" s="818">
        <f t="shared" si="35"/>
        <v>0</v>
      </c>
      <c r="I53" s="818">
        <f t="shared" si="35"/>
        <v>0</v>
      </c>
      <c r="J53" s="818">
        <f t="shared" si="35"/>
        <v>0</v>
      </c>
      <c r="K53" s="818">
        <f t="shared" si="35"/>
        <v>0</v>
      </c>
      <c r="L53" s="818">
        <f t="shared" si="35"/>
        <v>0</v>
      </c>
      <c r="M53" s="818">
        <f t="shared" si="35"/>
        <v>0</v>
      </c>
      <c r="N53" s="818">
        <f t="shared" si="35"/>
        <v>0</v>
      </c>
      <c r="O53" s="818">
        <f t="shared" si="35"/>
        <v>0</v>
      </c>
      <c r="P53" s="818">
        <f t="shared" si="35"/>
        <v>0</v>
      </c>
      <c r="Q53" s="818">
        <f t="shared" si="35"/>
        <v>0</v>
      </c>
      <c r="R53" s="818">
        <f t="shared" si="35"/>
        <v>0</v>
      </c>
      <c r="S53" s="818">
        <f t="shared" si="35"/>
        <v>0</v>
      </c>
      <c r="T53" s="374"/>
    </row>
    <row r="54" spans="1:20">
      <c r="A54" s="361" t="s">
        <v>1091</v>
      </c>
      <c r="B54" s="361"/>
      <c r="C54" s="408"/>
      <c r="D54" s="361"/>
      <c r="E54" s="401"/>
      <c r="F54" s="817">
        <f t="shared" ref="F54:R54" si="36">E54*$C$53</f>
        <v>0</v>
      </c>
      <c r="G54" s="817">
        <f t="shared" si="36"/>
        <v>0</v>
      </c>
      <c r="H54" s="817">
        <f t="shared" si="36"/>
        <v>0</v>
      </c>
      <c r="I54" s="817">
        <f t="shared" si="36"/>
        <v>0</v>
      </c>
      <c r="J54" s="817">
        <f t="shared" si="36"/>
        <v>0</v>
      </c>
      <c r="K54" s="817">
        <f t="shared" si="36"/>
        <v>0</v>
      </c>
      <c r="L54" s="817">
        <f t="shared" si="36"/>
        <v>0</v>
      </c>
      <c r="M54" s="817">
        <f t="shared" si="36"/>
        <v>0</v>
      </c>
      <c r="N54" s="817">
        <f t="shared" si="36"/>
        <v>0</v>
      </c>
      <c r="O54" s="817">
        <f t="shared" si="36"/>
        <v>0</v>
      </c>
      <c r="P54" s="817">
        <f t="shared" si="36"/>
        <v>0</v>
      </c>
      <c r="Q54" s="817">
        <f t="shared" si="36"/>
        <v>0</v>
      </c>
      <c r="R54" s="817">
        <f t="shared" si="36"/>
        <v>0</v>
      </c>
      <c r="S54" s="817">
        <f t="shared" ref="S54:S57" si="37">R54*$C$53</f>
        <v>0</v>
      </c>
      <c r="T54" s="379"/>
    </row>
    <row r="55" spans="1:20">
      <c r="A55" s="361" t="s">
        <v>1092</v>
      </c>
      <c r="B55" s="361"/>
      <c r="C55" s="408"/>
      <c r="D55" s="361"/>
      <c r="E55" s="401"/>
      <c r="F55" s="817">
        <f t="shared" ref="F55:R55" si="38">E55*$C$53</f>
        <v>0</v>
      </c>
      <c r="G55" s="817">
        <f t="shared" si="38"/>
        <v>0</v>
      </c>
      <c r="H55" s="817">
        <f t="shared" si="38"/>
        <v>0</v>
      </c>
      <c r="I55" s="817">
        <f t="shared" si="38"/>
        <v>0</v>
      </c>
      <c r="J55" s="817">
        <f t="shared" si="38"/>
        <v>0</v>
      </c>
      <c r="K55" s="817">
        <f t="shared" si="38"/>
        <v>0</v>
      </c>
      <c r="L55" s="817">
        <f t="shared" si="38"/>
        <v>0</v>
      </c>
      <c r="M55" s="817">
        <f t="shared" si="38"/>
        <v>0</v>
      </c>
      <c r="N55" s="817">
        <f t="shared" si="38"/>
        <v>0</v>
      </c>
      <c r="O55" s="817">
        <f t="shared" si="38"/>
        <v>0</v>
      </c>
      <c r="P55" s="817">
        <f t="shared" si="38"/>
        <v>0</v>
      </c>
      <c r="Q55" s="817">
        <f t="shared" si="38"/>
        <v>0</v>
      </c>
      <c r="R55" s="817">
        <f t="shared" si="38"/>
        <v>0</v>
      </c>
      <c r="S55" s="817">
        <f t="shared" si="37"/>
        <v>0</v>
      </c>
      <c r="T55" s="379"/>
    </row>
    <row r="56" spans="1:20">
      <c r="A56" s="399"/>
      <c r="B56" s="399"/>
      <c r="C56" s="408"/>
      <c r="D56" s="361"/>
      <c r="E56" s="401"/>
      <c r="F56" s="817">
        <f t="shared" ref="F56:R56" si="39">E56*$C$53</f>
        <v>0</v>
      </c>
      <c r="G56" s="817">
        <f t="shared" si="39"/>
        <v>0</v>
      </c>
      <c r="H56" s="817">
        <f t="shared" si="39"/>
        <v>0</v>
      </c>
      <c r="I56" s="817">
        <f t="shared" si="39"/>
        <v>0</v>
      </c>
      <c r="J56" s="817">
        <f t="shared" si="39"/>
        <v>0</v>
      </c>
      <c r="K56" s="817">
        <f t="shared" si="39"/>
        <v>0</v>
      </c>
      <c r="L56" s="817">
        <f t="shared" si="39"/>
        <v>0</v>
      </c>
      <c r="M56" s="817">
        <f t="shared" si="39"/>
        <v>0</v>
      </c>
      <c r="N56" s="817">
        <f t="shared" si="39"/>
        <v>0</v>
      </c>
      <c r="O56" s="817">
        <f t="shared" si="39"/>
        <v>0</v>
      </c>
      <c r="P56" s="817">
        <f t="shared" si="39"/>
        <v>0</v>
      </c>
      <c r="Q56" s="817">
        <f t="shared" si="39"/>
        <v>0</v>
      </c>
      <c r="R56" s="817">
        <f t="shared" si="39"/>
        <v>0</v>
      </c>
      <c r="S56" s="817">
        <f t="shared" si="37"/>
        <v>0</v>
      </c>
      <c r="T56" s="379"/>
    </row>
    <row r="57" spans="1:20">
      <c r="A57" s="399"/>
      <c r="B57" s="399"/>
      <c r="C57" s="408"/>
      <c r="D57" s="361"/>
      <c r="E57" s="405"/>
      <c r="F57" s="819">
        <f t="shared" ref="F57:R57" si="40">E57*$C$53</f>
        <v>0</v>
      </c>
      <c r="G57" s="819">
        <f t="shared" si="40"/>
        <v>0</v>
      </c>
      <c r="H57" s="819">
        <f t="shared" si="40"/>
        <v>0</v>
      </c>
      <c r="I57" s="819">
        <f t="shared" si="40"/>
        <v>0</v>
      </c>
      <c r="J57" s="819">
        <f t="shared" si="40"/>
        <v>0</v>
      </c>
      <c r="K57" s="819">
        <f t="shared" si="40"/>
        <v>0</v>
      </c>
      <c r="L57" s="819">
        <f t="shared" si="40"/>
        <v>0</v>
      </c>
      <c r="M57" s="819">
        <f t="shared" si="40"/>
        <v>0</v>
      </c>
      <c r="N57" s="819">
        <f t="shared" si="40"/>
        <v>0</v>
      </c>
      <c r="O57" s="819">
        <f t="shared" si="40"/>
        <v>0</v>
      </c>
      <c r="P57" s="819">
        <f t="shared" si="40"/>
        <v>0</v>
      </c>
      <c r="Q57" s="819">
        <f t="shared" si="40"/>
        <v>0</v>
      </c>
      <c r="R57" s="819">
        <f t="shared" si="40"/>
        <v>0</v>
      </c>
      <c r="S57" s="819">
        <f t="shared" si="37"/>
        <v>0</v>
      </c>
      <c r="T57" s="379"/>
    </row>
    <row r="58" spans="1:20">
      <c r="A58" s="374" t="s">
        <v>1093</v>
      </c>
      <c r="B58" s="361"/>
      <c r="C58" s="397"/>
      <c r="D58" s="361"/>
      <c r="E58" s="379">
        <f t="shared" ref="E58:S58" si="41">SUM(E53:E57)</f>
        <v>0</v>
      </c>
      <c r="F58" s="379">
        <f t="shared" si="41"/>
        <v>0</v>
      </c>
      <c r="G58" s="379">
        <f t="shared" si="41"/>
        <v>0</v>
      </c>
      <c r="H58" s="379">
        <f t="shared" si="41"/>
        <v>0</v>
      </c>
      <c r="I58" s="379">
        <f t="shared" si="41"/>
        <v>0</v>
      </c>
      <c r="J58" s="379">
        <f t="shared" si="41"/>
        <v>0</v>
      </c>
      <c r="K58" s="379">
        <f t="shared" si="41"/>
        <v>0</v>
      </c>
      <c r="L58" s="379">
        <f t="shared" si="41"/>
        <v>0</v>
      </c>
      <c r="M58" s="379">
        <f t="shared" si="41"/>
        <v>0</v>
      </c>
      <c r="N58" s="379">
        <f t="shared" si="41"/>
        <v>0</v>
      </c>
      <c r="O58" s="379">
        <f t="shared" si="41"/>
        <v>0</v>
      </c>
      <c r="P58" s="379">
        <f t="shared" si="41"/>
        <v>0</v>
      </c>
      <c r="Q58" s="379">
        <f t="shared" si="41"/>
        <v>0</v>
      </c>
      <c r="R58" s="379">
        <f t="shared" si="41"/>
        <v>0</v>
      </c>
      <c r="S58" s="379">
        <f t="shared" si="41"/>
        <v>0</v>
      </c>
      <c r="T58" s="379"/>
    </row>
    <row r="59" spans="1:20">
      <c r="A59" s="374"/>
      <c r="B59" s="361"/>
      <c r="C59" s="397"/>
      <c r="D59" s="361"/>
      <c r="E59" s="379"/>
      <c r="F59" s="379"/>
      <c r="G59" s="379"/>
      <c r="H59" s="379"/>
      <c r="I59" s="379"/>
      <c r="J59" s="379"/>
      <c r="K59" s="379"/>
      <c r="L59" s="379"/>
      <c r="M59" s="379"/>
      <c r="N59" s="379"/>
      <c r="O59" s="379"/>
      <c r="P59" s="379"/>
      <c r="Q59" s="379"/>
      <c r="R59" s="379"/>
      <c r="S59" s="379"/>
      <c r="T59" s="379"/>
    </row>
    <row r="60" spans="1:20">
      <c r="A60" s="374" t="s">
        <v>1094</v>
      </c>
      <c r="B60" s="374"/>
      <c r="C60" s="398"/>
      <c r="D60" s="374"/>
      <c r="E60" s="374">
        <f t="shared" ref="E60:S60" si="42">E45-E58</f>
        <v>87354.195600000094</v>
      </c>
      <c r="F60" s="374">
        <f t="shared" si="42"/>
        <v>90032.340600000112</v>
      </c>
      <c r="G60" s="374">
        <f t="shared" si="42"/>
        <v>92503.52077499975</v>
      </c>
      <c r="H60" s="374">
        <f t="shared" si="42"/>
        <v>94752.970223624958</v>
      </c>
      <c r="I60" s="374">
        <f t="shared" si="42"/>
        <v>96765.218091939343</v>
      </c>
      <c r="J60" s="374">
        <f t="shared" si="42"/>
        <v>98524.059194602654</v>
      </c>
      <c r="K60" s="374">
        <f t="shared" si="42"/>
        <v>100012.52349009248</v>
      </c>
      <c r="L60" s="374">
        <f t="shared" si="42"/>
        <v>101212.84436694055</v>
      </c>
      <c r="M60" s="374">
        <f t="shared" si="42"/>
        <v>102106.42569635448</v>
      </c>
      <c r="N60" s="374">
        <f t="shared" si="42"/>
        <v>102673.80760495889</v>
      </c>
      <c r="O60" s="374">
        <f t="shared" si="42"/>
        <v>102894.63091968407</v>
      </c>
      <c r="P60" s="374">
        <f t="shared" si="42"/>
        <v>102747.60023508489</v>
      </c>
      <c r="Q60" s="374">
        <f t="shared" si="42"/>
        <v>102210.44555154897</v>
      </c>
      <c r="R60" s="374">
        <f t="shared" si="42"/>
        <v>101259.8824309489</v>
      </c>
      <c r="S60" s="374">
        <f t="shared" si="42"/>
        <v>99871.570614369004</v>
      </c>
      <c r="T60" s="374"/>
    </row>
    <row r="61" spans="1:20">
      <c r="A61" s="361"/>
      <c r="B61" s="361"/>
      <c r="C61" s="397"/>
      <c r="D61" s="361"/>
      <c r="E61" s="379"/>
      <c r="F61" s="379"/>
      <c r="G61" s="379"/>
      <c r="H61" s="379"/>
      <c r="I61" s="379"/>
      <c r="J61" s="379"/>
      <c r="K61" s="379"/>
      <c r="L61" s="379"/>
      <c r="M61" s="379"/>
      <c r="N61" s="379"/>
      <c r="O61" s="379"/>
      <c r="P61" s="379"/>
      <c r="Q61" s="379"/>
      <c r="R61" s="379"/>
      <c r="S61" s="379"/>
      <c r="T61" s="379"/>
    </row>
    <row r="62" spans="1:20">
      <c r="A62" s="374" t="s">
        <v>1095</v>
      </c>
      <c r="B62" s="374"/>
      <c r="C62" s="821"/>
      <c r="D62" s="374"/>
      <c r="E62" s="400"/>
      <c r="F62" s="820">
        <f t="shared" ref="F62:S62" si="43">F60*$C$62</f>
        <v>0</v>
      </c>
      <c r="G62" s="820">
        <f t="shared" si="43"/>
        <v>0</v>
      </c>
      <c r="H62" s="820">
        <f t="shared" si="43"/>
        <v>0</v>
      </c>
      <c r="I62" s="820">
        <f t="shared" si="43"/>
        <v>0</v>
      </c>
      <c r="J62" s="820">
        <f t="shared" si="43"/>
        <v>0</v>
      </c>
      <c r="K62" s="820">
        <f t="shared" si="43"/>
        <v>0</v>
      </c>
      <c r="L62" s="820">
        <f t="shared" si="43"/>
        <v>0</v>
      </c>
      <c r="M62" s="820">
        <f t="shared" si="43"/>
        <v>0</v>
      </c>
      <c r="N62" s="820">
        <f t="shared" si="43"/>
        <v>0</v>
      </c>
      <c r="O62" s="820">
        <f t="shared" si="43"/>
        <v>0</v>
      </c>
      <c r="P62" s="820">
        <f t="shared" si="43"/>
        <v>0</v>
      </c>
      <c r="Q62" s="820">
        <f t="shared" si="43"/>
        <v>0</v>
      </c>
      <c r="R62" s="820">
        <f t="shared" si="43"/>
        <v>0</v>
      </c>
      <c r="S62" s="820">
        <f t="shared" si="43"/>
        <v>0</v>
      </c>
      <c r="T62" s="374"/>
    </row>
    <row r="63" spans="1:20">
      <c r="A63" s="374"/>
      <c r="B63" s="374"/>
      <c r="C63" s="398"/>
      <c r="D63" s="374"/>
      <c r="E63" s="374"/>
      <c r="F63" s="374"/>
      <c r="G63" s="374"/>
      <c r="H63" s="374"/>
      <c r="I63" s="374"/>
      <c r="J63" s="374"/>
      <c r="K63" s="374"/>
      <c r="L63" s="374"/>
      <c r="M63" s="374"/>
      <c r="N63" s="374"/>
      <c r="O63" s="374"/>
      <c r="P63" s="374"/>
      <c r="Q63" s="374"/>
      <c r="R63" s="374"/>
      <c r="S63" s="374"/>
      <c r="T63" s="374"/>
    </row>
    <row r="64" spans="1:20">
      <c r="A64" s="361"/>
      <c r="B64" s="361"/>
      <c r="C64" s="397"/>
      <c r="D64" s="361"/>
      <c r="E64" s="379"/>
      <c r="F64" s="379"/>
      <c r="G64" s="379"/>
      <c r="H64" s="379"/>
      <c r="I64" s="379"/>
      <c r="J64" s="379"/>
      <c r="K64" s="379"/>
      <c r="L64" s="379"/>
      <c r="M64" s="379"/>
      <c r="N64" s="379"/>
      <c r="O64" s="379"/>
      <c r="P64" s="379"/>
      <c r="Q64" s="379"/>
      <c r="R64" s="379"/>
      <c r="S64" s="379"/>
      <c r="T64" s="379"/>
    </row>
    <row r="65" spans="1:20">
      <c r="A65" s="361" t="s">
        <v>1096</v>
      </c>
      <c r="B65" s="361"/>
      <c r="C65" s="822"/>
      <c r="D65" s="361"/>
      <c r="E65" s="379"/>
      <c r="F65" s="379"/>
      <c r="G65" s="379"/>
      <c r="H65" s="379"/>
      <c r="I65" s="379"/>
      <c r="J65" s="379"/>
      <c r="K65" s="379"/>
      <c r="L65" s="379"/>
      <c r="M65" s="379"/>
      <c r="N65" s="379"/>
      <c r="O65" s="379"/>
      <c r="P65" s="379"/>
      <c r="Q65" s="379"/>
      <c r="R65" s="379"/>
      <c r="S65" s="379"/>
      <c r="T65" s="379"/>
    </row>
    <row r="66" spans="1:20">
      <c r="A66" s="400"/>
      <c r="B66" s="400"/>
      <c r="C66" s="398"/>
      <c r="D66" s="374"/>
      <c r="E66" s="400">
        <f>$E60*$C$65</f>
        <v>0</v>
      </c>
      <c r="F66" s="374">
        <f t="shared" ref="F66:S66" si="44">F60*$C$65</f>
        <v>0</v>
      </c>
      <c r="G66" s="374">
        <f t="shared" si="44"/>
        <v>0</v>
      </c>
      <c r="H66" s="374">
        <f t="shared" si="44"/>
        <v>0</v>
      </c>
      <c r="I66" s="374">
        <f t="shared" si="44"/>
        <v>0</v>
      </c>
      <c r="J66" s="374">
        <f t="shared" si="44"/>
        <v>0</v>
      </c>
      <c r="K66" s="374">
        <f t="shared" si="44"/>
        <v>0</v>
      </c>
      <c r="L66" s="374">
        <f t="shared" si="44"/>
        <v>0</v>
      </c>
      <c r="M66" s="374">
        <f t="shared" si="44"/>
        <v>0</v>
      </c>
      <c r="N66" s="374">
        <f t="shared" si="44"/>
        <v>0</v>
      </c>
      <c r="O66" s="374">
        <f t="shared" si="44"/>
        <v>0</v>
      </c>
      <c r="P66" s="374">
        <f t="shared" si="44"/>
        <v>0</v>
      </c>
      <c r="Q66" s="374">
        <f t="shared" si="44"/>
        <v>0</v>
      </c>
      <c r="R66" s="374">
        <f t="shared" si="44"/>
        <v>0</v>
      </c>
      <c r="S66" s="374">
        <f t="shared" si="44"/>
        <v>0</v>
      </c>
      <c r="T66" s="374"/>
    </row>
    <row r="67" spans="1:20">
      <c r="A67" s="401"/>
      <c r="B67" s="401"/>
      <c r="C67" s="381"/>
      <c r="D67" s="379"/>
      <c r="E67" s="401">
        <f>$E60*$C$65</f>
        <v>0</v>
      </c>
      <c r="F67" s="823">
        <f t="shared" ref="F67:S67" si="45">F60*$C$65</f>
        <v>0</v>
      </c>
      <c r="G67" s="823">
        <f t="shared" si="45"/>
        <v>0</v>
      </c>
      <c r="H67" s="823">
        <f t="shared" si="45"/>
        <v>0</v>
      </c>
      <c r="I67" s="823">
        <f t="shared" si="45"/>
        <v>0</v>
      </c>
      <c r="J67" s="823">
        <f t="shared" si="45"/>
        <v>0</v>
      </c>
      <c r="K67" s="823">
        <f t="shared" si="45"/>
        <v>0</v>
      </c>
      <c r="L67" s="823">
        <f t="shared" si="45"/>
        <v>0</v>
      </c>
      <c r="M67" s="823">
        <f t="shared" si="45"/>
        <v>0</v>
      </c>
      <c r="N67" s="823">
        <f t="shared" si="45"/>
        <v>0</v>
      </c>
      <c r="O67" s="823">
        <f t="shared" si="45"/>
        <v>0</v>
      </c>
      <c r="P67" s="823">
        <f t="shared" si="45"/>
        <v>0</v>
      </c>
      <c r="Q67" s="823">
        <f t="shared" si="45"/>
        <v>0</v>
      </c>
      <c r="R67" s="823">
        <f t="shared" si="45"/>
        <v>0</v>
      </c>
      <c r="S67" s="823">
        <f t="shared" si="45"/>
        <v>0</v>
      </c>
      <c r="T67" s="379"/>
    </row>
    <row r="68" spans="1:20">
      <c r="A68" s="400"/>
      <c r="B68" s="400"/>
      <c r="C68" s="398"/>
      <c r="D68" s="374"/>
      <c r="E68" s="400"/>
      <c r="F68" s="823">
        <f t="shared" ref="F68:S68" si="46">F60*$C$65</f>
        <v>0</v>
      </c>
      <c r="G68" s="823">
        <f t="shared" si="46"/>
        <v>0</v>
      </c>
      <c r="H68" s="823">
        <f t="shared" si="46"/>
        <v>0</v>
      </c>
      <c r="I68" s="823">
        <f t="shared" si="46"/>
        <v>0</v>
      </c>
      <c r="J68" s="823">
        <f t="shared" si="46"/>
        <v>0</v>
      </c>
      <c r="K68" s="823">
        <f t="shared" si="46"/>
        <v>0</v>
      </c>
      <c r="L68" s="823">
        <f t="shared" si="46"/>
        <v>0</v>
      </c>
      <c r="M68" s="823">
        <f t="shared" si="46"/>
        <v>0</v>
      </c>
      <c r="N68" s="823">
        <f t="shared" si="46"/>
        <v>0</v>
      </c>
      <c r="O68" s="823">
        <f t="shared" si="46"/>
        <v>0</v>
      </c>
      <c r="P68" s="823">
        <f t="shared" si="46"/>
        <v>0</v>
      </c>
      <c r="Q68" s="823">
        <f t="shared" si="46"/>
        <v>0</v>
      </c>
      <c r="R68" s="823">
        <f t="shared" si="46"/>
        <v>0</v>
      </c>
      <c r="S68" s="823">
        <f t="shared" si="46"/>
        <v>0</v>
      </c>
      <c r="T68" s="374"/>
    </row>
    <row r="69" spans="1:20">
      <c r="A69" s="401"/>
      <c r="B69" s="401"/>
      <c r="C69" s="381"/>
      <c r="D69" s="379"/>
      <c r="E69" s="405"/>
      <c r="F69" s="824">
        <f t="shared" ref="F69:S69" si="47">F60*$C$65</f>
        <v>0</v>
      </c>
      <c r="G69" s="824">
        <f t="shared" si="47"/>
        <v>0</v>
      </c>
      <c r="H69" s="824">
        <f t="shared" si="47"/>
        <v>0</v>
      </c>
      <c r="I69" s="824">
        <f t="shared" si="47"/>
        <v>0</v>
      </c>
      <c r="J69" s="824">
        <f t="shared" si="47"/>
        <v>0</v>
      </c>
      <c r="K69" s="824">
        <f t="shared" si="47"/>
        <v>0</v>
      </c>
      <c r="L69" s="824">
        <f t="shared" si="47"/>
        <v>0</v>
      </c>
      <c r="M69" s="824">
        <f t="shared" si="47"/>
        <v>0</v>
      </c>
      <c r="N69" s="824">
        <f t="shared" si="47"/>
        <v>0</v>
      </c>
      <c r="O69" s="824">
        <f t="shared" si="47"/>
        <v>0</v>
      </c>
      <c r="P69" s="824">
        <f t="shared" si="47"/>
        <v>0</v>
      </c>
      <c r="Q69" s="824">
        <f t="shared" si="47"/>
        <v>0</v>
      </c>
      <c r="R69" s="824">
        <f t="shared" si="47"/>
        <v>0</v>
      </c>
      <c r="S69" s="824">
        <f t="shared" si="47"/>
        <v>0</v>
      </c>
      <c r="T69" s="379"/>
    </row>
    <row r="70" spans="1:20">
      <c r="A70" s="820" t="s">
        <v>1093</v>
      </c>
      <c r="B70" s="379"/>
      <c r="C70" s="381"/>
      <c r="D70" s="379"/>
      <c r="E70" s="374">
        <f t="shared" ref="E70:S70" si="48">SUM(E66:E69)</f>
        <v>0</v>
      </c>
      <c r="F70" s="374">
        <f t="shared" si="48"/>
        <v>0</v>
      </c>
      <c r="G70" s="374">
        <f t="shared" si="48"/>
        <v>0</v>
      </c>
      <c r="H70" s="374">
        <f t="shared" si="48"/>
        <v>0</v>
      </c>
      <c r="I70" s="374">
        <f t="shared" si="48"/>
        <v>0</v>
      </c>
      <c r="J70" s="374">
        <f t="shared" si="48"/>
        <v>0</v>
      </c>
      <c r="K70" s="374">
        <f t="shared" si="48"/>
        <v>0</v>
      </c>
      <c r="L70" s="374">
        <f t="shared" si="48"/>
        <v>0</v>
      </c>
      <c r="M70" s="374">
        <f t="shared" si="48"/>
        <v>0</v>
      </c>
      <c r="N70" s="374">
        <f t="shared" si="48"/>
        <v>0</v>
      </c>
      <c r="O70" s="374">
        <f t="shared" si="48"/>
        <v>0</v>
      </c>
      <c r="P70" s="374">
        <f t="shared" si="48"/>
        <v>0</v>
      </c>
      <c r="Q70" s="374">
        <f t="shared" si="48"/>
        <v>0</v>
      </c>
      <c r="R70" s="374">
        <f t="shared" si="48"/>
        <v>0</v>
      </c>
      <c r="S70" s="374">
        <f t="shared" si="48"/>
        <v>0</v>
      </c>
      <c r="T70" s="379"/>
    </row>
    <row r="71" spans="1:20">
      <c r="A71" s="379"/>
      <c r="B71" s="379"/>
      <c r="C71" s="381"/>
      <c r="D71" s="379"/>
      <c r="E71" s="379"/>
      <c r="F71" s="379"/>
      <c r="G71" s="379"/>
      <c r="H71" s="379"/>
      <c r="I71" s="379"/>
      <c r="J71" s="379"/>
      <c r="K71" s="379"/>
      <c r="L71" s="379"/>
      <c r="M71" s="379"/>
      <c r="N71" s="379"/>
      <c r="O71" s="379"/>
      <c r="P71" s="379"/>
      <c r="Q71" s="379"/>
      <c r="R71" s="379"/>
      <c r="S71" s="379"/>
      <c r="T71" s="379"/>
    </row>
    <row r="72" spans="1:20">
      <c r="A72" s="820" t="s">
        <v>1937</v>
      </c>
      <c r="B72" s="379"/>
      <c r="C72" s="381"/>
      <c r="D72" s="379"/>
      <c r="E72" s="374">
        <f t="shared" ref="E72:S72" si="49">E60-E62-E70</f>
        <v>87354.195600000094</v>
      </c>
      <c r="F72" s="374">
        <f t="shared" si="49"/>
        <v>90032.340600000112</v>
      </c>
      <c r="G72" s="374">
        <f t="shared" si="49"/>
        <v>92503.52077499975</v>
      </c>
      <c r="H72" s="374">
        <f t="shared" si="49"/>
        <v>94752.970223624958</v>
      </c>
      <c r="I72" s="374">
        <f t="shared" si="49"/>
        <v>96765.218091939343</v>
      </c>
      <c r="J72" s="374">
        <f t="shared" si="49"/>
        <v>98524.059194602654</v>
      </c>
      <c r="K72" s="374">
        <f t="shared" si="49"/>
        <v>100012.52349009248</v>
      </c>
      <c r="L72" s="374">
        <f t="shared" si="49"/>
        <v>101212.84436694055</v>
      </c>
      <c r="M72" s="374">
        <f t="shared" si="49"/>
        <v>102106.42569635448</v>
      </c>
      <c r="N72" s="374">
        <f t="shared" si="49"/>
        <v>102673.80760495889</v>
      </c>
      <c r="O72" s="374">
        <f t="shared" si="49"/>
        <v>102894.63091968407</v>
      </c>
      <c r="P72" s="374">
        <f t="shared" si="49"/>
        <v>102747.60023508489</v>
      </c>
      <c r="Q72" s="374">
        <f t="shared" si="49"/>
        <v>102210.44555154897</v>
      </c>
      <c r="R72" s="374">
        <f t="shared" si="49"/>
        <v>101259.8824309489</v>
      </c>
      <c r="S72" s="374">
        <f t="shared" si="49"/>
        <v>99871.570614369004</v>
      </c>
      <c r="T72" s="379"/>
    </row>
    <row r="73" spans="1:20">
      <c r="A73" s="379"/>
      <c r="B73" s="379"/>
      <c r="C73" s="381"/>
      <c r="D73" s="379"/>
      <c r="E73" s="374"/>
      <c r="F73" s="379"/>
      <c r="G73" s="379"/>
      <c r="H73" s="379"/>
      <c r="I73" s="379"/>
      <c r="J73" s="379"/>
      <c r="K73" s="379"/>
      <c r="L73" s="379"/>
      <c r="M73" s="379"/>
      <c r="N73" s="379"/>
      <c r="O73" s="379"/>
      <c r="P73" s="379"/>
      <c r="Q73" s="379"/>
      <c r="R73" s="379"/>
      <c r="S73" s="379"/>
      <c r="T73" s="379"/>
    </row>
    <row r="74" spans="1:20">
      <c r="A74" s="379"/>
      <c r="B74" s="379"/>
      <c r="C74" s="381"/>
      <c r="D74" s="379"/>
      <c r="E74" s="374"/>
      <c r="F74" s="379"/>
      <c r="G74" s="379"/>
      <c r="H74" s="379"/>
      <c r="I74" s="379"/>
      <c r="J74" s="379"/>
      <c r="K74" s="379"/>
      <c r="L74" s="379"/>
      <c r="M74" s="379"/>
      <c r="N74" s="379"/>
      <c r="O74" s="379"/>
      <c r="P74" s="379"/>
      <c r="Q74" s="379"/>
      <c r="R74" s="379"/>
      <c r="S74" s="379"/>
      <c r="T74" s="379"/>
    </row>
    <row r="75" spans="1:20">
      <c r="A75" s="379" t="s">
        <v>1360</v>
      </c>
      <c r="B75" s="379"/>
      <c r="C75" s="381"/>
      <c r="D75" s="379"/>
      <c r="E75" s="379"/>
      <c r="F75" s="379"/>
      <c r="G75" s="379"/>
      <c r="H75" s="379"/>
      <c r="I75" s="379"/>
      <c r="J75" s="379"/>
      <c r="K75" s="379"/>
      <c r="L75" s="379"/>
      <c r="M75" s="379"/>
      <c r="N75" s="379"/>
      <c r="O75" s="379"/>
      <c r="P75" s="379"/>
      <c r="Q75" s="379"/>
      <c r="R75" s="379"/>
      <c r="S75" s="379"/>
      <c r="T75" s="379"/>
    </row>
    <row r="76" spans="1:20">
      <c r="A76" s="379"/>
      <c r="B76" s="379"/>
      <c r="C76" s="381"/>
      <c r="D76" s="379"/>
      <c r="E76" s="379"/>
      <c r="F76" s="379"/>
      <c r="G76" s="379"/>
      <c r="H76" s="379"/>
      <c r="I76" s="379"/>
      <c r="J76" s="379"/>
      <c r="K76" s="379"/>
      <c r="L76" s="379"/>
      <c r="M76" s="379"/>
      <c r="N76" s="379"/>
      <c r="O76" s="379"/>
      <c r="P76" s="379"/>
      <c r="Q76" s="379"/>
      <c r="R76" s="379"/>
      <c r="S76" s="379"/>
      <c r="T76" s="379"/>
    </row>
    <row r="77" spans="1:20" ht="30" customHeight="1">
      <c r="A77" s="379" t="s">
        <v>1097</v>
      </c>
      <c r="B77" s="967"/>
      <c r="C77" s="967"/>
      <c r="D77" s="967"/>
      <c r="E77" s="967"/>
      <c r="F77" s="967"/>
      <c r="G77" s="967"/>
      <c r="H77" s="967"/>
      <c r="I77" s="967"/>
      <c r="J77" s="967"/>
      <c r="K77" s="967"/>
      <c r="L77" s="967"/>
      <c r="M77" s="967"/>
      <c r="N77" s="967"/>
      <c r="O77" s="967"/>
      <c r="P77" s="967"/>
      <c r="Q77" s="967"/>
      <c r="R77" s="967"/>
      <c r="S77" s="967"/>
      <c r="T77" s="402"/>
    </row>
    <row r="78" spans="1:20">
      <c r="A78" s="379"/>
      <c r="B78" s="379"/>
      <c r="C78" s="381"/>
      <c r="D78" s="379"/>
      <c r="E78" s="379"/>
      <c r="F78" s="379"/>
      <c r="G78" s="379"/>
      <c r="H78" s="379"/>
      <c r="I78" s="379"/>
      <c r="J78" s="379"/>
      <c r="K78" s="379"/>
      <c r="L78" s="379"/>
      <c r="M78" s="379"/>
      <c r="N78" s="379"/>
      <c r="O78" s="379"/>
      <c r="P78" s="379"/>
      <c r="Q78" s="379"/>
      <c r="R78" s="379"/>
      <c r="S78" s="379"/>
      <c r="T78" s="379"/>
    </row>
    <row r="79" spans="1:20">
      <c r="C79" s="381"/>
    </row>
    <row r="80" spans="1:20">
      <c r="C80" s="381"/>
    </row>
    <row r="81" spans="3:3">
      <c r="C81" s="381"/>
    </row>
    <row r="82" spans="3:3">
      <c r="C82" s="381"/>
    </row>
    <row r="83" spans="3:3">
      <c r="C83" s="381"/>
    </row>
    <row r="84" spans="3:3">
      <c r="C84" s="381"/>
    </row>
    <row r="85" spans="3:3">
      <c r="C85" s="381"/>
    </row>
    <row r="86" spans="3:3">
      <c r="C86" s="381"/>
    </row>
    <row r="87" spans="3:3">
      <c r="C87" s="381"/>
    </row>
    <row r="88" spans="3:3">
      <c r="C88" s="381"/>
    </row>
    <row r="89" spans="3:3">
      <c r="C89" s="381"/>
    </row>
    <row r="90" spans="3:3">
      <c r="C90" s="381"/>
    </row>
    <row r="91" spans="3:3">
      <c r="C91" s="381"/>
    </row>
    <row r="92" spans="3:3">
      <c r="C92" s="381"/>
    </row>
    <row r="93" spans="3:3">
      <c r="C93" s="381"/>
    </row>
    <row r="94" spans="3:3">
      <c r="C94" s="381"/>
    </row>
    <row r="95" spans="3:3">
      <c r="C95" s="381"/>
    </row>
    <row r="96" spans="3:3">
      <c r="C96" s="381"/>
    </row>
    <row r="97" spans="3:3">
      <c r="C97" s="381"/>
    </row>
    <row r="98" spans="3:3">
      <c r="C98" s="381"/>
    </row>
    <row r="99" spans="3:3">
      <c r="C99" s="381"/>
    </row>
    <row r="100" spans="3:3">
      <c r="C100" s="381"/>
    </row>
    <row r="101" spans="3:3">
      <c r="C101" s="381"/>
    </row>
    <row r="102" spans="3:3">
      <c r="C102" s="381"/>
    </row>
    <row r="103" spans="3:3">
      <c r="C103" s="381"/>
    </row>
    <row r="104" spans="3:3">
      <c r="C104" s="381"/>
    </row>
    <row r="105" spans="3:3">
      <c r="C105" s="381"/>
    </row>
    <row r="106" spans="3:3">
      <c r="C106" s="381"/>
    </row>
    <row r="107" spans="3:3">
      <c r="C107" s="381"/>
    </row>
    <row r="108" spans="3:3">
      <c r="C108" s="381"/>
    </row>
    <row r="109" spans="3:3">
      <c r="C109" s="381"/>
    </row>
    <row r="110" spans="3:3">
      <c r="C110" s="381"/>
    </row>
    <row r="111" spans="3:3">
      <c r="C111" s="381"/>
    </row>
    <row r="112" spans="3:3">
      <c r="C112" s="381"/>
    </row>
    <row r="113" spans="3:3">
      <c r="C113" s="381"/>
    </row>
    <row r="114" spans="3:3">
      <c r="C114" s="381"/>
    </row>
    <row r="115" spans="3:3">
      <c r="C115" s="381"/>
    </row>
    <row r="116" spans="3:3">
      <c r="C116" s="381"/>
    </row>
    <row r="117" spans="3:3">
      <c r="C117" s="381"/>
    </row>
    <row r="118" spans="3:3">
      <c r="C118" s="381"/>
    </row>
    <row r="119" spans="3:3">
      <c r="C119" s="381"/>
    </row>
    <row r="120" spans="3:3">
      <c r="C120" s="381"/>
    </row>
    <row r="121" spans="3:3">
      <c r="C121" s="381"/>
    </row>
    <row r="122" spans="3:3">
      <c r="C122" s="381"/>
    </row>
    <row r="123" spans="3:3">
      <c r="C123" s="381"/>
    </row>
    <row r="124" spans="3:3">
      <c r="C124" s="381"/>
    </row>
    <row r="125" spans="3:3">
      <c r="C125" s="381"/>
    </row>
    <row r="126" spans="3:3">
      <c r="C126" s="381"/>
    </row>
    <row r="127" spans="3:3">
      <c r="C127" s="381"/>
    </row>
    <row r="128" spans="3:3">
      <c r="C128" s="381"/>
    </row>
    <row r="129" spans="3:3">
      <c r="C129" s="381"/>
    </row>
    <row r="130" spans="3:3">
      <c r="C130" s="381"/>
    </row>
    <row r="131" spans="3:3">
      <c r="C131" s="381"/>
    </row>
    <row r="132" spans="3:3">
      <c r="C132" s="381"/>
    </row>
    <row r="133" spans="3:3">
      <c r="C133" s="381"/>
    </row>
    <row r="134" spans="3:3">
      <c r="C134" s="381"/>
    </row>
    <row r="135" spans="3:3">
      <c r="C135" s="381"/>
    </row>
    <row r="136" spans="3:3">
      <c r="C136" s="381"/>
    </row>
    <row r="137" spans="3:3">
      <c r="C137" s="381"/>
    </row>
    <row r="138" spans="3:3">
      <c r="C138" s="381"/>
    </row>
    <row r="139" spans="3:3">
      <c r="C139" s="381"/>
    </row>
    <row r="140" spans="3:3">
      <c r="C140" s="381"/>
    </row>
    <row r="141" spans="3:3">
      <c r="C141" s="381"/>
    </row>
    <row r="142" spans="3:3">
      <c r="C142" s="381"/>
    </row>
    <row r="143" spans="3:3">
      <c r="C143" s="381"/>
    </row>
    <row r="144" spans="3:3">
      <c r="C144" s="381"/>
    </row>
    <row r="145" spans="3:3">
      <c r="C145" s="381"/>
    </row>
    <row r="146" spans="3:3">
      <c r="C146" s="381"/>
    </row>
    <row r="147" spans="3:3">
      <c r="C147" s="381"/>
    </row>
    <row r="148" spans="3:3">
      <c r="C148" s="381"/>
    </row>
    <row r="149" spans="3:3">
      <c r="C149" s="381"/>
    </row>
    <row r="150" spans="3:3">
      <c r="C150" s="381"/>
    </row>
    <row r="151" spans="3:3">
      <c r="C151" s="381"/>
    </row>
    <row r="152" spans="3:3">
      <c r="C152" s="381"/>
    </row>
    <row r="153" spans="3:3">
      <c r="C153" s="381"/>
    </row>
    <row r="154" spans="3:3">
      <c r="C154" s="381"/>
    </row>
    <row r="155" spans="3:3">
      <c r="C155" s="381"/>
    </row>
    <row r="156" spans="3:3">
      <c r="C156" s="381"/>
    </row>
    <row r="157" spans="3:3">
      <c r="C157" s="381"/>
    </row>
    <row r="158" spans="3:3">
      <c r="C158" s="381"/>
    </row>
    <row r="159" spans="3:3">
      <c r="C159" s="381"/>
    </row>
    <row r="160" spans="3:3">
      <c r="C160" s="381"/>
    </row>
    <row r="161" spans="3:3">
      <c r="C161" s="381"/>
    </row>
    <row r="162" spans="3:3">
      <c r="C162" s="381"/>
    </row>
    <row r="163" spans="3:3">
      <c r="C163" s="381"/>
    </row>
    <row r="164" spans="3:3">
      <c r="C164" s="381"/>
    </row>
    <row r="165" spans="3:3">
      <c r="C165" s="381"/>
    </row>
    <row r="166" spans="3:3">
      <c r="C166" s="381"/>
    </row>
    <row r="167" spans="3:3">
      <c r="C167" s="381"/>
    </row>
    <row r="168" spans="3:3">
      <c r="C168" s="381"/>
    </row>
    <row r="169" spans="3:3">
      <c r="C169" s="381"/>
    </row>
    <row r="170" spans="3:3">
      <c r="C170" s="381"/>
    </row>
    <row r="171" spans="3:3">
      <c r="C171" s="381"/>
    </row>
    <row r="172" spans="3:3">
      <c r="C172" s="381"/>
    </row>
    <row r="173" spans="3:3">
      <c r="C173" s="381"/>
    </row>
    <row r="174" spans="3:3">
      <c r="C174" s="381"/>
    </row>
    <row r="175" spans="3:3">
      <c r="C175" s="381"/>
    </row>
    <row r="176" spans="3:3">
      <c r="C176" s="381"/>
    </row>
    <row r="177" spans="3:3">
      <c r="C177" s="381"/>
    </row>
    <row r="178" spans="3:3">
      <c r="C178" s="381"/>
    </row>
    <row r="179" spans="3:3">
      <c r="C179" s="381"/>
    </row>
    <row r="180" spans="3:3">
      <c r="C180" s="381"/>
    </row>
    <row r="181" spans="3:3">
      <c r="C181" s="381"/>
    </row>
    <row r="182" spans="3:3">
      <c r="C182" s="381"/>
    </row>
    <row r="183" spans="3:3">
      <c r="C183" s="381"/>
    </row>
    <row r="184" spans="3:3">
      <c r="C184" s="381"/>
    </row>
    <row r="185" spans="3:3">
      <c r="C185" s="381"/>
    </row>
    <row r="186" spans="3:3">
      <c r="C186" s="381"/>
    </row>
    <row r="187" spans="3:3">
      <c r="C187" s="381"/>
    </row>
    <row r="188" spans="3:3">
      <c r="C188" s="381"/>
    </row>
    <row r="189" spans="3:3">
      <c r="C189" s="381"/>
    </row>
    <row r="190" spans="3:3">
      <c r="C190" s="381"/>
    </row>
    <row r="191" spans="3:3">
      <c r="C191" s="381"/>
    </row>
    <row r="192" spans="3:3">
      <c r="C192" s="381"/>
    </row>
    <row r="193" spans="3:3">
      <c r="C193" s="381"/>
    </row>
    <row r="194" spans="3:3">
      <c r="C194" s="381"/>
    </row>
    <row r="195" spans="3:3">
      <c r="C195" s="381"/>
    </row>
    <row r="196" spans="3:3">
      <c r="C196" s="381"/>
    </row>
    <row r="197" spans="3:3">
      <c r="C197" s="381"/>
    </row>
    <row r="198" spans="3:3">
      <c r="C198" s="381"/>
    </row>
    <row r="199" spans="3:3">
      <c r="C199" s="381"/>
    </row>
    <row r="200" spans="3:3">
      <c r="C200" s="381"/>
    </row>
    <row r="201" spans="3:3">
      <c r="C201" s="381"/>
    </row>
    <row r="202" spans="3:3">
      <c r="C202" s="381"/>
    </row>
    <row r="203" spans="3:3">
      <c r="C203" s="381"/>
    </row>
    <row r="204" spans="3:3">
      <c r="C204" s="381"/>
    </row>
    <row r="205" spans="3:3">
      <c r="C205" s="381"/>
    </row>
    <row r="206" spans="3:3">
      <c r="C206" s="381"/>
    </row>
    <row r="207" spans="3:3">
      <c r="C207" s="381"/>
    </row>
    <row r="208" spans="3:3">
      <c r="C208" s="381"/>
    </row>
    <row r="209" spans="3:3">
      <c r="C209" s="381"/>
    </row>
    <row r="210" spans="3:3">
      <c r="C210" s="381"/>
    </row>
    <row r="211" spans="3:3">
      <c r="C211" s="381"/>
    </row>
    <row r="212" spans="3:3">
      <c r="C212" s="381"/>
    </row>
    <row r="213" spans="3:3">
      <c r="C213" s="381"/>
    </row>
    <row r="214" spans="3:3">
      <c r="C214" s="381"/>
    </row>
    <row r="215" spans="3:3">
      <c r="C215" s="381"/>
    </row>
    <row r="216" spans="3:3">
      <c r="C216" s="381"/>
    </row>
    <row r="217" spans="3:3">
      <c r="C217" s="381"/>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R30 S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zoomScale="120" zoomScaleNormal="120" workbookViewId="0">
      <selection activeCell="M13" sqref="M13"/>
    </sheetView>
  </sheetViews>
  <sheetFormatPr defaultColWidth="9.218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21875" style="288"/>
    <col min="16384" max="16384" width="0.44140625" style="288" customWidth="1"/>
  </cols>
  <sheetData>
    <row r="1" spans="1:9">
      <c r="A1" s="1959" t="s">
        <v>1168</v>
      </c>
      <c r="B1" s="1959"/>
      <c r="C1" s="1959"/>
      <c r="D1" s="1959"/>
      <c r="E1" s="1959"/>
      <c r="F1" s="1959"/>
      <c r="G1" s="1959"/>
      <c r="H1" s="1959"/>
      <c r="I1" s="1959"/>
    </row>
    <row r="2" spans="1:9">
      <c r="A2" s="598"/>
      <c r="B2" s="598"/>
      <c r="C2" s="598"/>
      <c r="D2" s="598"/>
      <c r="E2" s="598"/>
      <c r="F2" s="598"/>
      <c r="G2" s="598"/>
      <c r="H2" s="598"/>
      <c r="I2" s="598"/>
    </row>
    <row r="3" spans="1:9" ht="105" customHeight="1">
      <c r="A3" s="599" t="s">
        <v>1161</v>
      </c>
      <c r="B3" s="599" t="s">
        <v>1361</v>
      </c>
      <c r="C3" s="468" t="s">
        <v>1163</v>
      </c>
      <c r="D3" s="598"/>
      <c r="E3" s="468" t="s">
        <v>1164</v>
      </c>
      <c r="F3" s="599" t="s">
        <v>1165</v>
      </c>
      <c r="G3" s="600"/>
      <c r="H3" s="599" t="s">
        <v>1162</v>
      </c>
      <c r="I3" s="599" t="s">
        <v>1166</v>
      </c>
    </row>
    <row r="4" spans="1:9">
      <c r="A4" s="601" t="str">
        <f>Application!$B695</f>
        <v>1 Bedroom</v>
      </c>
      <c r="B4" s="943">
        <f>Application!$G695</f>
        <v>1</v>
      </c>
      <c r="C4" s="601">
        <f>Application!$O695</f>
        <v>677</v>
      </c>
      <c r="D4" s="602"/>
      <c r="E4" s="941">
        <v>1708</v>
      </c>
      <c r="F4" s="601">
        <f>$E4*$B4</f>
        <v>1708</v>
      </c>
      <c r="G4" s="602"/>
      <c r="H4" s="601">
        <f>IF($E4=0,0,MAX($E4-$C4,0))</f>
        <v>1031</v>
      </c>
      <c r="I4" s="601">
        <f>IF($H4=0,0,($H4*$B4))</f>
        <v>1031</v>
      </c>
    </row>
    <row r="5" spans="1:9">
      <c r="A5" s="601" t="str">
        <f>Application!$B696</f>
        <v>2 Bedrooms</v>
      </c>
      <c r="B5" s="942">
        <f>Application!$G696</f>
        <v>1</v>
      </c>
      <c r="C5" s="601">
        <f>Application!$O696</f>
        <v>797</v>
      </c>
      <c r="D5" s="602"/>
      <c r="E5" s="941">
        <v>2241</v>
      </c>
      <c r="F5" s="601">
        <f t="shared" ref="F5:F38" si="0">$E5*$B5</f>
        <v>2241</v>
      </c>
      <c r="G5" s="602"/>
      <c r="H5" s="601">
        <f t="shared" ref="H5:H38" si="1">IF($E5=0,0,MAX($E5-$C5,0))</f>
        <v>1444</v>
      </c>
      <c r="I5" s="601">
        <f t="shared" ref="I5:I38" si="2">IF($H5=0,0,($H5*$B5))</f>
        <v>1444</v>
      </c>
    </row>
    <row r="6" spans="1:9">
      <c r="A6" s="601" t="str">
        <f>Application!$B697</f>
        <v>1 Bedroom</v>
      </c>
      <c r="B6" s="942">
        <f>Application!$G697</f>
        <v>4</v>
      </c>
      <c r="C6" s="601">
        <f>Application!$O697</f>
        <v>677</v>
      </c>
      <c r="D6" s="602"/>
      <c r="E6" s="941"/>
      <c r="F6" s="601">
        <f t="shared" si="0"/>
        <v>0</v>
      </c>
      <c r="G6" s="602"/>
      <c r="H6" s="601">
        <f t="shared" si="1"/>
        <v>0</v>
      </c>
      <c r="I6" s="601">
        <f t="shared" si="2"/>
        <v>0</v>
      </c>
    </row>
    <row r="7" spans="1:9">
      <c r="A7" s="601" t="str">
        <f>Application!$B698</f>
        <v>2 Bedrooms</v>
      </c>
      <c r="B7" s="942">
        <f>Application!$G698</f>
        <v>3</v>
      </c>
      <c r="C7" s="601">
        <f>Application!$O698</f>
        <v>797</v>
      </c>
      <c r="D7" s="602"/>
      <c r="E7" s="941"/>
      <c r="F7" s="601">
        <f t="shared" si="0"/>
        <v>0</v>
      </c>
      <c r="G7" s="602"/>
      <c r="H7" s="601">
        <f t="shared" si="1"/>
        <v>0</v>
      </c>
      <c r="I7" s="601">
        <f t="shared" si="2"/>
        <v>0</v>
      </c>
    </row>
    <row r="8" spans="1:9">
      <c r="A8" s="601" t="str">
        <f>Application!$B699</f>
        <v>3 Bedrooms</v>
      </c>
      <c r="B8" s="942">
        <f>Application!$G699</f>
        <v>2</v>
      </c>
      <c r="C8" s="601">
        <f>Application!$O699</f>
        <v>915</v>
      </c>
      <c r="D8" s="602"/>
      <c r="E8" s="941"/>
      <c r="F8" s="601">
        <f t="shared" si="0"/>
        <v>0</v>
      </c>
      <c r="G8" s="602"/>
      <c r="H8" s="601">
        <f t="shared" si="1"/>
        <v>0</v>
      </c>
      <c r="I8" s="601">
        <f t="shared" si="2"/>
        <v>0</v>
      </c>
    </row>
    <row r="9" spans="1:9">
      <c r="A9" s="601" t="str">
        <f>Application!$B700</f>
        <v>1 Bedroom</v>
      </c>
      <c r="B9" s="942">
        <f>Application!$G700</f>
        <v>3</v>
      </c>
      <c r="C9" s="601">
        <f>Application!$O700</f>
        <v>937</v>
      </c>
      <c r="D9" s="602"/>
      <c r="E9" s="941">
        <f>+E4</f>
        <v>1708</v>
      </c>
      <c r="F9" s="601">
        <f t="shared" si="0"/>
        <v>5124</v>
      </c>
      <c r="G9" s="602"/>
      <c r="H9" s="601">
        <f t="shared" si="1"/>
        <v>771</v>
      </c>
      <c r="I9" s="601">
        <f t="shared" si="2"/>
        <v>2313</v>
      </c>
    </row>
    <row r="10" spans="1:9">
      <c r="A10" s="601" t="str">
        <f>Application!$B701</f>
        <v>2 Bedrooms</v>
      </c>
      <c r="B10" s="942">
        <f>Application!$G701</f>
        <v>2</v>
      </c>
      <c r="C10" s="601">
        <f>Application!$O701</f>
        <v>1109</v>
      </c>
      <c r="D10" s="602"/>
      <c r="E10" s="941">
        <f>+E5</f>
        <v>2241</v>
      </c>
      <c r="F10" s="601">
        <f t="shared" si="0"/>
        <v>4482</v>
      </c>
      <c r="G10" s="602"/>
      <c r="H10" s="601">
        <f t="shared" si="1"/>
        <v>1132</v>
      </c>
      <c r="I10" s="601">
        <f t="shared" si="2"/>
        <v>2264</v>
      </c>
    </row>
    <row r="11" spans="1:9">
      <c r="A11" s="601" t="str">
        <f>Application!$B702</f>
        <v>3 Bedrooms</v>
      </c>
      <c r="B11" s="942">
        <f>Application!$G702</f>
        <v>1</v>
      </c>
      <c r="C11" s="601">
        <f>Application!$O702</f>
        <v>1275</v>
      </c>
      <c r="D11" s="602"/>
      <c r="E11" s="941"/>
      <c r="F11" s="601">
        <f t="shared" si="0"/>
        <v>0</v>
      </c>
      <c r="G11" s="602"/>
      <c r="H11" s="601">
        <f t="shared" si="1"/>
        <v>0</v>
      </c>
      <c r="I11" s="601">
        <f t="shared" si="2"/>
        <v>0</v>
      </c>
    </row>
    <row r="12" spans="1:9">
      <c r="A12" s="601" t="str">
        <f>Application!$B703</f>
        <v>1 Bedroom</v>
      </c>
      <c r="B12" s="942">
        <f>Application!$G703</f>
        <v>5</v>
      </c>
      <c r="C12" s="601">
        <f>Application!$O703</f>
        <v>937</v>
      </c>
      <c r="D12" s="602"/>
      <c r="E12" s="941"/>
      <c r="F12" s="601">
        <f t="shared" si="0"/>
        <v>0</v>
      </c>
      <c r="G12" s="602"/>
      <c r="H12" s="601">
        <f t="shared" si="1"/>
        <v>0</v>
      </c>
      <c r="I12" s="601">
        <f t="shared" si="2"/>
        <v>0</v>
      </c>
    </row>
    <row r="13" spans="1:9">
      <c r="A13" s="601" t="str">
        <f>Application!$B704</f>
        <v>1 Bedroom</v>
      </c>
      <c r="B13" s="942">
        <f>Application!$G704</f>
        <v>11</v>
      </c>
      <c r="C13" s="601">
        <f>Application!$O704</f>
        <v>1196</v>
      </c>
      <c r="D13" s="602"/>
      <c r="E13" s="941">
        <f>+E4</f>
        <v>1708</v>
      </c>
      <c r="F13" s="601">
        <f t="shared" si="0"/>
        <v>18788</v>
      </c>
      <c r="G13" s="602"/>
      <c r="H13" s="601">
        <f t="shared" si="1"/>
        <v>512</v>
      </c>
      <c r="I13" s="601">
        <f t="shared" si="2"/>
        <v>5632</v>
      </c>
    </row>
    <row r="14" spans="1:9">
      <c r="A14" s="601" t="str">
        <f>Application!$B705</f>
        <v>1 Bedroom</v>
      </c>
      <c r="B14" s="942">
        <f>Application!$G705</f>
        <v>5</v>
      </c>
      <c r="C14" s="601">
        <f>Application!$O705</f>
        <v>1196</v>
      </c>
      <c r="D14" s="602"/>
      <c r="E14" s="941"/>
      <c r="F14" s="601">
        <f t="shared" si="0"/>
        <v>0</v>
      </c>
      <c r="G14" s="602"/>
      <c r="H14" s="601">
        <f t="shared" si="1"/>
        <v>0</v>
      </c>
      <c r="I14" s="601">
        <f t="shared" si="2"/>
        <v>0</v>
      </c>
    </row>
    <row r="15" spans="1:9">
      <c r="A15" s="601" t="str">
        <f>Application!$B706</f>
        <v>2 Bedrooms</v>
      </c>
      <c r="B15" s="942">
        <f>Application!$G706</f>
        <v>10</v>
      </c>
      <c r="C15" s="601">
        <f>Application!$O706</f>
        <v>1420</v>
      </c>
      <c r="D15" s="602"/>
      <c r="E15" s="941"/>
      <c r="F15" s="601">
        <f t="shared" si="0"/>
        <v>0</v>
      </c>
      <c r="G15" s="602"/>
      <c r="H15" s="601">
        <f t="shared" si="1"/>
        <v>0</v>
      </c>
      <c r="I15" s="601">
        <f t="shared" si="2"/>
        <v>0</v>
      </c>
    </row>
    <row r="16" spans="1:9">
      <c r="A16" s="601" t="str">
        <f>Application!$B707</f>
        <v>3 Bedrooms</v>
      </c>
      <c r="B16" s="942">
        <f>Application!$G707</f>
        <v>9</v>
      </c>
      <c r="C16" s="601">
        <f>Application!$O707</f>
        <v>1635</v>
      </c>
      <c r="D16" s="602"/>
      <c r="E16" s="941"/>
      <c r="F16" s="601">
        <f t="shared" si="0"/>
        <v>0</v>
      </c>
      <c r="G16" s="602"/>
      <c r="H16" s="601">
        <f t="shared" si="1"/>
        <v>0</v>
      </c>
      <c r="I16" s="601">
        <f t="shared" si="2"/>
        <v>0</v>
      </c>
    </row>
    <row r="17" spans="1:9">
      <c r="A17" s="601" t="str">
        <f>Application!$B708</f>
        <v>1 Bedroom</v>
      </c>
      <c r="B17" s="942">
        <f>Application!$G708</f>
        <v>3</v>
      </c>
      <c r="C17" s="601">
        <f>Application!$O708</f>
        <v>1456</v>
      </c>
      <c r="D17" s="602"/>
      <c r="E17" s="941"/>
      <c r="F17" s="601">
        <f t="shared" si="0"/>
        <v>0</v>
      </c>
      <c r="G17" s="602"/>
      <c r="H17" s="601">
        <f t="shared" si="1"/>
        <v>0</v>
      </c>
      <c r="I17" s="601">
        <f t="shared" si="2"/>
        <v>0</v>
      </c>
    </row>
    <row r="18" spans="1:9">
      <c r="A18" s="601" t="str">
        <f>Application!$B709</f>
        <v>2 Bedrooms</v>
      </c>
      <c r="B18" s="942">
        <f>Application!$G709</f>
        <v>5</v>
      </c>
      <c r="C18" s="601">
        <f>Application!$O709</f>
        <v>1731</v>
      </c>
      <c r="D18" s="602"/>
      <c r="E18" s="941"/>
      <c r="F18" s="601">
        <f t="shared" si="0"/>
        <v>0</v>
      </c>
      <c r="G18" s="602"/>
      <c r="H18" s="601">
        <f t="shared" si="1"/>
        <v>0</v>
      </c>
      <c r="I18" s="601">
        <f t="shared" si="2"/>
        <v>0</v>
      </c>
    </row>
    <row r="19" spans="1:9">
      <c r="A19" s="601" t="str">
        <f>Application!$B710</f>
        <v>3 Bedrooms</v>
      </c>
      <c r="B19" s="942">
        <f>Application!$G710</f>
        <v>6</v>
      </c>
      <c r="C19" s="601">
        <f>Application!$O710</f>
        <v>1994</v>
      </c>
      <c r="D19" s="602"/>
      <c r="E19" s="941"/>
      <c r="F19" s="601">
        <f t="shared" si="0"/>
        <v>0</v>
      </c>
      <c r="G19" s="602"/>
      <c r="H19" s="601">
        <f t="shared" si="1"/>
        <v>0</v>
      </c>
      <c r="I19" s="601">
        <f t="shared" si="2"/>
        <v>0</v>
      </c>
    </row>
    <row r="20" spans="1:9">
      <c r="A20" s="601">
        <f>Application!$B711</f>
        <v>0</v>
      </c>
      <c r="B20" s="942">
        <f>Application!$G711</f>
        <v>0</v>
      </c>
      <c r="C20" s="601">
        <f>Application!$O711</f>
        <v>0</v>
      </c>
      <c r="D20" s="602"/>
      <c r="E20" s="941"/>
      <c r="F20" s="601">
        <f t="shared" si="0"/>
        <v>0</v>
      </c>
      <c r="G20" s="602"/>
      <c r="H20" s="601">
        <f t="shared" si="1"/>
        <v>0</v>
      </c>
      <c r="I20" s="601">
        <f t="shared" si="2"/>
        <v>0</v>
      </c>
    </row>
    <row r="21" spans="1:9">
      <c r="A21" s="601">
        <f>Application!$B712</f>
        <v>0</v>
      </c>
      <c r="B21" s="942">
        <f>Application!$G712</f>
        <v>0</v>
      </c>
      <c r="C21" s="601">
        <f>Application!$O712</f>
        <v>0</v>
      </c>
      <c r="D21" s="602"/>
      <c r="E21" s="941"/>
      <c r="F21" s="601">
        <f t="shared" si="0"/>
        <v>0</v>
      </c>
      <c r="G21" s="602"/>
      <c r="H21" s="601">
        <f t="shared" si="1"/>
        <v>0</v>
      </c>
      <c r="I21" s="601">
        <f t="shared" si="2"/>
        <v>0</v>
      </c>
    </row>
    <row r="22" spans="1:9">
      <c r="A22" s="601">
        <f>Application!$B713</f>
        <v>0</v>
      </c>
      <c r="B22" s="942">
        <f>Application!$G713</f>
        <v>0</v>
      </c>
      <c r="C22" s="601">
        <f>Application!$O713</f>
        <v>0</v>
      </c>
      <c r="D22" s="602"/>
      <c r="E22" s="941"/>
      <c r="F22" s="601">
        <f t="shared" si="0"/>
        <v>0</v>
      </c>
      <c r="G22" s="602"/>
      <c r="H22" s="601">
        <f t="shared" si="1"/>
        <v>0</v>
      </c>
      <c r="I22" s="601">
        <f t="shared" si="2"/>
        <v>0</v>
      </c>
    </row>
    <row r="23" spans="1:9">
      <c r="A23" s="601">
        <f>Application!$B714</f>
        <v>0</v>
      </c>
      <c r="B23" s="942">
        <f>Application!$G714</f>
        <v>0</v>
      </c>
      <c r="C23" s="601">
        <f>Application!$O714</f>
        <v>0</v>
      </c>
      <c r="D23" s="602"/>
      <c r="E23" s="941"/>
      <c r="F23" s="601">
        <f t="shared" si="0"/>
        <v>0</v>
      </c>
      <c r="G23" s="602"/>
      <c r="H23" s="601">
        <f t="shared" si="1"/>
        <v>0</v>
      </c>
      <c r="I23" s="601">
        <f t="shared" si="2"/>
        <v>0</v>
      </c>
    </row>
    <row r="24" spans="1:9">
      <c r="A24" s="601">
        <f>Application!$B715</f>
        <v>0</v>
      </c>
      <c r="B24" s="942">
        <f>Application!$G715</f>
        <v>0</v>
      </c>
      <c r="C24" s="601">
        <f>Application!$O715</f>
        <v>0</v>
      </c>
      <c r="D24" s="602"/>
      <c r="E24" s="941"/>
      <c r="F24" s="601">
        <f t="shared" si="0"/>
        <v>0</v>
      </c>
      <c r="G24" s="602"/>
      <c r="H24" s="601">
        <f t="shared" si="1"/>
        <v>0</v>
      </c>
      <c r="I24" s="601">
        <f t="shared" si="2"/>
        <v>0</v>
      </c>
    </row>
    <row r="25" spans="1:9">
      <c r="A25" s="601">
        <f>Application!$B716</f>
        <v>0</v>
      </c>
      <c r="B25" s="942">
        <f>Application!$G716</f>
        <v>0</v>
      </c>
      <c r="C25" s="601">
        <f>Application!$O716</f>
        <v>0</v>
      </c>
      <c r="D25" s="602"/>
      <c r="E25" s="941"/>
      <c r="F25" s="601">
        <f t="shared" si="0"/>
        <v>0</v>
      </c>
      <c r="G25" s="602"/>
      <c r="H25" s="601">
        <f t="shared" si="1"/>
        <v>0</v>
      </c>
      <c r="I25" s="601">
        <f t="shared" si="2"/>
        <v>0</v>
      </c>
    </row>
    <row r="26" spans="1:9">
      <c r="A26" s="601">
        <f>Application!$B717</f>
        <v>0</v>
      </c>
      <c r="B26" s="942">
        <f>Application!$G717</f>
        <v>0</v>
      </c>
      <c r="C26" s="601">
        <f>Application!$O717</f>
        <v>0</v>
      </c>
      <c r="D26" s="602"/>
      <c r="E26" s="941"/>
      <c r="F26" s="601">
        <f t="shared" si="0"/>
        <v>0</v>
      </c>
      <c r="G26" s="602"/>
      <c r="H26" s="601">
        <f t="shared" si="1"/>
        <v>0</v>
      </c>
      <c r="I26" s="601">
        <f t="shared" si="2"/>
        <v>0</v>
      </c>
    </row>
    <row r="27" spans="1:9">
      <c r="A27" s="601">
        <f>Application!$B718</f>
        <v>0</v>
      </c>
      <c r="B27" s="942">
        <f>Application!$G718</f>
        <v>0</v>
      </c>
      <c r="C27" s="601">
        <f>Application!$O718</f>
        <v>0</v>
      </c>
      <c r="D27" s="602"/>
      <c r="E27" s="941"/>
      <c r="F27" s="601">
        <f t="shared" si="0"/>
        <v>0</v>
      </c>
      <c r="G27" s="602"/>
      <c r="H27" s="601">
        <f t="shared" si="1"/>
        <v>0</v>
      </c>
      <c r="I27" s="601">
        <f t="shared" si="2"/>
        <v>0</v>
      </c>
    </row>
    <row r="28" spans="1:9">
      <c r="A28" s="601">
        <f>Application!$B719</f>
        <v>0</v>
      </c>
      <c r="B28" s="942">
        <f>Application!$G719</f>
        <v>0</v>
      </c>
      <c r="C28" s="601">
        <f>Application!$O719</f>
        <v>0</v>
      </c>
      <c r="D28" s="602"/>
      <c r="E28" s="941"/>
      <c r="F28" s="601">
        <f t="shared" si="0"/>
        <v>0</v>
      </c>
      <c r="G28" s="602"/>
      <c r="H28" s="601">
        <f t="shared" si="1"/>
        <v>0</v>
      </c>
      <c r="I28" s="601">
        <f t="shared" si="2"/>
        <v>0</v>
      </c>
    </row>
    <row r="29" spans="1:9">
      <c r="A29" s="601">
        <f>Application!$B720</f>
        <v>0</v>
      </c>
      <c r="B29" s="942">
        <f>Application!$G720</f>
        <v>0</v>
      </c>
      <c r="C29" s="601">
        <f>Application!$O720</f>
        <v>0</v>
      </c>
      <c r="D29" s="602"/>
      <c r="E29" s="941"/>
      <c r="F29" s="601">
        <f t="shared" si="0"/>
        <v>0</v>
      </c>
      <c r="G29" s="602"/>
      <c r="H29" s="601">
        <f t="shared" si="1"/>
        <v>0</v>
      </c>
      <c r="I29" s="601">
        <f t="shared" si="2"/>
        <v>0</v>
      </c>
    </row>
    <row r="30" spans="1:9">
      <c r="A30" s="601">
        <f>Application!$B721</f>
        <v>0</v>
      </c>
      <c r="B30" s="942">
        <f>Application!$G721</f>
        <v>0</v>
      </c>
      <c r="C30" s="601">
        <f>Application!$O721</f>
        <v>0</v>
      </c>
      <c r="D30" s="602"/>
      <c r="E30" s="941"/>
      <c r="F30" s="601">
        <f t="shared" si="0"/>
        <v>0</v>
      </c>
      <c r="G30" s="602"/>
      <c r="H30" s="601">
        <f t="shared" si="1"/>
        <v>0</v>
      </c>
      <c r="I30" s="601">
        <f t="shared" si="2"/>
        <v>0</v>
      </c>
    </row>
    <row r="31" spans="1:9">
      <c r="A31" s="601">
        <f>Application!$B722</f>
        <v>0</v>
      </c>
      <c r="B31" s="942">
        <f>Application!$G722</f>
        <v>0</v>
      </c>
      <c r="C31" s="601">
        <f>Application!$O722</f>
        <v>0</v>
      </c>
      <c r="D31" s="602"/>
      <c r="E31" s="941"/>
      <c r="F31" s="601">
        <f t="shared" si="0"/>
        <v>0</v>
      </c>
      <c r="G31" s="602"/>
      <c r="H31" s="601">
        <f t="shared" si="1"/>
        <v>0</v>
      </c>
      <c r="I31" s="601">
        <f t="shared" si="2"/>
        <v>0</v>
      </c>
    </row>
    <row r="32" spans="1:9">
      <c r="A32" s="601">
        <f>Application!$B723</f>
        <v>0</v>
      </c>
      <c r="B32" s="942">
        <f>Application!$G723</f>
        <v>0</v>
      </c>
      <c r="C32" s="601">
        <f>Application!$O723</f>
        <v>0</v>
      </c>
      <c r="D32" s="602"/>
      <c r="E32" s="941"/>
      <c r="F32" s="601">
        <f t="shared" si="0"/>
        <v>0</v>
      </c>
      <c r="G32" s="602"/>
      <c r="H32" s="601">
        <f t="shared" si="1"/>
        <v>0</v>
      </c>
      <c r="I32" s="601">
        <f t="shared" si="2"/>
        <v>0</v>
      </c>
    </row>
    <row r="33" spans="1:9">
      <c r="A33" s="601">
        <f>Application!$B724</f>
        <v>0</v>
      </c>
      <c r="B33" s="942">
        <f>Application!$G724</f>
        <v>0</v>
      </c>
      <c r="C33" s="601">
        <f>Application!$O724</f>
        <v>0</v>
      </c>
      <c r="D33" s="602"/>
      <c r="E33" s="941"/>
      <c r="F33" s="601">
        <f t="shared" si="0"/>
        <v>0</v>
      </c>
      <c r="G33" s="602"/>
      <c r="H33" s="601">
        <f t="shared" si="1"/>
        <v>0</v>
      </c>
      <c r="I33" s="601">
        <f t="shared" si="2"/>
        <v>0</v>
      </c>
    </row>
    <row r="34" spans="1:9">
      <c r="A34" s="601">
        <f>Application!$B725</f>
        <v>0</v>
      </c>
      <c r="B34" s="942">
        <f>Application!$G725</f>
        <v>0</v>
      </c>
      <c r="C34" s="601">
        <f>Application!$O725</f>
        <v>0</v>
      </c>
      <c r="D34" s="602"/>
      <c r="E34" s="941"/>
      <c r="F34" s="601">
        <f t="shared" si="0"/>
        <v>0</v>
      </c>
      <c r="G34" s="602"/>
      <c r="H34" s="601">
        <f t="shared" si="1"/>
        <v>0</v>
      </c>
      <c r="I34" s="601">
        <f t="shared" si="2"/>
        <v>0</v>
      </c>
    </row>
    <row r="35" spans="1:9">
      <c r="A35" s="601">
        <f>Application!$B726</f>
        <v>0</v>
      </c>
      <c r="B35" s="942">
        <f>Application!$G726</f>
        <v>0</v>
      </c>
      <c r="C35" s="601">
        <f>Application!$O726</f>
        <v>0</v>
      </c>
      <c r="D35" s="602"/>
      <c r="E35" s="941"/>
      <c r="F35" s="601">
        <f t="shared" si="0"/>
        <v>0</v>
      </c>
      <c r="G35" s="602"/>
      <c r="H35" s="601">
        <f t="shared" si="1"/>
        <v>0</v>
      </c>
      <c r="I35" s="601">
        <f t="shared" si="2"/>
        <v>0</v>
      </c>
    </row>
    <row r="36" spans="1:9">
      <c r="A36" s="601">
        <f>Application!$B727</f>
        <v>0</v>
      </c>
      <c r="B36" s="942">
        <f>Application!$G727</f>
        <v>0</v>
      </c>
      <c r="C36" s="601">
        <f>Application!$O727</f>
        <v>0</v>
      </c>
      <c r="D36" s="602"/>
      <c r="E36" s="941"/>
      <c r="F36" s="601">
        <f t="shared" si="0"/>
        <v>0</v>
      </c>
      <c r="G36" s="602"/>
      <c r="H36" s="601">
        <f t="shared" si="1"/>
        <v>0</v>
      </c>
      <c r="I36" s="601">
        <f t="shared" si="2"/>
        <v>0</v>
      </c>
    </row>
    <row r="37" spans="1:9">
      <c r="A37" s="601">
        <f>Application!$B728</f>
        <v>0</v>
      </c>
      <c r="B37" s="942">
        <f>Application!$G728</f>
        <v>0</v>
      </c>
      <c r="C37" s="601">
        <f>Application!$O728</f>
        <v>0</v>
      </c>
      <c r="D37" s="602"/>
      <c r="E37" s="941"/>
      <c r="F37" s="601">
        <f t="shared" si="0"/>
        <v>0</v>
      </c>
      <c r="G37" s="602"/>
      <c r="H37" s="601">
        <f t="shared" si="1"/>
        <v>0</v>
      </c>
      <c r="I37" s="601">
        <f t="shared" si="2"/>
        <v>0</v>
      </c>
    </row>
    <row r="38" spans="1:9">
      <c r="A38" s="601">
        <f>Application!$B729</f>
        <v>0</v>
      </c>
      <c r="B38" s="942">
        <f>Application!$G729</f>
        <v>0</v>
      </c>
      <c r="C38" s="601">
        <f>Application!$O729</f>
        <v>0</v>
      </c>
      <c r="D38" s="602"/>
      <c r="E38" s="941"/>
      <c r="F38" s="601">
        <f t="shared" si="0"/>
        <v>0</v>
      </c>
      <c r="G38" s="602"/>
      <c r="H38" s="601">
        <f t="shared" si="1"/>
        <v>0</v>
      </c>
      <c r="I38" s="601">
        <f t="shared" si="2"/>
        <v>0</v>
      </c>
    </row>
    <row r="39" spans="1:9">
      <c r="A39" s="598"/>
      <c r="B39" s="598"/>
      <c r="C39" s="602"/>
      <c r="D39" s="602"/>
      <c r="E39" s="602"/>
      <c r="F39" s="602"/>
      <c r="G39" s="602"/>
      <c r="H39" s="602"/>
      <c r="I39" s="598"/>
    </row>
    <row r="40" spans="1:9">
      <c r="A40" s="603" t="s">
        <v>1167</v>
      </c>
      <c r="B40" s="604"/>
      <c r="C40" s="605">
        <f>Application!$T$730*12</f>
        <v>1109160</v>
      </c>
      <c r="D40" s="602"/>
      <c r="E40" s="602"/>
      <c r="F40" s="605">
        <f>SUM(F4:F38)*12</f>
        <v>388116</v>
      </c>
      <c r="G40" s="606"/>
      <c r="H40" s="604"/>
      <c r="I40" s="605">
        <f>SUM(I4:I38)*12</f>
        <v>152208</v>
      </c>
    </row>
    <row r="41" spans="1:9">
      <c r="A41" s="603"/>
      <c r="B41" s="604"/>
      <c r="C41" s="606"/>
      <c r="D41" s="602"/>
      <c r="E41" s="602"/>
      <c r="F41" s="606"/>
      <c r="G41" s="606"/>
      <c r="H41" s="604"/>
      <c r="I41" s="606"/>
    </row>
    <row r="42" spans="1:9">
      <c r="A42" s="598" t="s">
        <v>1169</v>
      </c>
      <c r="B42" s="598"/>
      <c r="C42" s="598"/>
      <c r="D42" s="598"/>
      <c r="E42" s="598"/>
      <c r="F42" s="598"/>
      <c r="G42" s="598"/>
      <c r="H42" s="598"/>
      <c r="I42" s="598"/>
    </row>
    <row r="43" spans="1:9">
      <c r="A43" s="598" t="s">
        <v>1171</v>
      </c>
      <c r="B43" s="598"/>
      <c r="C43" s="598"/>
      <c r="D43" s="598"/>
      <c r="E43" s="598"/>
      <c r="F43" s="598"/>
      <c r="G43" s="598"/>
      <c r="H43" s="598"/>
      <c r="I43" s="598"/>
    </row>
    <row r="44" spans="1:9">
      <c r="A44" s="598" t="s">
        <v>2122</v>
      </c>
      <c r="B44" s="598"/>
      <c r="C44" s="598"/>
      <c r="D44" s="598"/>
      <c r="E44" s="598"/>
      <c r="F44" s="598"/>
      <c r="G44" s="598"/>
      <c r="H44" s="598"/>
      <c r="I44" s="59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Q42" sqref="Q42"/>
    </sheetView>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302" customFormat="1" ht="45" customHeight="1">
      <c r="A1" s="486" t="s">
        <v>1227</v>
      </c>
    </row>
    <row r="2" spans="1:1" ht="15.6">
      <c r="A2" s="484"/>
    </row>
    <row r="3" spans="1:1" ht="15.6">
      <c r="A3" s="485" t="s">
        <v>1222</v>
      </c>
    </row>
    <row r="4" spans="1:1" ht="15.6">
      <c r="A4" s="485" t="s">
        <v>1223</v>
      </c>
    </row>
    <row r="5" spans="1:1" ht="15.6">
      <c r="A5" s="485" t="s">
        <v>1224</v>
      </c>
    </row>
    <row r="6" spans="1:1" ht="15.6">
      <c r="A6" s="485" t="s">
        <v>1225</v>
      </c>
    </row>
    <row r="7" spans="1:1" ht="15.6">
      <c r="A7" s="485" t="s">
        <v>1226</v>
      </c>
    </row>
    <row r="8" spans="1:1" ht="15.6">
      <c r="A8" s="563" t="s">
        <v>1342</v>
      </c>
    </row>
    <row r="9" spans="1:1" ht="15.6">
      <c r="A9" s="485" t="s">
        <v>1343</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1098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651</v>
      </c>
      <c r="C5" s="3" t="s">
        <v>205</v>
      </c>
      <c r="F5" s="3"/>
    </row>
    <row r="6" spans="1:40" ht="13.2" customHeight="1">
      <c r="B6" s="90"/>
    </row>
    <row r="7" spans="1:40" ht="13.2" customHeight="1">
      <c r="B7" s="6"/>
      <c r="C7" s="7"/>
      <c r="D7" s="7"/>
      <c r="E7" s="7"/>
      <c r="F7" s="7"/>
      <c r="G7" s="7"/>
      <c r="H7" s="7"/>
      <c r="I7" s="7"/>
      <c r="J7" s="7"/>
      <c r="K7" s="7"/>
      <c r="L7" s="7"/>
      <c r="M7" s="7"/>
      <c r="N7" s="7"/>
      <c r="O7" s="7"/>
      <c r="P7" s="7"/>
      <c r="Q7" s="7"/>
      <c r="R7" s="7"/>
      <c r="S7" s="7"/>
      <c r="T7" s="1610" t="s">
        <v>1604</v>
      </c>
      <c r="U7" s="1610"/>
      <c r="V7" s="1610"/>
      <c r="W7" s="1610"/>
      <c r="X7" s="1610"/>
      <c r="Y7" s="1610" t="s">
        <v>1746</v>
      </c>
      <c r="Z7" s="1610"/>
      <c r="AA7" s="1610"/>
      <c r="AB7" s="1610"/>
      <c r="AC7" s="1610"/>
      <c r="AD7" s="1610" t="s">
        <v>1358</v>
      </c>
      <c r="AE7" s="1610"/>
      <c r="AF7" s="1610"/>
      <c r="AG7" s="1610"/>
      <c r="AH7" s="1610"/>
      <c r="AI7" s="1610" t="s">
        <v>1747</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2"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2" t="s">
        <v>507</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50271829</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2" customHeight="1">
      <c r="B12" s="1612" t="s">
        <v>446</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1710</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15" t="s">
        <v>766</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2" customHeight="1">
      <c r="B15" s="8"/>
      <c r="C15" s="1615" t="s">
        <v>767</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2" customHeight="1">
      <c r="B16" s="8"/>
      <c r="C16" s="1614" t="s">
        <v>1010</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2" customHeight="1">
      <c r="B17" s="8"/>
      <c r="C17" s="1615" t="s">
        <v>768</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2" customHeight="1">
      <c r="B18" s="592"/>
      <c r="C18" s="1614" t="s">
        <v>1362</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2" customHeight="1">
      <c r="B19" s="483"/>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2" customHeight="1">
      <c r="B20" s="1182" t="s">
        <v>769</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2" customHeight="1">
      <c r="B21" s="1182" t="s">
        <v>1709</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21754537</v>
      </c>
      <c r="AJ21" s="1064"/>
      <c r="AK21" s="1064"/>
      <c r="AL21" s="1064"/>
      <c r="AM21" s="1064"/>
    </row>
    <row r="22" spans="1:39" ht="13.2" customHeight="1">
      <c r="B22" s="1182" t="s">
        <v>770</v>
      </c>
      <c r="C22" s="1183"/>
      <c r="D22" s="1183"/>
      <c r="E22" s="1183"/>
      <c r="F22" s="1183"/>
      <c r="G22" s="1183"/>
      <c r="H22" s="1183"/>
      <c r="I22" s="1183"/>
      <c r="J22" s="1183"/>
      <c r="K22" s="1183"/>
      <c r="L22" s="1183"/>
      <c r="M22" s="1183"/>
      <c r="N22" s="1183"/>
      <c r="O22" s="1183"/>
      <c r="P22" s="1183"/>
      <c r="Q22" s="1183"/>
      <c r="R22" s="1183"/>
      <c r="S22" s="1184"/>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-21754537</v>
      </c>
      <c r="AJ22" s="1605"/>
      <c r="AK22" s="1605"/>
      <c r="AL22" s="1605"/>
      <c r="AM22" s="1605"/>
    </row>
    <row r="23" spans="1:39" ht="13.2" customHeight="1">
      <c r="B23" s="1182" t="s">
        <v>771</v>
      </c>
      <c r="C23" s="1183"/>
      <c r="D23" s="1183"/>
      <c r="E23" s="1183"/>
      <c r="F23" s="1183"/>
      <c r="G23" s="1183"/>
      <c r="H23" s="1183"/>
      <c r="I23" s="1183"/>
      <c r="J23" s="1183"/>
      <c r="K23" s="1183"/>
      <c r="L23" s="1183"/>
      <c r="M23" s="1183"/>
      <c r="N23" s="1183"/>
      <c r="O23" s="1183"/>
      <c r="P23" s="1183"/>
      <c r="Q23" s="1183"/>
      <c r="R23" s="1183"/>
      <c r="S23" s="1184"/>
      <c r="T23" s="1603">
        <f>T11+T22</f>
        <v>50271829</v>
      </c>
      <c r="U23" s="1202"/>
      <c r="V23" s="1202"/>
      <c r="W23" s="1202"/>
      <c r="X23" s="1202"/>
      <c r="Y23" s="1603">
        <f>Y11+Y22</f>
        <v>0</v>
      </c>
      <c r="Z23" s="1202"/>
      <c r="AA23" s="1202"/>
      <c r="AB23" s="1202"/>
      <c r="AC23" s="1202"/>
      <c r="AD23" s="1603">
        <f>AD11+AD22</f>
        <v>0</v>
      </c>
      <c r="AE23" s="1202"/>
      <c r="AF23" s="1202"/>
      <c r="AG23" s="1202"/>
      <c r="AH23" s="1202"/>
      <c r="AI23" s="1603">
        <f>AI11+AI22</f>
        <v>-21754537</v>
      </c>
      <c r="AJ23" s="1202"/>
      <c r="AK23" s="1202"/>
      <c r="AL23" s="1202"/>
      <c r="AM23" s="1202"/>
    </row>
    <row r="24" spans="1:39" ht="13.2" customHeight="1">
      <c r="B24" s="1182" t="s">
        <v>1216</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1745</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3.2" customHeight="1">
      <c r="B26" s="1182" t="s">
        <v>772</v>
      </c>
      <c r="C26" s="1183"/>
      <c r="D26" s="1183"/>
      <c r="E26" s="1183"/>
      <c r="F26" s="1183"/>
      <c r="G26" s="1183"/>
      <c r="H26" s="1183"/>
      <c r="I26" s="1183"/>
      <c r="J26" s="1183"/>
      <c r="K26" s="1183"/>
      <c r="L26" s="1183"/>
      <c r="M26" s="1183"/>
      <c r="N26" s="1183"/>
      <c r="O26" s="1183"/>
      <c r="P26" s="1183"/>
      <c r="Q26" s="1183"/>
      <c r="R26" s="1183"/>
      <c r="S26" s="1184"/>
      <c r="T26" s="1226">
        <f>T23*T25</f>
        <v>50271829</v>
      </c>
      <c r="U26" s="1606"/>
      <c r="V26" s="1606"/>
      <c r="W26" s="1606"/>
      <c r="X26" s="1606"/>
      <c r="Y26" s="1226">
        <f>Y23*Y25</f>
        <v>0</v>
      </c>
      <c r="Z26" s="1606"/>
      <c r="AA26" s="1606"/>
      <c r="AB26" s="1606"/>
      <c r="AC26" s="1606"/>
      <c r="AD26" s="1226">
        <f>AD23*AD25</f>
        <v>0</v>
      </c>
      <c r="AE26" s="1606"/>
      <c r="AF26" s="1606"/>
      <c r="AG26" s="1606"/>
      <c r="AH26" s="1606"/>
      <c r="AI26" s="1226">
        <f>AI23*AI25</f>
        <v>-21754537</v>
      </c>
      <c r="AJ26" s="1606"/>
      <c r="AK26" s="1606"/>
      <c r="AL26" s="1606"/>
      <c r="AM26" s="1606"/>
    </row>
    <row r="27" spans="1:39" ht="13.2" customHeight="1">
      <c r="A27" s="4"/>
      <c r="B27" s="1596" t="s">
        <v>877</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2" t="s">
        <v>841</v>
      </c>
      <c r="C28" s="1183"/>
      <c r="D28" s="1183"/>
      <c r="E28" s="1183"/>
      <c r="F28" s="1183"/>
      <c r="G28" s="1183"/>
      <c r="H28" s="1183"/>
      <c r="I28" s="1183"/>
      <c r="J28" s="1183"/>
      <c r="K28" s="1183"/>
      <c r="L28" s="1183"/>
      <c r="M28" s="1183"/>
      <c r="N28" s="1183"/>
      <c r="O28" s="1183"/>
      <c r="P28" s="1183"/>
      <c r="Q28" s="1183"/>
      <c r="R28" s="1183"/>
      <c r="S28" s="1184"/>
      <c r="T28" s="1226">
        <f>IF(ISERROR((T26*T27)),0,(T26*T27))</f>
        <v>50271829</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-21754537</v>
      </c>
      <c r="AJ28" s="1606"/>
      <c r="AK28" s="1606"/>
      <c r="AL28" s="1606"/>
      <c r="AM28" s="1606"/>
    </row>
    <row r="29" spans="1:39" ht="13.2" customHeight="1">
      <c r="B29" s="1182" t="s">
        <v>621</v>
      </c>
      <c r="C29" s="1183"/>
      <c r="D29" s="1183"/>
      <c r="E29" s="1183"/>
      <c r="F29" s="1183"/>
      <c r="G29" s="1183"/>
      <c r="H29" s="1183"/>
      <c r="I29" s="1183"/>
      <c r="J29" s="1183"/>
      <c r="K29" s="1183"/>
      <c r="L29" s="1183"/>
      <c r="M29" s="1183"/>
      <c r="N29" s="1183"/>
      <c r="O29" s="1183"/>
      <c r="P29" s="1183"/>
      <c r="Q29" s="1183"/>
      <c r="R29" s="1183"/>
      <c r="S29" s="1184"/>
      <c r="T29" s="1601">
        <f>T28+Y28+AD28+AI28</f>
        <v>28517292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0" t="s">
        <v>1603</v>
      </c>
      <c r="Z35" s="1610"/>
      <c r="AA35" s="1610"/>
      <c r="AB35" s="1610"/>
      <c r="AC35" s="1610"/>
      <c r="AD35" s="1498" t="s">
        <v>41</v>
      </c>
      <c r="AE35" s="1498"/>
      <c r="AF35" s="1498"/>
      <c r="AG35" s="1498"/>
      <c r="AH35" s="1498"/>
    </row>
    <row r="36" spans="1:40" ht="13.2" customHeight="1">
      <c r="B36" s="204"/>
      <c r="X36" s="71"/>
      <c r="Y36" s="1610"/>
      <c r="Z36" s="1610"/>
      <c r="AA36" s="1610"/>
      <c r="AB36" s="1610"/>
      <c r="AC36" s="1610"/>
      <c r="AD36" s="1498"/>
      <c r="AE36" s="1498"/>
      <c r="AF36" s="1498"/>
      <c r="AG36" s="1498"/>
      <c r="AH36" s="149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0" ht="13.2" customHeight="1">
      <c r="A38" s="3"/>
      <c r="B38" s="1182" t="s">
        <v>841</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2" customHeight="1">
      <c r="B39" s="1182" t="s">
        <v>763</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641">
        <v>0.04</v>
      </c>
      <c r="AE39" s="1641"/>
      <c r="AF39" s="1641"/>
      <c r="AG39" s="1641"/>
      <c r="AH39" s="1641"/>
    </row>
    <row r="40" spans="1:40" ht="13.2"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3.2" customHeight="1">
      <c r="B41" s="1182" t="s">
        <v>615</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3.2" customHeight="1">
      <c r="A42" s="3"/>
      <c r="B42" s="1635" t="s">
        <v>1160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2"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K43" s="41" t="s">
        <v>228</v>
      </c>
    </row>
    <row r="44" spans="1:40" ht="13.2"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3.2" customHeight="1">
      <c r="A45" s="3" t="s">
        <v>118</v>
      </c>
      <c r="C45" s="3" t="s">
        <v>252</v>
      </c>
    </row>
    <row r="46" spans="1:40" ht="13.2" customHeight="1">
      <c r="D46" s="3" t="s">
        <v>253</v>
      </c>
      <c r="AB46" s="1193">
        <f>'Sources and Uses Budget'!B104-'Sources and Uses Budget'!$B$15</f>
        <v>57108010</v>
      </c>
      <c r="AC46" s="1194"/>
      <c r="AD46" s="1194"/>
      <c r="AE46" s="1194"/>
      <c r="AF46" s="1195"/>
    </row>
    <row r="47" spans="1:40" ht="13.2" customHeight="1">
      <c r="D47" s="3" t="s">
        <v>835</v>
      </c>
      <c r="AB47" s="1193">
        <f>Application!AG633-MIN('Sources and Uses Budget'!B15,Application!AG385)</f>
        <v>0</v>
      </c>
      <c r="AC47" s="1194"/>
      <c r="AD47" s="1194"/>
      <c r="AE47" s="1194"/>
      <c r="AF47" s="1195"/>
    </row>
    <row r="48" spans="1:40" ht="13.2" customHeight="1">
      <c r="D48" s="3" t="s">
        <v>377</v>
      </c>
      <c r="AB48" s="1193">
        <f>AB46-AB47</f>
        <v>57108010</v>
      </c>
      <c r="AC48" s="1194"/>
      <c r="AD48" s="1194"/>
      <c r="AE48" s="1194"/>
      <c r="AF48" s="1195"/>
    </row>
    <row r="49" spans="1:40" ht="13.2" customHeight="1">
      <c r="D49" s="3" t="s">
        <v>870</v>
      </c>
      <c r="AA49" s="34"/>
      <c r="AB49" s="1630"/>
      <c r="AC49" s="1631"/>
      <c r="AD49" s="1631"/>
      <c r="AE49" s="1631"/>
      <c r="AF49" s="1632"/>
    </row>
    <row r="50" spans="1:40" s="323" customFormat="1" ht="13.2" customHeight="1">
      <c r="A50"/>
      <c r="B50"/>
      <c r="C50"/>
      <c r="D50"/>
      <c r="E50" s="1636" t="s">
        <v>1351</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89"/>
      <c r="AB51" s="489"/>
      <c r="AC51" s="489"/>
      <c r="AD51" s="489"/>
      <c r="AE51" s="489"/>
      <c r="AF51" s="489"/>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3">
        <f>ROUND(IF(ISERROR((AB48/AB49)),0,(AB48/AB49)),0)</f>
        <v>0</v>
      </c>
      <c r="AC53" s="1194"/>
      <c r="AD53" s="1194"/>
      <c r="AE53" s="1194"/>
      <c r="AF53" s="1195"/>
    </row>
    <row r="54" spans="1:40" ht="13.2" customHeight="1">
      <c r="D54" s="3" t="s">
        <v>559</v>
      </c>
      <c r="AB54" s="1193">
        <f>(AB53/10)</f>
        <v>0</v>
      </c>
      <c r="AC54" s="1194"/>
      <c r="AD54" s="1194"/>
      <c r="AE54" s="1194"/>
      <c r="AF54" s="1195"/>
    </row>
    <row r="55" spans="1:40" ht="13.2" customHeight="1">
      <c r="D55" s="3" t="s">
        <v>340</v>
      </c>
      <c r="AB55" s="1193">
        <f>(IF((Y41&lt;AB54),Y41,AB54))</f>
        <v>0</v>
      </c>
      <c r="AC55" s="1194"/>
      <c r="AD55" s="1194"/>
      <c r="AE55" s="1194"/>
      <c r="AF55" s="1195"/>
    </row>
    <row r="56" spans="1:40" ht="13.2" customHeight="1">
      <c r="D56" s="3" t="s">
        <v>106</v>
      </c>
      <c r="AB56" s="1193">
        <f>ROUND((10*AB55*AB49),0)</f>
        <v>0</v>
      </c>
      <c r="AC56" s="1194"/>
      <c r="AD56" s="1194"/>
      <c r="AE56" s="1194"/>
      <c r="AF56" s="1195"/>
    </row>
    <row r="57" spans="1:40" ht="13.2" customHeight="1">
      <c r="D57" s="3"/>
      <c r="AB57" s="276"/>
      <c r="AC57" s="276"/>
      <c r="AD57" s="276"/>
      <c r="AE57" s="276"/>
      <c r="AF57" s="276"/>
    </row>
    <row r="58" spans="1:40" ht="13.2" customHeight="1">
      <c r="D58" s="3" t="s">
        <v>105</v>
      </c>
      <c r="AB58" s="1214">
        <f>AB48-AB56</f>
        <v>57108010</v>
      </c>
      <c r="AC58" s="1214"/>
      <c r="AD58" s="1214"/>
      <c r="AE58" s="1214"/>
      <c r="AF58" s="1214"/>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39" t="s">
        <v>1748</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121</v>
      </c>
      <c r="C62" s="3" t="s">
        <v>508</v>
      </c>
      <c r="Y62" s="1169" t="s">
        <v>297</v>
      </c>
      <c r="Z62" s="1169"/>
      <c r="AA62" s="1169"/>
      <c r="AB62" s="1169"/>
      <c r="AC62" s="1169"/>
      <c r="AD62" s="1169" t="s">
        <v>41</v>
      </c>
      <c r="AE62" s="1169"/>
      <c r="AF62" s="1169"/>
      <c r="AG62" s="1169"/>
      <c r="AH62" s="1169"/>
    </row>
    <row r="63" spans="1:40" ht="13.2"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-21754537</v>
      </c>
      <c r="AE63" s="1633"/>
      <c r="AF63" s="1633"/>
      <c r="AG63" s="1633"/>
      <c r="AH63" s="1633"/>
    </row>
    <row r="64" spans="1:40" ht="13.2" customHeight="1">
      <c r="C64" s="3"/>
      <c r="E64" s="1640" t="s">
        <v>1287</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2" customHeight="1">
      <c r="C67" s="3"/>
      <c r="D67" s="3" t="s">
        <v>939</v>
      </c>
      <c r="Y67" s="1202">
        <f>ROUND(Y63*Y66,0)</f>
        <v>0</v>
      </c>
      <c r="Z67" s="1633"/>
      <c r="AA67" s="1633"/>
      <c r="AB67" s="1633"/>
      <c r="AC67" s="1633"/>
      <c r="AD67" s="1202" t="str">
        <f>IF(OR(Application!D211="At-Risk",Application!D211="At-Risk/Located in Rural Census Tract",Application!D214="At-Risk"),ROUND(AD63*AD66,0),"$0")</f>
        <v>$0</v>
      </c>
      <c r="AE67" s="1202"/>
      <c r="AF67" s="1202"/>
      <c r="AG67" s="1202"/>
      <c r="AH67" s="1202"/>
    </row>
    <row r="68" spans="1:34" ht="13.2" customHeight="1">
      <c r="C68" s="3"/>
      <c r="E68" s="3"/>
      <c r="AB68" s="2"/>
      <c r="AC68" s="2"/>
      <c r="AD68" s="2"/>
      <c r="AE68" s="2"/>
      <c r="AF68" s="2"/>
    </row>
    <row r="69" spans="1:34" ht="13.2" customHeight="1">
      <c r="A69" s="3" t="s">
        <v>122</v>
      </c>
      <c r="C69" s="3" t="s">
        <v>254</v>
      </c>
    </row>
    <row r="70" spans="1:34" ht="13.2" customHeight="1">
      <c r="A70" s="3"/>
      <c r="C70" s="3"/>
      <c r="D70" s="3" t="s">
        <v>871</v>
      </c>
      <c r="AB70" s="1630"/>
      <c r="AC70" s="1631"/>
      <c r="AD70" s="1631"/>
      <c r="AE70" s="1631"/>
      <c r="AF70" s="1632"/>
    </row>
    <row r="71" spans="1:34" ht="13.2" customHeight="1">
      <c r="A71" s="3"/>
      <c r="C71" s="3"/>
      <c r="D71" s="3"/>
      <c r="E71" s="1634" t="s">
        <v>1743</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517">
        <f>ROUND(IF(ISERROR((AB58/AB70)),0,(AB58/AB70)),0)</f>
        <v>0</v>
      </c>
      <c r="AC75" s="1517"/>
      <c r="AD75" s="1517"/>
      <c r="AE75" s="1517"/>
      <c r="AF75" s="1517"/>
    </row>
    <row r="76" spans="1:34" ht="13.2" customHeight="1">
      <c r="C76" s="3"/>
      <c r="D76" s="3" t="s">
        <v>104</v>
      </c>
      <c r="AB76" s="1552">
        <f>IF((Y67+AD67&lt;AB75),Y67+AD67,AB75)</f>
        <v>0</v>
      </c>
      <c r="AC76" s="1553"/>
      <c r="AD76" s="1553"/>
      <c r="AE76" s="1553"/>
      <c r="AF76" s="1554"/>
    </row>
    <row r="77" spans="1:34" ht="13.2" customHeight="1">
      <c r="C77" s="3"/>
      <c r="D77" s="3" t="s">
        <v>940</v>
      </c>
      <c r="AB77" s="1628">
        <f>AB76*AB70</f>
        <v>0</v>
      </c>
      <c r="AC77" s="1628"/>
      <c r="AD77" s="1628"/>
      <c r="AE77" s="1628"/>
      <c r="AF77" s="1628"/>
    </row>
    <row r="78" spans="1:34" ht="13.2" customHeight="1">
      <c r="C78" s="3"/>
      <c r="D78" s="3"/>
      <c r="AB78" s="597"/>
      <c r="AC78" s="597"/>
      <c r="AD78" s="597"/>
      <c r="AE78" s="597"/>
      <c r="AF78" s="597"/>
    </row>
    <row r="79" spans="1:34" ht="13.2" customHeight="1">
      <c r="D79" s="3" t="s">
        <v>105</v>
      </c>
      <c r="AB79" s="1214">
        <f>AB48-(AB56+AB77)</f>
        <v>57108010</v>
      </c>
      <c r="AC79" s="1214"/>
      <c r="AD79" s="1214"/>
      <c r="AE79" s="1214"/>
      <c r="AF79" s="1214"/>
    </row>
    <row r="80" spans="1:34" ht="13.2" customHeight="1">
      <c r="F80" s="16"/>
      <c r="J80" s="16" t="str">
        <f>IF(AB79&gt;0,"FUNDING GAP MUST NOT EXCEED ZERO","")</f>
        <v>FUNDING GAP MUST NOT EXCEED ZERO</v>
      </c>
    </row>
    <row r="81" spans="4:4" ht="13.2"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1352</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651</v>
      </c>
      <c r="C5" s="3" t="s">
        <v>205</v>
      </c>
      <c r="F5" s="3"/>
    </row>
    <row r="6" spans="1:40" ht="13.2" customHeight="1">
      <c r="B6" s="90"/>
    </row>
    <row r="7" spans="1:40" ht="13.2" customHeight="1">
      <c r="B7" s="6"/>
      <c r="C7" s="7"/>
      <c r="D7" s="7"/>
      <c r="E7" s="7"/>
      <c r="F7" s="7"/>
      <c r="G7" s="7"/>
      <c r="H7" s="7"/>
      <c r="I7" s="7"/>
      <c r="J7" s="7"/>
      <c r="K7" s="7"/>
      <c r="L7" s="7"/>
      <c r="M7" s="7"/>
      <c r="N7" s="7"/>
      <c r="O7" s="7"/>
      <c r="P7" s="7"/>
      <c r="Q7" s="7"/>
      <c r="R7" s="7"/>
      <c r="S7" s="7"/>
      <c r="T7" s="1610" t="s">
        <v>1604</v>
      </c>
      <c r="U7" s="1610"/>
      <c r="V7" s="1610"/>
      <c r="W7" s="1610"/>
      <c r="X7" s="1610"/>
      <c r="Y7" s="1610" t="s">
        <v>1746</v>
      </c>
      <c r="Z7" s="1610"/>
      <c r="AA7" s="1610"/>
      <c r="AB7" s="1610"/>
      <c r="AC7" s="1610"/>
      <c r="AD7" s="1610" t="s">
        <v>1358</v>
      </c>
      <c r="AE7" s="1610"/>
      <c r="AF7" s="1610"/>
      <c r="AG7" s="1610"/>
      <c r="AH7" s="1610"/>
      <c r="AI7" s="1610" t="s">
        <v>1747</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2" t="s">
        <v>507</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50271829</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2" customHeight="1">
      <c r="B12" s="1612" t="s">
        <v>446</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1710</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15" t="s">
        <v>766</v>
      </c>
      <c r="D14" s="1615"/>
      <c r="E14" s="1615"/>
      <c r="F14" s="1615"/>
      <c r="G14" s="1615"/>
      <c r="H14" s="1615"/>
      <c r="I14" s="1615"/>
      <c r="J14" s="1615"/>
      <c r="K14" s="1615"/>
      <c r="L14" s="1615"/>
      <c r="M14" s="1615"/>
      <c r="N14" s="1615"/>
      <c r="O14" s="1615"/>
      <c r="P14" s="1615"/>
      <c r="Q14" s="1615"/>
      <c r="R14" s="1615"/>
      <c r="S14" s="1616"/>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2" customHeight="1">
      <c r="B15" s="8"/>
      <c r="C15" s="1615" t="s">
        <v>767</v>
      </c>
      <c r="D15" s="1615"/>
      <c r="E15" s="1615"/>
      <c r="F15" s="1615"/>
      <c r="G15" s="1615"/>
      <c r="H15" s="1615"/>
      <c r="I15" s="1615"/>
      <c r="J15" s="1615"/>
      <c r="K15" s="1615"/>
      <c r="L15" s="1615"/>
      <c r="M15" s="1615"/>
      <c r="N15" s="1615"/>
      <c r="O15" s="1615"/>
      <c r="P15" s="1615"/>
      <c r="Q15" s="1615"/>
      <c r="R15" s="1615"/>
      <c r="S15" s="1616"/>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2" customHeight="1">
      <c r="B16" s="8"/>
      <c r="C16" s="1614" t="s">
        <v>1010</v>
      </c>
      <c r="D16" s="1614"/>
      <c r="E16" s="1614"/>
      <c r="F16" s="1614"/>
      <c r="G16" s="1614"/>
      <c r="H16" s="1614"/>
      <c r="I16" s="1614"/>
      <c r="J16" s="1614"/>
      <c r="K16" s="1614"/>
      <c r="L16" s="1614"/>
      <c r="M16" s="1614"/>
      <c r="N16" s="1614"/>
      <c r="O16" s="1614"/>
      <c r="P16" s="1614"/>
      <c r="Q16" s="1614"/>
      <c r="R16" s="1614"/>
      <c r="S16" s="1617"/>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2" customHeight="1">
      <c r="B17" s="8"/>
      <c r="C17" s="1615" t="s">
        <v>768</v>
      </c>
      <c r="D17" s="1615"/>
      <c r="E17" s="1615"/>
      <c r="F17" s="1615"/>
      <c r="G17" s="1615"/>
      <c r="H17" s="1615"/>
      <c r="I17" s="1615"/>
      <c r="J17" s="1615"/>
      <c r="K17" s="1615"/>
      <c r="L17" s="1615"/>
      <c r="M17" s="1615"/>
      <c r="N17" s="1615"/>
      <c r="O17" s="1615"/>
      <c r="P17" s="1615"/>
      <c r="Q17" s="1615"/>
      <c r="R17" s="1615"/>
      <c r="S17" s="1616"/>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2" customHeight="1">
      <c r="B18" s="592"/>
      <c r="C18" s="1614" t="s">
        <v>1362</v>
      </c>
      <c r="D18" s="1615"/>
      <c r="E18" s="1615"/>
      <c r="F18" s="1615"/>
      <c r="G18" s="1615"/>
      <c r="H18" s="1615"/>
      <c r="I18" s="1615"/>
      <c r="J18" s="1615"/>
      <c r="K18" s="1615"/>
      <c r="L18" s="1615"/>
      <c r="M18" s="1615"/>
      <c r="N18" s="1615"/>
      <c r="O18" s="1615"/>
      <c r="P18" s="1615"/>
      <c r="Q18" s="1615"/>
      <c r="R18" s="1615"/>
      <c r="S18" s="1616"/>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2" customHeight="1">
      <c r="B19" s="483"/>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2" customHeight="1">
      <c r="B20" s="1182" t="s">
        <v>769</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2" customHeight="1">
      <c r="B21" s="1182" t="s">
        <v>1709</v>
      </c>
      <c r="C21" s="1183"/>
      <c r="D21" s="1183"/>
      <c r="E21" s="1183"/>
      <c r="F21" s="1183"/>
      <c r="G21" s="1183"/>
      <c r="H21" s="1183"/>
      <c r="I21" s="1183"/>
      <c r="J21" s="1183"/>
      <c r="K21" s="1183"/>
      <c r="L21" s="1183"/>
      <c r="M21" s="1183"/>
      <c r="N21" s="1183"/>
      <c r="O21" s="1183"/>
      <c r="P21" s="1183"/>
      <c r="Q21" s="1183"/>
      <c r="R21" s="1183"/>
      <c r="S21" s="1184"/>
      <c r="T21" s="1210">
        <f>'Basis &amp; Credits'!T21</f>
        <v>21754537</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2" customHeight="1">
      <c r="B22" s="1182" t="s">
        <v>770</v>
      </c>
      <c r="C22" s="1183"/>
      <c r="D22" s="1183"/>
      <c r="E22" s="1183"/>
      <c r="F22" s="1183"/>
      <c r="G22" s="1183"/>
      <c r="H22" s="1183"/>
      <c r="I22" s="1183"/>
      <c r="J22" s="1183"/>
      <c r="K22" s="1183"/>
      <c r="L22" s="1183"/>
      <c r="M22" s="1183"/>
      <c r="N22" s="1183"/>
      <c r="O22" s="1183"/>
      <c r="P22" s="1183"/>
      <c r="Q22" s="1183"/>
      <c r="R22" s="1183"/>
      <c r="S22" s="1184"/>
      <c r="T22" s="1604">
        <f>(T20+T21)*-1</f>
        <v>-21754537</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3.2" customHeight="1">
      <c r="B23" s="1182" t="s">
        <v>771</v>
      </c>
      <c r="C23" s="1183"/>
      <c r="D23" s="1183"/>
      <c r="E23" s="1183"/>
      <c r="F23" s="1183"/>
      <c r="G23" s="1183"/>
      <c r="H23" s="1183"/>
      <c r="I23" s="1183"/>
      <c r="J23" s="1183"/>
      <c r="K23" s="1183"/>
      <c r="L23" s="1183"/>
      <c r="M23" s="1183"/>
      <c r="N23" s="1183"/>
      <c r="O23" s="1183"/>
      <c r="P23" s="1183"/>
      <c r="Q23" s="1183"/>
      <c r="R23" s="1183"/>
      <c r="S23" s="1184"/>
      <c r="T23" s="1603">
        <f>T11+T22</f>
        <v>28517292</v>
      </c>
      <c r="U23" s="1202"/>
      <c r="V23" s="1202"/>
      <c r="W23" s="1202"/>
      <c r="X23" s="1202"/>
      <c r="Y23" s="1603">
        <f>Y11+Y22</f>
        <v>0</v>
      </c>
      <c r="Z23" s="1202"/>
      <c r="AA23" s="1202"/>
      <c r="AB23" s="1202"/>
      <c r="AC23" s="1202"/>
      <c r="AD23" s="1603">
        <f>AD11+AD22</f>
        <v>0</v>
      </c>
      <c r="AE23" s="1202"/>
      <c r="AF23" s="1202"/>
      <c r="AG23" s="1202"/>
      <c r="AH23" s="1202"/>
      <c r="AI23" s="1603">
        <f>AI11+AI22</f>
        <v>0</v>
      </c>
      <c r="AJ23" s="1202"/>
      <c r="AK23" s="1202"/>
      <c r="AL23" s="1202"/>
      <c r="AM23" s="1202"/>
    </row>
    <row r="24" spans="1:39" ht="13.2" customHeight="1">
      <c r="B24" s="1182" t="s">
        <v>1216</v>
      </c>
      <c r="C24" s="1183"/>
      <c r="D24" s="1183"/>
      <c r="E24" s="1183"/>
      <c r="F24" s="1183"/>
      <c r="G24" s="1183"/>
      <c r="H24" s="1183"/>
      <c r="I24" s="1183"/>
      <c r="J24" s="1183"/>
      <c r="K24" s="1183"/>
      <c r="L24" s="1183"/>
      <c r="M24" s="1183"/>
      <c r="N24" s="1183"/>
      <c r="O24" s="1183"/>
      <c r="P24" s="1183"/>
      <c r="Q24" s="1183"/>
      <c r="R24" s="1183"/>
      <c r="S24" s="1184"/>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1745</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2" customHeight="1">
      <c r="B26" s="1182" t="s">
        <v>772</v>
      </c>
      <c r="C26" s="1183"/>
      <c r="D26" s="1183"/>
      <c r="E26" s="1183"/>
      <c r="F26" s="1183"/>
      <c r="G26" s="1183"/>
      <c r="H26" s="1183"/>
      <c r="I26" s="1183"/>
      <c r="J26" s="1183"/>
      <c r="K26" s="1183"/>
      <c r="L26" s="1183"/>
      <c r="M26" s="1183"/>
      <c r="N26" s="1183"/>
      <c r="O26" s="1183"/>
      <c r="P26" s="1183"/>
      <c r="Q26" s="1183"/>
      <c r="R26" s="1183"/>
      <c r="S26" s="1184"/>
      <c r="T26" s="1226">
        <f>T23*T25</f>
        <v>28517292</v>
      </c>
      <c r="U26" s="1606"/>
      <c r="V26" s="1606"/>
      <c r="W26" s="1606"/>
      <c r="X26" s="1606"/>
      <c r="Y26" s="1226">
        <f>Y23*Y25</f>
        <v>0</v>
      </c>
      <c r="Z26" s="1606"/>
      <c r="AA26" s="1606"/>
      <c r="AB26" s="1606"/>
      <c r="AC26" s="1606"/>
      <c r="AD26" s="1226">
        <f>AD23*AD25</f>
        <v>0</v>
      </c>
      <c r="AE26" s="1606"/>
      <c r="AF26" s="1606"/>
      <c r="AG26" s="1606"/>
      <c r="AH26" s="1606"/>
      <c r="AI26" s="1226">
        <f>AI23*AI25</f>
        <v>0</v>
      </c>
      <c r="AJ26" s="1606"/>
      <c r="AK26" s="1606"/>
      <c r="AL26" s="1606"/>
      <c r="AM26" s="1606"/>
    </row>
    <row r="27" spans="1:39" ht="13.2" customHeight="1">
      <c r="A27" s="4"/>
      <c r="B27" s="1596" t="s">
        <v>877</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2" t="s">
        <v>841</v>
      </c>
      <c r="C28" s="1183"/>
      <c r="D28" s="1183"/>
      <c r="E28" s="1183"/>
      <c r="F28" s="1183"/>
      <c r="G28" s="1183"/>
      <c r="H28" s="1183"/>
      <c r="I28" s="1183"/>
      <c r="J28" s="1183"/>
      <c r="K28" s="1183"/>
      <c r="L28" s="1183"/>
      <c r="M28" s="1183"/>
      <c r="N28" s="1183"/>
      <c r="O28" s="1183"/>
      <c r="P28" s="1183"/>
      <c r="Q28" s="1183"/>
      <c r="R28" s="1183"/>
      <c r="S28" s="1184"/>
      <c r="T28" s="1226">
        <f>IF(ISERROR((T26*T27)),0,(T26*T27))</f>
        <v>28517292</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3.2" customHeight="1">
      <c r="B29" s="1182" t="s">
        <v>621</v>
      </c>
      <c r="C29" s="1183"/>
      <c r="D29" s="1183"/>
      <c r="E29" s="1183"/>
      <c r="F29" s="1183"/>
      <c r="G29" s="1183"/>
      <c r="H29" s="1183"/>
      <c r="I29" s="1183"/>
      <c r="J29" s="1183"/>
      <c r="K29" s="1183"/>
      <c r="L29" s="1183"/>
      <c r="M29" s="1183"/>
      <c r="N29" s="1183"/>
      <c r="O29" s="1183"/>
      <c r="P29" s="1183"/>
      <c r="Q29" s="1183"/>
      <c r="R29" s="1183"/>
      <c r="S29" s="1184"/>
      <c r="T29" s="1601">
        <f>T28+Y28+AD28+AI28</f>
        <v>28517292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206</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0" t="s">
        <v>1603</v>
      </c>
      <c r="Z35" s="1610"/>
      <c r="AA35" s="1610"/>
      <c r="AB35" s="1610"/>
      <c r="AC35" s="1610"/>
      <c r="AD35" s="1498" t="s">
        <v>41</v>
      </c>
      <c r="AE35" s="1498"/>
      <c r="AF35" s="1498"/>
      <c r="AG35" s="1498"/>
      <c r="AH35" s="1498"/>
    </row>
    <row r="36" spans="1:40" ht="13.2" customHeight="1">
      <c r="B36" s="204"/>
      <c r="X36" s="71"/>
      <c r="Y36" s="1610"/>
      <c r="Z36" s="1610"/>
      <c r="AA36" s="1610"/>
      <c r="AB36" s="1610"/>
      <c r="AC36" s="1610"/>
      <c r="AD36" s="1498"/>
      <c r="AE36" s="1498"/>
      <c r="AF36" s="1498"/>
      <c r="AG36" s="1498"/>
      <c r="AH36" s="149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0" ht="13.2" customHeight="1">
      <c r="A38" s="3"/>
      <c r="B38" s="1182" t="s">
        <v>841</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3.2" customHeight="1">
      <c r="B39" s="1182" t="s">
        <v>763</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0">
        <v>0.09</v>
      </c>
      <c r="Z39" s="1960"/>
      <c r="AA39" s="1960"/>
      <c r="AB39" s="1960"/>
      <c r="AC39" s="1960"/>
      <c r="AD39" s="1960">
        <f>'Basis &amp; Credits'!AD39:AH39</f>
        <v>0.04</v>
      </c>
      <c r="AE39" s="1960"/>
      <c r="AF39" s="1960"/>
      <c r="AG39" s="1960"/>
      <c r="AH39" s="1960"/>
    </row>
    <row r="40" spans="1:40" ht="13.2"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3">
        <f>ROUND(AD38*AD39,0)</f>
        <v>0</v>
      </c>
      <c r="AE40" s="1202"/>
      <c r="AF40" s="1202"/>
      <c r="AG40" s="1202"/>
      <c r="AH40" s="1202"/>
    </row>
    <row r="41" spans="1:40" ht="13.2" customHeight="1">
      <c r="B41" s="1182" t="s">
        <v>615</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IF((Y40+AD40)&gt;2500000,2500000,Y40+AD40)</f>
        <v>0</v>
      </c>
      <c r="Z41" s="1602"/>
      <c r="AA41" s="1602"/>
      <c r="AB41" s="1602"/>
      <c r="AC41" s="1602"/>
      <c r="AD41" s="1602"/>
      <c r="AE41" s="1602"/>
      <c r="AF41" s="1602"/>
      <c r="AG41" s="1602"/>
      <c r="AH41" s="1603"/>
    </row>
    <row r="42" spans="1:40" ht="13.2" customHeight="1">
      <c r="A42" s="3"/>
      <c r="B42" s="1635" t="s">
        <v>1160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2"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row>
    <row r="44" spans="1:40" ht="13.2"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3.2" customHeight="1">
      <c r="A45" s="3" t="s">
        <v>118</v>
      </c>
      <c r="C45" s="3" t="s">
        <v>252</v>
      </c>
    </row>
    <row r="46" spans="1:40" ht="13.2" customHeight="1">
      <c r="D46" s="3" t="s">
        <v>253</v>
      </c>
      <c r="AB46" s="1193">
        <f>'Sources and Uses Budget'!B104-'Sources and Uses Budget'!$B$15</f>
        <v>57108010</v>
      </c>
      <c r="AC46" s="1194"/>
      <c r="AD46" s="1194"/>
      <c r="AE46" s="1194"/>
      <c r="AF46" s="1195"/>
    </row>
    <row r="47" spans="1:40" ht="13.2" customHeight="1">
      <c r="D47" s="3" t="s">
        <v>835</v>
      </c>
      <c r="AB47" s="1193">
        <f>Application!AG633-MIN('Sources and Uses Budget'!B15,Application!AG385)</f>
        <v>0</v>
      </c>
      <c r="AC47" s="1194"/>
      <c r="AD47" s="1194"/>
      <c r="AE47" s="1194"/>
      <c r="AF47" s="1195"/>
    </row>
    <row r="48" spans="1:40" ht="13.2" customHeight="1">
      <c r="D48" s="3" t="s">
        <v>377</v>
      </c>
      <c r="AB48" s="1193">
        <f>AB46-AB47</f>
        <v>57108010</v>
      </c>
      <c r="AC48" s="1194"/>
      <c r="AD48" s="1194"/>
      <c r="AE48" s="1194"/>
      <c r="AF48" s="1195"/>
    </row>
    <row r="49" spans="1:40" ht="13.2" customHeight="1">
      <c r="D49" s="3" t="s">
        <v>870</v>
      </c>
      <c r="AA49" s="34"/>
      <c r="AB49" s="1630"/>
      <c r="AC49" s="1631"/>
      <c r="AD49" s="1631"/>
      <c r="AE49" s="1631"/>
      <c r="AF49" s="1632"/>
    </row>
    <row r="50" spans="1:40" s="323" customFormat="1" ht="13.2" customHeight="1">
      <c r="A50"/>
      <c r="B50"/>
      <c r="C50"/>
      <c r="D50"/>
      <c r="E50" s="1636" t="s">
        <v>1351</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89"/>
      <c r="AB51" s="489"/>
      <c r="AC51" s="489"/>
      <c r="AD51" s="489"/>
      <c r="AE51" s="489"/>
      <c r="AF51" s="489"/>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3">
        <f>ROUND(IF(ISERROR((AB48/AB49)),0,(AB48/AB49)),0)</f>
        <v>0</v>
      </c>
      <c r="AC53" s="1194"/>
      <c r="AD53" s="1194"/>
      <c r="AE53" s="1194"/>
      <c r="AF53" s="1195"/>
    </row>
    <row r="54" spans="1:40" ht="13.2" customHeight="1">
      <c r="D54" s="3" t="s">
        <v>559</v>
      </c>
      <c r="AB54" s="1193">
        <f>(AB53/10)</f>
        <v>0</v>
      </c>
      <c r="AC54" s="1194"/>
      <c r="AD54" s="1194"/>
      <c r="AE54" s="1194"/>
      <c r="AF54" s="1195"/>
    </row>
    <row r="55" spans="1:40" ht="13.2" customHeight="1">
      <c r="D55" s="3" t="s">
        <v>340</v>
      </c>
      <c r="AB55" s="1962">
        <f>(IF((Y41&lt;AB54),Y41,AB54))</f>
        <v>0</v>
      </c>
      <c r="AC55" s="1963"/>
      <c r="AD55" s="1963"/>
      <c r="AE55" s="1963"/>
      <c r="AF55" s="1964"/>
    </row>
    <row r="56" spans="1:40" ht="13.2" customHeight="1">
      <c r="D56" s="3" t="s">
        <v>106</v>
      </c>
      <c r="AB56" s="1193">
        <f>ROUND((10*AB55*AB49),0)</f>
        <v>0</v>
      </c>
      <c r="AC56" s="1194"/>
      <c r="AD56" s="1194"/>
      <c r="AE56" s="1194"/>
      <c r="AF56" s="1195"/>
    </row>
    <row r="57" spans="1:40" ht="13.2" customHeight="1">
      <c r="D57" s="3"/>
      <c r="AB57" s="276"/>
      <c r="AC57" s="276"/>
      <c r="AD57" s="276"/>
      <c r="AE57" s="276"/>
      <c r="AF57" s="276"/>
    </row>
    <row r="58" spans="1:40" ht="13.2" customHeight="1">
      <c r="D58" s="3" t="s">
        <v>105</v>
      </c>
      <c r="AB58" s="1214">
        <f>AB48-AB56</f>
        <v>57108010</v>
      </c>
      <c r="AC58" s="1214"/>
      <c r="AD58" s="1214"/>
      <c r="AE58" s="1214"/>
      <c r="AF58" s="1214"/>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39" t="s">
        <v>1748</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121</v>
      </c>
      <c r="C62" s="3" t="s">
        <v>508</v>
      </c>
      <c r="Y62" s="1169" t="s">
        <v>297</v>
      </c>
      <c r="Z62" s="1169"/>
      <c r="AA62" s="1169"/>
      <c r="AB62" s="1169"/>
      <c r="AC62" s="1169"/>
      <c r="AD62" s="1169" t="s">
        <v>41</v>
      </c>
      <c r="AE62" s="1169"/>
      <c r="AF62" s="1169"/>
      <c r="AG62" s="1169"/>
      <c r="AH62" s="1169"/>
    </row>
    <row r="63" spans="1:40" ht="13.2" customHeight="1">
      <c r="C63" s="3"/>
      <c r="D63" s="128" t="s">
        <v>1239</v>
      </c>
      <c r="E63" s="15"/>
      <c r="F63" s="15"/>
      <c r="G63" s="15"/>
      <c r="H63" s="15"/>
      <c r="I63" s="15"/>
      <c r="J63" s="15"/>
      <c r="K63" s="15"/>
      <c r="L63" s="15"/>
      <c r="M63" s="15"/>
      <c r="N63" s="15"/>
      <c r="O63" s="15"/>
      <c r="P63" s="15"/>
      <c r="Q63" s="15"/>
      <c r="R63" s="15"/>
      <c r="S63" s="15"/>
      <c r="T63" s="15"/>
      <c r="U63" s="15"/>
      <c r="V63" s="15"/>
      <c r="W63" s="15"/>
      <c r="X63" s="15"/>
      <c r="Y63" s="1202">
        <f>Y28</f>
        <v>0</v>
      </c>
      <c r="Z63" s="1633"/>
      <c r="AA63" s="1633"/>
      <c r="AB63" s="1633"/>
      <c r="AC63" s="1633"/>
      <c r="AD63" s="1202">
        <f>AI28</f>
        <v>0</v>
      </c>
      <c r="AE63" s="1633"/>
      <c r="AF63" s="1633"/>
      <c r="AG63" s="1633"/>
      <c r="AH63" s="1633"/>
    </row>
    <row r="64" spans="1:40" ht="13.2" customHeight="1">
      <c r="C64" s="3"/>
      <c r="E64" s="1640" t="s">
        <v>1287</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2" customHeight="1">
      <c r="C67" s="3"/>
      <c r="D67" s="3" t="s">
        <v>939</v>
      </c>
      <c r="Y67" s="1202">
        <f>ROUND(Y63*Y66,0)</f>
        <v>0</v>
      </c>
      <c r="Z67" s="1633"/>
      <c r="AA67" s="1633"/>
      <c r="AB67" s="1633"/>
      <c r="AC67" s="1633"/>
      <c r="AD67" s="1202" t="str">
        <f>IF(OR(Application!D211="At-Risk",Application!D211="At-Risk/Located in Rural Census Tract",Application!D214="At-Risk"),ROUND(AD63*AD66,0),"$0")</f>
        <v>$0</v>
      </c>
      <c r="AE67" s="1202"/>
      <c r="AF67" s="1202"/>
      <c r="AG67" s="1202"/>
      <c r="AH67" s="1202"/>
    </row>
    <row r="68" spans="1:34" ht="13.2" customHeight="1">
      <c r="C68" s="3"/>
      <c r="E68" s="3"/>
      <c r="AB68" s="2"/>
      <c r="AC68" s="2"/>
      <c r="AD68" s="2"/>
      <c r="AE68" s="2"/>
      <c r="AF68" s="2"/>
    </row>
    <row r="69" spans="1:34" ht="13.2" customHeight="1">
      <c r="A69" s="3" t="s">
        <v>122</v>
      </c>
      <c r="C69" s="3" t="s">
        <v>254</v>
      </c>
    </row>
    <row r="70" spans="1:34" ht="13.2" customHeight="1">
      <c r="A70" s="3"/>
      <c r="C70" s="3"/>
      <c r="D70" s="3" t="s">
        <v>871</v>
      </c>
      <c r="AB70" s="1630"/>
      <c r="AC70" s="1631"/>
      <c r="AD70" s="1631"/>
      <c r="AE70" s="1631"/>
      <c r="AF70" s="1632"/>
    </row>
    <row r="71" spans="1:34" ht="13.2" customHeight="1">
      <c r="A71" s="3"/>
      <c r="C71" s="3"/>
      <c r="D71" s="3"/>
      <c r="E71" s="1634" t="s">
        <v>1743</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517">
        <f>ROUND(IF(ISERROR((AB58/AB70)),0,(AB58/AB70)),0)</f>
        <v>0</v>
      </c>
      <c r="AC75" s="1517"/>
      <c r="AD75" s="1517"/>
      <c r="AE75" s="1517"/>
      <c r="AF75" s="1517"/>
    </row>
    <row r="76" spans="1:34" ht="13.2" customHeight="1">
      <c r="C76" s="3"/>
      <c r="D76" s="3" t="s">
        <v>104</v>
      </c>
      <c r="AB76" s="1552">
        <f>IF((Y67+AD67&lt;AB75),Y67+AD67,AB75)</f>
        <v>0</v>
      </c>
      <c r="AC76" s="1553"/>
      <c r="AD76" s="1553"/>
      <c r="AE76" s="1553"/>
      <c r="AF76" s="1554"/>
    </row>
    <row r="77" spans="1:34" ht="13.2" customHeight="1">
      <c r="C77" s="3"/>
      <c r="D77" s="3" t="s">
        <v>940</v>
      </c>
      <c r="AB77" s="1628">
        <f>AB76*AB70</f>
        <v>0</v>
      </c>
      <c r="AC77" s="1628"/>
      <c r="AD77" s="1628"/>
      <c r="AE77" s="1628"/>
      <c r="AF77" s="1628"/>
    </row>
    <row r="78" spans="1:34" ht="13.2" customHeight="1">
      <c r="C78" s="3"/>
      <c r="D78" s="3"/>
      <c r="AB78" s="597"/>
      <c r="AC78" s="597"/>
      <c r="AD78" s="597"/>
      <c r="AE78" s="597"/>
      <c r="AF78" s="597"/>
    </row>
    <row r="79" spans="1:34" ht="13.2" customHeight="1">
      <c r="D79" s="3" t="s">
        <v>105</v>
      </c>
      <c r="AB79" s="1214">
        <f>AB48-(AB56+AB77)</f>
        <v>57108010</v>
      </c>
      <c r="AC79" s="1214"/>
      <c r="AD79" s="1214"/>
      <c r="AE79" s="1214"/>
      <c r="AF79" s="1214"/>
    </row>
    <row r="80" spans="1:34" ht="13.2" customHeight="1">
      <c r="F80" s="16"/>
      <c r="J80" s="16" t="str">
        <f>IF(AB79&gt;0,"FUNDING GAP MUST NOT EXCEED ZERO","")</f>
        <v>FUNDING GAP MUST NOT EXCEED ZERO</v>
      </c>
    </row>
    <row r="81" spans="4:4" ht="13.2"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4" t="s">
        <v>1228</v>
      </c>
      <c r="G1" s="565"/>
    </row>
    <row r="2" spans="1:7" ht="13.2">
      <c r="A2" s="264" t="s">
        <v>950</v>
      </c>
      <c r="B2" s="227"/>
      <c r="C2" s="324"/>
      <c r="D2" s="324"/>
      <c r="E2" s="227"/>
      <c r="F2" s="325"/>
      <c r="G2" s="325"/>
    </row>
    <row r="3" spans="1:7" s="566" customFormat="1" ht="80.25" customHeight="1">
      <c r="A3" s="336"/>
      <c r="B3" s="326" t="s">
        <v>949</v>
      </c>
      <c r="C3" s="326" t="s">
        <v>1175</v>
      </c>
      <c r="D3" s="326" t="s">
        <v>952</v>
      </c>
      <c r="E3" s="326" t="s">
        <v>953</v>
      </c>
      <c r="F3" s="322" t="s">
        <v>951</v>
      </c>
      <c r="G3" s="326"/>
    </row>
    <row r="4" spans="1:7" s="567" customFormat="1" ht="13.2">
      <c r="A4" s="882" t="s">
        <v>341</v>
      </c>
      <c r="B4" s="327"/>
      <c r="C4" s="327"/>
      <c r="D4" s="327"/>
      <c r="E4" s="327"/>
      <c r="F4" s="327"/>
      <c r="G4" s="327"/>
    </row>
    <row r="5" spans="1:7" s="567" customFormat="1" ht="13.2">
      <c r="A5" s="883" t="s">
        <v>954</v>
      </c>
      <c r="B5" s="329">
        <f>'Sources and Uses Budget'!C4</f>
        <v>4250000</v>
      </c>
      <c r="C5" s="329">
        <f>'Sources and Uses Budget'!C4</f>
        <v>4250000</v>
      </c>
      <c r="D5" s="329">
        <f>'Sources and Uses Budget'!C4</f>
        <v>4250000</v>
      </c>
      <c r="E5" s="331">
        <f>C5-B5</f>
        <v>0</v>
      </c>
      <c r="F5" s="330"/>
      <c r="G5" s="330"/>
    </row>
    <row r="6" spans="1:7" s="567" customFormat="1" ht="13.2">
      <c r="A6" s="883" t="s">
        <v>955</v>
      </c>
      <c r="B6" s="329">
        <f>'Sources and Uses Budget'!C5</f>
        <v>0</v>
      </c>
      <c r="C6" s="329">
        <f>'Sources and Uses Budget'!C5</f>
        <v>0</v>
      </c>
      <c r="D6" s="329">
        <f>'Sources and Uses Budget'!C5</f>
        <v>0</v>
      </c>
      <c r="E6" s="331">
        <f t="shared" ref="E6:E73" si="0">C6-B6</f>
        <v>0</v>
      </c>
      <c r="F6" s="330"/>
      <c r="G6" s="330"/>
    </row>
    <row r="7" spans="1:7" s="567" customFormat="1" ht="13.2">
      <c r="A7" s="883" t="s">
        <v>342</v>
      </c>
      <c r="B7" s="329">
        <f>'Sources and Uses Budget'!C6</f>
        <v>40732</v>
      </c>
      <c r="C7" s="329">
        <f>'Sources and Uses Budget'!C6</f>
        <v>40732</v>
      </c>
      <c r="D7" s="329">
        <f>'Sources and Uses Budget'!C6</f>
        <v>40732</v>
      </c>
      <c r="E7" s="331">
        <f t="shared" si="0"/>
        <v>0</v>
      </c>
      <c r="F7" s="330"/>
      <c r="G7" s="330"/>
    </row>
    <row r="8" spans="1:7" s="567" customFormat="1" ht="13.2">
      <c r="A8" s="883" t="s">
        <v>281</v>
      </c>
      <c r="B8" s="329">
        <f>'Sources and Uses Budget'!C7</f>
        <v>0</v>
      </c>
      <c r="C8" s="329">
        <f>'Sources and Uses Budget'!C7</f>
        <v>0</v>
      </c>
      <c r="D8" s="329">
        <f>'Sources and Uses Budget'!C7</f>
        <v>0</v>
      </c>
      <c r="E8" s="331">
        <f t="shared" si="0"/>
        <v>0</v>
      </c>
      <c r="F8" s="330"/>
      <c r="G8" s="330"/>
    </row>
    <row r="9" spans="1:7" s="567" customFormat="1" ht="13.2">
      <c r="A9" s="884" t="s">
        <v>956</v>
      </c>
      <c r="B9" s="331">
        <f>SUM(B5:B8)</f>
        <v>4290732</v>
      </c>
      <c r="C9" s="331">
        <f>SUM(C5:C8)</f>
        <v>4290732</v>
      </c>
      <c r="D9" s="331">
        <f>SUM(D5:D8)</f>
        <v>4290732</v>
      </c>
      <c r="E9" s="331">
        <f t="shared" si="0"/>
        <v>0</v>
      </c>
      <c r="F9" s="330"/>
      <c r="G9" s="330"/>
    </row>
    <row r="10" spans="1:7" s="567" customFormat="1" ht="13.2">
      <c r="A10" s="883" t="s">
        <v>583</v>
      </c>
      <c r="B10" s="329">
        <f>'Sources and Uses Budget'!C9</f>
        <v>0</v>
      </c>
      <c r="C10" s="329">
        <f>'Sources and Uses Budget'!C9</f>
        <v>0</v>
      </c>
      <c r="D10" s="329">
        <f>'Sources and Uses Budget'!C9</f>
        <v>0</v>
      </c>
      <c r="E10" s="331">
        <f t="shared" si="0"/>
        <v>0</v>
      </c>
      <c r="F10" s="330"/>
      <c r="G10" s="330"/>
    </row>
    <row r="11" spans="1:7" s="567" customFormat="1" ht="13.2">
      <c r="A11" s="883" t="s">
        <v>957</v>
      </c>
      <c r="B11" s="329">
        <f>'Sources and Uses Budget'!C10</f>
        <v>1067083</v>
      </c>
      <c r="C11" s="329">
        <f>'Sources and Uses Budget'!C10</f>
        <v>1067083</v>
      </c>
      <c r="D11" s="329">
        <f>'Sources and Uses Budget'!C10</f>
        <v>1067083</v>
      </c>
      <c r="E11" s="331">
        <f t="shared" si="0"/>
        <v>0</v>
      </c>
      <c r="F11" s="330"/>
      <c r="G11" s="330"/>
    </row>
    <row r="12" spans="1:7" s="567" customFormat="1" ht="13.2">
      <c r="A12" s="884" t="s">
        <v>584</v>
      </c>
      <c r="B12" s="331">
        <f>SUM(B10:B11)</f>
        <v>1067083</v>
      </c>
      <c r="C12" s="331">
        <f>SUM(C10:C11)</f>
        <v>1067083</v>
      </c>
      <c r="D12" s="331">
        <f>SUM(D10:D11)</f>
        <v>1067083</v>
      </c>
      <c r="E12" s="331">
        <f t="shared" si="0"/>
        <v>0</v>
      </c>
      <c r="F12" s="330"/>
      <c r="G12" s="330"/>
    </row>
    <row r="13" spans="1:7" s="567" customFormat="1" ht="13.2">
      <c r="A13" s="884" t="s">
        <v>709</v>
      </c>
      <c r="B13" s="331">
        <f>SUM(B9+B12)</f>
        <v>5357815</v>
      </c>
      <c r="C13" s="331">
        <f>SUM(C9+C12)</f>
        <v>5357815</v>
      </c>
      <c r="D13" s="331">
        <f>SUM(D9+D12)</f>
        <v>5357815</v>
      </c>
      <c r="E13" s="331">
        <f t="shared" si="0"/>
        <v>0</v>
      </c>
      <c r="F13" s="330"/>
      <c r="G13" s="330"/>
    </row>
    <row r="14" spans="1:7" s="567" customFormat="1" ht="13.2">
      <c r="A14" s="885" t="s">
        <v>1108</v>
      </c>
      <c r="B14" s="329">
        <f>'Sources and Uses Budget'!C13</f>
        <v>260311</v>
      </c>
      <c r="C14" s="329">
        <f>'Sources and Uses Budget'!C13</f>
        <v>260311</v>
      </c>
      <c r="D14" s="329">
        <f>'Sources and Uses Budget'!C13</f>
        <v>260311</v>
      </c>
      <c r="E14" s="331">
        <f t="shared" si="0"/>
        <v>0</v>
      </c>
      <c r="F14" s="330"/>
      <c r="G14" s="330"/>
    </row>
    <row r="15" spans="1:7" s="567" customFormat="1" ht="22.8">
      <c r="A15" s="883" t="s">
        <v>1139</v>
      </c>
      <c r="B15" s="329">
        <f>'Sources and Uses Budget'!C14</f>
        <v>0</v>
      </c>
      <c r="C15" s="329">
        <f>'Sources and Uses Budget'!C14</f>
        <v>0</v>
      </c>
      <c r="D15" s="329">
        <f>'Sources and Uses Budget'!C14</f>
        <v>0</v>
      </c>
      <c r="E15" s="331">
        <f t="shared" si="0"/>
        <v>0</v>
      </c>
      <c r="F15" s="330"/>
      <c r="G15" s="330"/>
    </row>
    <row r="16" spans="1:7" s="567" customFormat="1" ht="13.2">
      <c r="A16" s="883" t="s">
        <v>1679</v>
      </c>
      <c r="B16" s="329">
        <f>'Sources and Uses Budget'!C15</f>
        <v>0</v>
      </c>
      <c r="C16" s="329">
        <f>'Sources and Uses Budget'!C15</f>
        <v>0</v>
      </c>
      <c r="D16" s="329">
        <f>'Sources and Uses Budget'!C15</f>
        <v>0</v>
      </c>
      <c r="E16" s="331">
        <f t="shared" si="0"/>
        <v>0</v>
      </c>
      <c r="F16" s="330"/>
      <c r="G16" s="330"/>
    </row>
    <row r="17" spans="1:7" s="567" customFormat="1" ht="13.2">
      <c r="A17" s="882" t="s">
        <v>907</v>
      </c>
      <c r="B17" s="327"/>
      <c r="C17" s="327"/>
      <c r="D17" s="327"/>
      <c r="E17" s="327"/>
      <c r="F17" s="327"/>
      <c r="G17" s="327"/>
    </row>
    <row r="18" spans="1:7" s="567" customFormat="1" ht="13.2">
      <c r="A18" s="239" t="s">
        <v>908</v>
      </c>
      <c r="B18" s="329">
        <f>'Sources and Uses Budget'!C17</f>
        <v>0</v>
      </c>
      <c r="C18" s="329">
        <f>'Sources and Uses Budget'!C17</f>
        <v>0</v>
      </c>
      <c r="D18" s="329">
        <f>'Sources and Uses Budget'!C17</f>
        <v>0</v>
      </c>
      <c r="E18" s="331">
        <f t="shared" si="0"/>
        <v>0</v>
      </c>
      <c r="F18" s="330"/>
      <c r="G18" s="330"/>
    </row>
    <row r="19" spans="1:7" s="567" customFormat="1" ht="13.2">
      <c r="A19" s="239" t="s">
        <v>909</v>
      </c>
      <c r="B19" s="329">
        <f>'Sources and Uses Budget'!C18</f>
        <v>0</v>
      </c>
      <c r="C19" s="329">
        <f>'Sources and Uses Budget'!C18</f>
        <v>0</v>
      </c>
      <c r="D19" s="329">
        <f>'Sources and Uses Budget'!C18</f>
        <v>0</v>
      </c>
      <c r="E19" s="331">
        <f t="shared" ref="E19:E26" si="1">C19-B19</f>
        <v>0</v>
      </c>
      <c r="F19" s="330"/>
      <c r="G19" s="330"/>
    </row>
    <row r="20" spans="1:7" s="567" customFormat="1" ht="13.2">
      <c r="A20" s="239" t="s">
        <v>910</v>
      </c>
      <c r="B20" s="329">
        <f>'Sources and Uses Budget'!C19</f>
        <v>0</v>
      </c>
      <c r="C20" s="329">
        <f>'Sources and Uses Budget'!C19</f>
        <v>0</v>
      </c>
      <c r="D20" s="329">
        <f>'Sources and Uses Budget'!C19</f>
        <v>0</v>
      </c>
      <c r="E20" s="331">
        <f t="shared" si="1"/>
        <v>0</v>
      </c>
      <c r="F20" s="330"/>
      <c r="G20" s="330"/>
    </row>
    <row r="21" spans="1:7" s="567" customFormat="1" ht="13.2">
      <c r="A21" s="239" t="s">
        <v>911</v>
      </c>
      <c r="B21" s="329">
        <f>'Sources and Uses Budget'!C20</f>
        <v>0</v>
      </c>
      <c r="C21" s="329">
        <f>'Sources and Uses Budget'!C20</f>
        <v>0</v>
      </c>
      <c r="D21" s="329">
        <f>'Sources and Uses Budget'!C20</f>
        <v>0</v>
      </c>
      <c r="E21" s="331">
        <f t="shared" si="1"/>
        <v>0</v>
      </c>
      <c r="F21" s="330"/>
      <c r="G21" s="330"/>
    </row>
    <row r="22" spans="1:7" s="567" customFormat="1" ht="13.2">
      <c r="A22" s="239" t="s">
        <v>912</v>
      </c>
      <c r="B22" s="329">
        <f>'Sources and Uses Budget'!C21</f>
        <v>0</v>
      </c>
      <c r="C22" s="329">
        <f>'Sources and Uses Budget'!C21</f>
        <v>0</v>
      </c>
      <c r="D22" s="329">
        <f>'Sources and Uses Budget'!C21</f>
        <v>0</v>
      </c>
      <c r="E22" s="331">
        <f t="shared" si="1"/>
        <v>0</v>
      </c>
      <c r="F22" s="330"/>
      <c r="G22" s="330"/>
    </row>
    <row r="23" spans="1:7" s="567" customFormat="1" ht="13.2">
      <c r="A23" s="239" t="s">
        <v>913</v>
      </c>
      <c r="B23" s="329">
        <f>'Sources and Uses Budget'!C22</f>
        <v>0</v>
      </c>
      <c r="C23" s="329">
        <f>'Sources and Uses Budget'!C22</f>
        <v>0</v>
      </c>
      <c r="D23" s="329">
        <f>'Sources and Uses Budget'!C22</f>
        <v>0</v>
      </c>
      <c r="E23" s="331">
        <f t="shared" si="1"/>
        <v>0</v>
      </c>
      <c r="F23" s="330"/>
      <c r="G23" s="330"/>
    </row>
    <row r="24" spans="1:7" s="567" customFormat="1" ht="13.2">
      <c r="A24" s="239" t="s">
        <v>914</v>
      </c>
      <c r="B24" s="329">
        <f>'Sources and Uses Budget'!C23</f>
        <v>0</v>
      </c>
      <c r="C24" s="329">
        <f>'Sources and Uses Budget'!C23</f>
        <v>0</v>
      </c>
      <c r="D24" s="329">
        <f>'Sources and Uses Budget'!C23</f>
        <v>0</v>
      </c>
      <c r="E24" s="331">
        <f t="shared" si="1"/>
        <v>0</v>
      </c>
      <c r="F24" s="330"/>
      <c r="G24" s="330"/>
    </row>
    <row r="25" spans="1:7" s="567" customFormat="1" ht="13.2">
      <c r="A25" s="250" t="s">
        <v>1950</v>
      </c>
      <c r="B25" s="329">
        <f>'Sources and Uses Budget'!C24</f>
        <v>0</v>
      </c>
      <c r="C25" s="329">
        <f>'Sources and Uses Budget'!C24</f>
        <v>0</v>
      </c>
      <c r="D25" s="329">
        <f>'Sources and Uses Budget'!C24</f>
        <v>0</v>
      </c>
      <c r="E25" s="331">
        <f t="shared" si="1"/>
        <v>0</v>
      </c>
      <c r="F25" s="330"/>
      <c r="G25" s="330"/>
    </row>
    <row r="26" spans="1:7" s="567" customFormat="1" ht="13.2">
      <c r="A26" s="250" t="s">
        <v>532</v>
      </c>
      <c r="B26" s="329">
        <f>'Sources and Uses Budget'!C25</f>
        <v>0</v>
      </c>
      <c r="C26" s="329">
        <f>'Sources and Uses Budget'!C25</f>
        <v>0</v>
      </c>
      <c r="D26" s="329">
        <f>'Sources and Uses Budget'!C25</f>
        <v>0</v>
      </c>
      <c r="E26" s="331">
        <f t="shared" si="1"/>
        <v>0</v>
      </c>
      <c r="F26" s="330"/>
      <c r="G26" s="330"/>
    </row>
    <row r="27" spans="1:7" s="567" customFormat="1" ht="13.2">
      <c r="A27" s="332" t="s">
        <v>221</v>
      </c>
      <c r="B27" s="893">
        <f>'Sources and Uses Budget'!C26</f>
        <v>0</v>
      </c>
      <c r="C27" s="893">
        <f>'Sources and Uses Budget'!C26</f>
        <v>0</v>
      </c>
      <c r="D27" s="893">
        <f>'Sources and Uses Budget'!C26</f>
        <v>0</v>
      </c>
      <c r="E27" s="331">
        <f>C27-B27</f>
        <v>0</v>
      </c>
      <c r="F27" s="330"/>
      <c r="G27" s="330"/>
    </row>
    <row r="28" spans="1:7" s="567" customFormat="1" ht="13.2">
      <c r="A28" s="886" t="s">
        <v>915</v>
      </c>
      <c r="B28" s="329">
        <f>'Sources and Uses Budget'!C27</f>
        <v>0</v>
      </c>
      <c r="C28" s="329">
        <f>'Sources and Uses Budget'!C27</f>
        <v>0</v>
      </c>
      <c r="D28" s="329">
        <f>'Sources and Uses Budget'!C27</f>
        <v>0</v>
      </c>
      <c r="E28" s="331">
        <f>C28-B28</f>
        <v>0</v>
      </c>
      <c r="F28" s="330"/>
      <c r="G28" s="330"/>
    </row>
    <row r="29" spans="1:7" s="567" customFormat="1" ht="13.2">
      <c r="A29" s="882" t="s">
        <v>916</v>
      </c>
      <c r="B29" s="327"/>
      <c r="C29" s="327"/>
      <c r="D29" s="327"/>
      <c r="E29" s="327"/>
      <c r="F29" s="327"/>
      <c r="G29" s="327"/>
    </row>
    <row r="30" spans="1:7" s="567" customFormat="1" ht="13.2">
      <c r="A30" s="239" t="s">
        <v>908</v>
      </c>
      <c r="B30" s="329">
        <f>'Sources and Uses Budget'!C29</f>
        <v>3369350</v>
      </c>
      <c r="C30" s="329">
        <f>'Sources and Uses Budget'!C29</f>
        <v>3369350</v>
      </c>
      <c r="D30" s="329">
        <f>'Sources and Uses Budget'!C29</f>
        <v>3369350</v>
      </c>
      <c r="E30" s="331">
        <f t="shared" si="0"/>
        <v>0</v>
      </c>
      <c r="F30" s="330"/>
      <c r="G30" s="330"/>
    </row>
    <row r="31" spans="1:7" s="567" customFormat="1" ht="13.2">
      <c r="A31" s="239" t="s">
        <v>909</v>
      </c>
      <c r="B31" s="329">
        <f>'Sources and Uses Budget'!C30</f>
        <v>28204904</v>
      </c>
      <c r="C31" s="329">
        <f>'Sources and Uses Budget'!C30</f>
        <v>28204904</v>
      </c>
      <c r="D31" s="329">
        <f>'Sources and Uses Budget'!C30</f>
        <v>28204904</v>
      </c>
      <c r="E31" s="331">
        <f t="shared" si="0"/>
        <v>0</v>
      </c>
      <c r="F31" s="330"/>
      <c r="G31" s="330"/>
    </row>
    <row r="32" spans="1:7" s="567" customFormat="1" ht="13.2">
      <c r="A32" s="239" t="s">
        <v>910</v>
      </c>
      <c r="B32" s="329">
        <f>'Sources and Uses Budget'!C31</f>
        <v>1512505</v>
      </c>
      <c r="C32" s="329">
        <f>'Sources and Uses Budget'!C31</f>
        <v>1512505</v>
      </c>
      <c r="D32" s="329">
        <f>'Sources and Uses Budget'!C31</f>
        <v>1512505</v>
      </c>
      <c r="E32" s="331">
        <f t="shared" si="0"/>
        <v>0</v>
      </c>
      <c r="F32" s="330"/>
      <c r="G32" s="330"/>
    </row>
    <row r="33" spans="1:7" s="567" customFormat="1" ht="13.2">
      <c r="A33" s="239" t="s">
        <v>911</v>
      </c>
      <c r="B33" s="329">
        <f>'Sources and Uses Budget'!C32</f>
        <v>1451538</v>
      </c>
      <c r="C33" s="329">
        <f>'Sources and Uses Budget'!C32</f>
        <v>1451538</v>
      </c>
      <c r="D33" s="329">
        <f>'Sources and Uses Budget'!C32</f>
        <v>1451538</v>
      </c>
      <c r="E33" s="331">
        <f t="shared" si="0"/>
        <v>0</v>
      </c>
      <c r="F33" s="330"/>
      <c r="G33" s="330"/>
    </row>
    <row r="34" spans="1:7" s="567" customFormat="1" ht="13.2">
      <c r="A34" s="239" t="s">
        <v>912</v>
      </c>
      <c r="B34" s="329">
        <f>'Sources and Uses Budget'!C33</f>
        <v>0</v>
      </c>
      <c r="C34" s="329">
        <f>'Sources and Uses Budget'!C33</f>
        <v>0</v>
      </c>
      <c r="D34" s="329">
        <f>'Sources and Uses Budget'!C33</f>
        <v>0</v>
      </c>
      <c r="E34" s="331">
        <f t="shared" si="0"/>
        <v>0</v>
      </c>
      <c r="F34" s="330"/>
      <c r="G34" s="330"/>
    </row>
    <row r="35" spans="1:7" s="567" customFormat="1" ht="13.2">
      <c r="A35" s="239" t="s">
        <v>913</v>
      </c>
      <c r="B35" s="329">
        <f>'Sources and Uses Budget'!C34</f>
        <v>0</v>
      </c>
      <c r="C35" s="329">
        <f>'Sources and Uses Budget'!C34</f>
        <v>0</v>
      </c>
      <c r="D35" s="329">
        <f>'Sources and Uses Budget'!C34</f>
        <v>0</v>
      </c>
      <c r="E35" s="331">
        <f t="shared" si="0"/>
        <v>0</v>
      </c>
      <c r="F35" s="330"/>
      <c r="G35" s="330"/>
    </row>
    <row r="36" spans="1:7" s="567" customFormat="1" ht="13.2">
      <c r="A36" s="239" t="s">
        <v>914</v>
      </c>
      <c r="B36" s="329">
        <f>'Sources and Uses Budget'!C35</f>
        <v>454246</v>
      </c>
      <c r="C36" s="329">
        <f>'Sources and Uses Budget'!C35</f>
        <v>454246</v>
      </c>
      <c r="D36" s="329">
        <f>'Sources and Uses Budget'!C35</f>
        <v>454246</v>
      </c>
      <c r="E36" s="331">
        <f t="shared" si="0"/>
        <v>0</v>
      </c>
      <c r="F36" s="330"/>
      <c r="G36" s="330"/>
    </row>
    <row r="37" spans="1:7" s="567" customFormat="1" ht="13.2">
      <c r="A37" s="239" t="s">
        <v>1950</v>
      </c>
      <c r="B37" s="329">
        <f>'Sources and Uses Budget'!C36</f>
        <v>0</v>
      </c>
      <c r="C37" s="329">
        <f>'Sources and Uses Budget'!C36</f>
        <v>0</v>
      </c>
      <c r="D37" s="329">
        <f>'Sources and Uses Budget'!C36</f>
        <v>0</v>
      </c>
      <c r="E37" s="331">
        <f t="shared" si="0"/>
        <v>0</v>
      </c>
      <c r="F37" s="330"/>
      <c r="G37" s="330"/>
    </row>
    <row r="38" spans="1:7" s="567" customFormat="1" ht="13.2">
      <c r="A38" s="250" t="s">
        <v>532</v>
      </c>
      <c r="B38" s="329">
        <f>'Sources and Uses Budget'!C37</f>
        <v>0</v>
      </c>
      <c r="C38" s="329">
        <f>'Sources and Uses Budget'!C37</f>
        <v>0</v>
      </c>
      <c r="D38" s="329">
        <f>'Sources and Uses Budget'!C37</f>
        <v>0</v>
      </c>
      <c r="E38" s="331">
        <f>C38-B38</f>
        <v>0</v>
      </c>
      <c r="F38" s="330"/>
      <c r="G38" s="330"/>
    </row>
    <row r="39" spans="1:7" s="567" customFormat="1" ht="13.2">
      <c r="A39" s="886" t="s">
        <v>917</v>
      </c>
      <c r="B39" s="893">
        <f>'Sources and Uses Budget'!C38</f>
        <v>34992543</v>
      </c>
      <c r="C39" s="893">
        <f>'Sources and Uses Budget'!C38</f>
        <v>34992543</v>
      </c>
      <c r="D39" s="893">
        <f>'Sources and Uses Budget'!C38</f>
        <v>34992543</v>
      </c>
      <c r="E39" s="331">
        <f>C39-B39</f>
        <v>0</v>
      </c>
      <c r="F39" s="330"/>
      <c r="G39" s="330"/>
    </row>
    <row r="40" spans="1:7" s="567" customFormat="1" ht="13.2">
      <c r="A40" s="882" t="s">
        <v>918</v>
      </c>
      <c r="B40" s="327"/>
      <c r="C40" s="327"/>
      <c r="D40" s="327"/>
      <c r="E40" s="327"/>
      <c r="F40" s="327"/>
      <c r="G40" s="327"/>
    </row>
    <row r="41" spans="1:7" s="567" customFormat="1" ht="13.2">
      <c r="A41" s="887" t="s">
        <v>919</v>
      </c>
      <c r="B41" s="329">
        <f>'Sources and Uses Budget'!C40</f>
        <v>1633545</v>
      </c>
      <c r="C41" s="329">
        <f>'Sources and Uses Budget'!C40</f>
        <v>1633545</v>
      </c>
      <c r="D41" s="329">
        <f>'Sources and Uses Budget'!C40</f>
        <v>1633545</v>
      </c>
      <c r="E41" s="331">
        <f>C41-B41</f>
        <v>0</v>
      </c>
      <c r="F41" s="330"/>
      <c r="G41" s="330"/>
    </row>
    <row r="42" spans="1:7" s="567" customFormat="1" ht="13.2">
      <c r="A42" s="887" t="s">
        <v>920</v>
      </c>
      <c r="B42" s="329">
        <f>'Sources and Uses Budget'!C41</f>
        <v>613625</v>
      </c>
      <c r="C42" s="329">
        <f>'Sources and Uses Budget'!C41</f>
        <v>613625</v>
      </c>
      <c r="D42" s="329">
        <f>'Sources and Uses Budget'!C41</f>
        <v>613625</v>
      </c>
      <c r="E42" s="331">
        <f>C42-B42</f>
        <v>0</v>
      </c>
      <c r="F42" s="330"/>
      <c r="G42" s="330"/>
    </row>
    <row r="43" spans="1:7" s="567" customFormat="1" ht="12" customHeight="1">
      <c r="A43" s="886" t="s">
        <v>921</v>
      </c>
      <c r="B43" s="893">
        <f>'Sources and Uses Budget'!C42</f>
        <v>2247170</v>
      </c>
      <c r="C43" s="893">
        <f>'Sources and Uses Budget'!C42</f>
        <v>2247170</v>
      </c>
      <c r="D43" s="893">
        <f>'Sources and Uses Budget'!C42</f>
        <v>2247170</v>
      </c>
      <c r="E43" s="331">
        <f>C43-B43</f>
        <v>0</v>
      </c>
      <c r="F43" s="330"/>
      <c r="G43" s="330"/>
    </row>
    <row r="44" spans="1:7" s="567" customFormat="1" ht="13.2">
      <c r="A44" s="886" t="s">
        <v>922</v>
      </c>
      <c r="B44" s="329">
        <f>'Sources and Uses Budget'!C43</f>
        <v>1139220</v>
      </c>
      <c r="C44" s="329">
        <f>'Sources and Uses Budget'!C43</f>
        <v>1139220</v>
      </c>
      <c r="D44" s="329">
        <f>'Sources and Uses Budget'!C43</f>
        <v>1139220</v>
      </c>
      <c r="E44" s="331">
        <f>C44-B44</f>
        <v>0</v>
      </c>
      <c r="F44" s="330"/>
      <c r="G44" s="330"/>
    </row>
    <row r="45" spans="1:7" s="567" customFormat="1" ht="13.2">
      <c r="A45" s="235" t="s">
        <v>923</v>
      </c>
      <c r="B45" s="327"/>
      <c r="C45" s="327"/>
      <c r="D45" s="327"/>
      <c r="E45" s="327"/>
      <c r="F45" s="327"/>
      <c r="G45" s="327"/>
    </row>
    <row r="46" spans="1:7" s="567" customFormat="1" ht="12" customHeight="1">
      <c r="A46" s="239" t="s">
        <v>924</v>
      </c>
      <c r="B46" s="329">
        <f>'Sources and Uses Budget'!C45</f>
        <v>2561057</v>
      </c>
      <c r="C46" s="329">
        <f>'Sources and Uses Budget'!C45</f>
        <v>2561057</v>
      </c>
      <c r="D46" s="329">
        <f>'Sources and Uses Budget'!C45</f>
        <v>2561057</v>
      </c>
      <c r="E46" s="331">
        <f t="shared" si="0"/>
        <v>0</v>
      </c>
      <c r="F46" s="330"/>
      <c r="G46" s="330"/>
    </row>
    <row r="47" spans="1:7" s="567" customFormat="1" ht="13.2">
      <c r="A47" s="239" t="s">
        <v>925</v>
      </c>
      <c r="B47" s="329">
        <f>'Sources and Uses Budget'!C46</f>
        <v>268897</v>
      </c>
      <c r="C47" s="329">
        <f>'Sources and Uses Budget'!C46</f>
        <v>268897</v>
      </c>
      <c r="D47" s="329">
        <f>'Sources and Uses Budget'!C46</f>
        <v>268897</v>
      </c>
      <c r="E47" s="331">
        <f t="shared" si="0"/>
        <v>0</v>
      </c>
      <c r="F47" s="330"/>
      <c r="G47" s="330"/>
    </row>
    <row r="48" spans="1:7" s="567" customFormat="1" ht="13.2">
      <c r="A48" s="239" t="s">
        <v>926</v>
      </c>
      <c r="B48" s="329">
        <f>'Sources and Uses Budget'!C47</f>
        <v>0</v>
      </c>
      <c r="C48" s="329">
        <f>'Sources and Uses Budget'!C47</f>
        <v>0</v>
      </c>
      <c r="D48" s="329">
        <f>'Sources and Uses Budget'!C47</f>
        <v>0</v>
      </c>
      <c r="E48" s="331">
        <f t="shared" si="0"/>
        <v>0</v>
      </c>
      <c r="F48" s="330"/>
      <c r="G48" s="330"/>
    </row>
    <row r="49" spans="1:7" s="567" customFormat="1" ht="13.2">
      <c r="A49" s="239" t="s">
        <v>927</v>
      </c>
      <c r="B49" s="329">
        <f>'Sources and Uses Budget'!C48</f>
        <v>0</v>
      </c>
      <c r="C49" s="329">
        <f>'Sources and Uses Budget'!C48</f>
        <v>0</v>
      </c>
      <c r="D49" s="329">
        <f>'Sources and Uses Budget'!C48</f>
        <v>0</v>
      </c>
      <c r="E49" s="331">
        <f t="shared" si="0"/>
        <v>0</v>
      </c>
      <c r="F49" s="330"/>
      <c r="G49" s="330"/>
    </row>
    <row r="50" spans="1:7" s="567" customFormat="1" ht="13.2">
      <c r="A50" s="239" t="s">
        <v>930</v>
      </c>
      <c r="B50" s="329">
        <f>'Sources and Uses Budget'!C49</f>
        <v>85000</v>
      </c>
      <c r="C50" s="329">
        <f>'Sources and Uses Budget'!C49</f>
        <v>85000</v>
      </c>
      <c r="D50" s="329">
        <f>'Sources and Uses Budget'!C49</f>
        <v>85000</v>
      </c>
      <c r="E50" s="331">
        <f t="shared" si="0"/>
        <v>0</v>
      </c>
      <c r="F50" s="330"/>
      <c r="G50" s="330"/>
    </row>
    <row r="51" spans="1:7" s="567" customFormat="1" ht="13.2">
      <c r="A51" s="239" t="s">
        <v>928</v>
      </c>
      <c r="B51" s="329">
        <f>'Sources and Uses Budget'!C50</f>
        <v>61889</v>
      </c>
      <c r="C51" s="329">
        <f>'Sources and Uses Budget'!C50</f>
        <v>61889</v>
      </c>
      <c r="D51" s="329">
        <f>'Sources and Uses Budget'!C50</f>
        <v>61889</v>
      </c>
      <c r="E51" s="331">
        <f t="shared" si="0"/>
        <v>0</v>
      </c>
      <c r="F51" s="330"/>
      <c r="G51" s="330"/>
    </row>
    <row r="52" spans="1:7" s="568" customFormat="1" ht="13.2">
      <c r="A52" s="239" t="s">
        <v>929</v>
      </c>
      <c r="B52" s="329">
        <f>'Sources and Uses Budget'!C51</f>
        <v>605802</v>
      </c>
      <c r="C52" s="329">
        <f>'Sources and Uses Budget'!C51</f>
        <v>605802</v>
      </c>
      <c r="D52" s="329">
        <f>'Sources and Uses Budget'!C51</f>
        <v>605802</v>
      </c>
      <c r="E52" s="331">
        <f t="shared" si="0"/>
        <v>0</v>
      </c>
      <c r="F52" s="330"/>
      <c r="G52" s="330"/>
    </row>
    <row r="53" spans="1:7" s="567" customFormat="1" ht="13.2">
      <c r="A53" s="246" t="s">
        <v>532</v>
      </c>
      <c r="B53" s="329">
        <f>'Sources and Uses Budget'!C52</f>
        <v>0</v>
      </c>
      <c r="C53" s="329">
        <f>'Sources and Uses Budget'!C52</f>
        <v>0</v>
      </c>
      <c r="D53" s="329">
        <f>'Sources and Uses Budget'!C52</f>
        <v>0</v>
      </c>
      <c r="E53" s="331">
        <f t="shared" si="0"/>
        <v>0</v>
      </c>
      <c r="F53" s="330"/>
      <c r="G53" s="330"/>
    </row>
    <row r="54" spans="1:7" s="567" customFormat="1" ht="13.2">
      <c r="A54" s="243" t="s">
        <v>931</v>
      </c>
      <c r="B54" s="893">
        <f>'Sources and Uses Budget'!C53</f>
        <v>3582645</v>
      </c>
      <c r="C54" s="893">
        <f>'Sources and Uses Budget'!C53</f>
        <v>3582645</v>
      </c>
      <c r="D54" s="893">
        <f>'Sources and Uses Budget'!C53</f>
        <v>3582645</v>
      </c>
      <c r="E54" s="331">
        <f t="shared" si="0"/>
        <v>0</v>
      </c>
      <c r="F54" s="330"/>
      <c r="G54" s="330"/>
    </row>
    <row r="55" spans="1:7" s="567" customFormat="1" ht="12" customHeight="1">
      <c r="A55" s="882" t="s">
        <v>681</v>
      </c>
      <c r="B55" s="327"/>
      <c r="C55" s="327"/>
      <c r="D55" s="327"/>
      <c r="E55" s="327"/>
      <c r="F55" s="327"/>
      <c r="G55" s="327"/>
    </row>
    <row r="56" spans="1:7" s="567" customFormat="1" ht="13.2">
      <c r="A56" s="887" t="s">
        <v>932</v>
      </c>
      <c r="B56" s="329">
        <f>'Sources and Uses Budget'!C55</f>
        <v>54430</v>
      </c>
      <c r="C56" s="329">
        <f>'Sources and Uses Budget'!C55</f>
        <v>54430</v>
      </c>
      <c r="D56" s="329">
        <f>'Sources and Uses Budget'!C55</f>
        <v>54430</v>
      </c>
      <c r="E56" s="331">
        <f t="shared" si="0"/>
        <v>0</v>
      </c>
      <c r="F56" s="330"/>
      <c r="G56" s="330"/>
    </row>
    <row r="57" spans="1:7" s="567" customFormat="1" ht="13.2">
      <c r="A57" s="887" t="s">
        <v>926</v>
      </c>
      <c r="B57" s="329">
        <f>'Sources and Uses Budget'!C56</f>
        <v>0</v>
      </c>
      <c r="C57" s="329">
        <f>'Sources and Uses Budget'!C56</f>
        <v>0</v>
      </c>
      <c r="D57" s="329">
        <f>'Sources and Uses Budget'!C56</f>
        <v>0</v>
      </c>
      <c r="E57" s="331">
        <f t="shared" si="0"/>
        <v>0</v>
      </c>
      <c r="F57" s="330"/>
      <c r="G57" s="330"/>
    </row>
    <row r="58" spans="1:7" s="567" customFormat="1" ht="13.2">
      <c r="A58" s="887" t="s">
        <v>930</v>
      </c>
      <c r="B58" s="329">
        <f>'Sources and Uses Budget'!C57</f>
        <v>15000</v>
      </c>
      <c r="C58" s="329">
        <f>'Sources and Uses Budget'!C57</f>
        <v>15000</v>
      </c>
      <c r="D58" s="329">
        <f>'Sources and Uses Budget'!C57</f>
        <v>15000</v>
      </c>
      <c r="E58" s="331">
        <f t="shared" si="0"/>
        <v>0</v>
      </c>
      <c r="F58" s="330"/>
      <c r="G58" s="330"/>
    </row>
    <row r="59" spans="1:7" s="567" customFormat="1" ht="13.2">
      <c r="A59" s="887" t="s">
        <v>928</v>
      </c>
      <c r="B59" s="329">
        <f>'Sources and Uses Budget'!C58</f>
        <v>0</v>
      </c>
      <c r="C59" s="329">
        <f>'Sources and Uses Budget'!C58</f>
        <v>0</v>
      </c>
      <c r="D59" s="329">
        <f>'Sources and Uses Budget'!C58</f>
        <v>0</v>
      </c>
      <c r="E59" s="331">
        <f t="shared" si="0"/>
        <v>0</v>
      </c>
      <c r="F59" s="330"/>
      <c r="G59" s="330"/>
    </row>
    <row r="60" spans="1:7" s="567" customFormat="1" ht="13.2">
      <c r="A60" s="887" t="s">
        <v>929</v>
      </c>
      <c r="B60" s="329">
        <f>'Sources and Uses Budget'!C59</f>
        <v>0</v>
      </c>
      <c r="C60" s="329">
        <f>'Sources and Uses Budget'!C59</f>
        <v>0</v>
      </c>
      <c r="D60" s="329">
        <f>'Sources and Uses Budget'!C59</f>
        <v>0</v>
      </c>
      <c r="E60" s="331">
        <f t="shared" si="0"/>
        <v>0</v>
      </c>
      <c r="F60" s="330"/>
      <c r="G60" s="330"/>
    </row>
    <row r="61" spans="1:7" s="567" customFormat="1" ht="13.95" customHeight="1">
      <c r="A61" s="888" t="s">
        <v>532</v>
      </c>
      <c r="B61" s="329">
        <f>'Sources and Uses Budget'!C60</f>
        <v>55000</v>
      </c>
      <c r="C61" s="329">
        <f>'Sources and Uses Budget'!C60</f>
        <v>55000</v>
      </c>
      <c r="D61" s="329">
        <f>'Sources and Uses Budget'!C60</f>
        <v>55000</v>
      </c>
      <c r="E61" s="331">
        <f t="shared" si="0"/>
        <v>0</v>
      </c>
      <c r="F61" s="330"/>
      <c r="G61" s="330"/>
    </row>
    <row r="62" spans="1:7" s="567" customFormat="1" ht="13.2">
      <c r="A62" s="886" t="s">
        <v>499</v>
      </c>
      <c r="B62" s="893">
        <f>'Sources and Uses Budget'!C61</f>
        <v>124430</v>
      </c>
      <c r="C62" s="893">
        <f>'Sources and Uses Budget'!C61</f>
        <v>124430</v>
      </c>
      <c r="D62" s="893">
        <f>'Sources and Uses Budget'!C61</f>
        <v>124430</v>
      </c>
      <c r="E62" s="331">
        <f t="shared" si="0"/>
        <v>0</v>
      </c>
      <c r="F62" s="330"/>
      <c r="G62" s="330"/>
    </row>
    <row r="63" spans="1:7" s="567" customFormat="1" ht="13.2">
      <c r="A63" s="889" t="s">
        <v>500</v>
      </c>
      <c r="B63" s="893">
        <f>'Sources and Uses Budget'!C62</f>
        <v>47704134</v>
      </c>
      <c r="C63" s="893">
        <f>'Sources and Uses Budget'!C62</f>
        <v>47704134</v>
      </c>
      <c r="D63" s="893">
        <f>'Sources and Uses Budget'!C62</f>
        <v>47704134</v>
      </c>
      <c r="E63" s="331">
        <f t="shared" si="0"/>
        <v>0</v>
      </c>
      <c r="F63" s="330"/>
      <c r="G63" s="330"/>
    </row>
    <row r="64" spans="1:7" s="567" customFormat="1" ht="22.8">
      <c r="A64" s="235" t="s">
        <v>1951</v>
      </c>
      <c r="B64" s="327"/>
      <c r="C64" s="327"/>
      <c r="D64" s="327"/>
      <c r="E64" s="327"/>
      <c r="F64" s="327"/>
      <c r="G64" s="327"/>
    </row>
    <row r="65" spans="1:7" s="567" customFormat="1" ht="13.2">
      <c r="A65" s="239" t="s">
        <v>283</v>
      </c>
      <c r="B65" s="329">
        <f>'Sources and Uses Budget'!C64</f>
        <v>85000</v>
      </c>
      <c r="C65" s="329">
        <f>'Sources and Uses Budget'!C64</f>
        <v>85000</v>
      </c>
      <c r="D65" s="329">
        <f>'Sources and Uses Budget'!C64</f>
        <v>85000</v>
      </c>
      <c r="E65" s="331">
        <f t="shared" si="0"/>
        <v>0</v>
      </c>
      <c r="F65" s="330"/>
      <c r="G65" s="330"/>
    </row>
    <row r="66" spans="1:7" s="567" customFormat="1" ht="22.8">
      <c r="A66" s="239" t="s">
        <v>1952</v>
      </c>
      <c r="B66" s="329">
        <f>'Sources and Uses Budget'!C65</f>
        <v>0</v>
      </c>
      <c r="C66" s="329">
        <f>'Sources and Uses Budget'!C65</f>
        <v>0</v>
      </c>
      <c r="D66" s="329">
        <f>'Sources and Uses Budget'!C65</f>
        <v>0</v>
      </c>
      <c r="E66" s="331">
        <f t="shared" si="0"/>
        <v>0</v>
      </c>
      <c r="F66" s="330"/>
      <c r="G66" s="330"/>
    </row>
    <row r="67" spans="1:7" s="567" customFormat="1" ht="22.8">
      <c r="A67" s="239" t="s">
        <v>1953</v>
      </c>
      <c r="B67" s="329">
        <f>'Sources and Uses Budget'!C66</f>
        <v>0</v>
      </c>
      <c r="C67" s="329">
        <f>'Sources and Uses Budget'!C66</f>
        <v>0</v>
      </c>
      <c r="D67" s="329">
        <f>'Sources and Uses Budget'!C66</f>
        <v>0</v>
      </c>
      <c r="E67" s="331">
        <f t="shared" si="0"/>
        <v>0</v>
      </c>
      <c r="F67" s="330"/>
      <c r="G67" s="330"/>
    </row>
    <row r="68" spans="1:7" s="567" customFormat="1" ht="13.2">
      <c r="A68" s="239" t="s">
        <v>1954</v>
      </c>
      <c r="B68" s="329">
        <f>'Sources and Uses Budget'!C67</f>
        <v>0</v>
      </c>
      <c r="C68" s="329">
        <f>'Sources and Uses Budget'!C67</f>
        <v>0</v>
      </c>
      <c r="D68" s="329">
        <f>'Sources and Uses Budget'!C67</f>
        <v>0</v>
      </c>
      <c r="E68" s="331">
        <f t="shared" si="0"/>
        <v>0</v>
      </c>
      <c r="F68" s="330"/>
      <c r="G68" s="330"/>
    </row>
    <row r="69" spans="1:7" s="567" customFormat="1" ht="13.2">
      <c r="A69" s="250" t="s">
        <v>2012</v>
      </c>
      <c r="B69" s="329">
        <f>'Sources and Uses Budget'!C68</f>
        <v>134000</v>
      </c>
      <c r="C69" s="329">
        <f>'Sources and Uses Budget'!C68</f>
        <v>134000</v>
      </c>
      <c r="D69" s="329">
        <f>'Sources and Uses Budget'!C68</f>
        <v>134000</v>
      </c>
      <c r="E69" s="331">
        <f t="shared" si="0"/>
        <v>0</v>
      </c>
      <c r="F69" s="330"/>
      <c r="G69" s="330"/>
    </row>
    <row r="70" spans="1:7" s="567" customFormat="1" ht="13.2">
      <c r="A70" s="243" t="s">
        <v>1955</v>
      </c>
      <c r="B70" s="893">
        <f>'Sources and Uses Budget'!C69</f>
        <v>219000</v>
      </c>
      <c r="C70" s="893">
        <f>'Sources and Uses Budget'!C69</f>
        <v>219000</v>
      </c>
      <c r="D70" s="893">
        <f>'Sources and Uses Budget'!C69</f>
        <v>219000</v>
      </c>
      <c r="E70" s="331">
        <f t="shared" si="0"/>
        <v>0</v>
      </c>
      <c r="F70" s="330"/>
      <c r="G70" s="330"/>
    </row>
    <row r="71" spans="1:7" s="567" customFormat="1" ht="13.2">
      <c r="A71" s="882" t="s">
        <v>284</v>
      </c>
      <c r="B71" s="327"/>
      <c r="C71" s="327"/>
      <c r="D71" s="327"/>
      <c r="E71" s="327"/>
      <c r="F71" s="327"/>
      <c r="G71" s="327"/>
    </row>
    <row r="72" spans="1:7" s="567" customFormat="1" ht="13.2">
      <c r="A72" s="887" t="s">
        <v>285</v>
      </c>
      <c r="B72" s="329">
        <f>'Sources and Uses Budget'!C71</f>
        <v>0</v>
      </c>
      <c r="C72" s="329">
        <f>'Sources and Uses Budget'!C71</f>
        <v>0</v>
      </c>
      <c r="D72" s="329">
        <f>'Sources and Uses Budget'!C71</f>
        <v>0</v>
      </c>
      <c r="E72" s="331">
        <f t="shared" si="0"/>
        <v>0</v>
      </c>
      <c r="F72" s="330"/>
      <c r="G72" s="330"/>
    </row>
    <row r="73" spans="1:7" s="567" customFormat="1" ht="13.2">
      <c r="A73" s="887" t="s">
        <v>286</v>
      </c>
      <c r="B73" s="329">
        <f>'Sources and Uses Budget'!C72</f>
        <v>0</v>
      </c>
      <c r="C73" s="329">
        <f>'Sources and Uses Budget'!C72</f>
        <v>0</v>
      </c>
      <c r="D73" s="329">
        <f>'Sources and Uses Budget'!C72</f>
        <v>0</v>
      </c>
      <c r="E73" s="331">
        <f t="shared" si="0"/>
        <v>0</v>
      </c>
      <c r="F73" s="330"/>
      <c r="G73" s="330"/>
    </row>
    <row r="74" spans="1:7" s="567" customFormat="1" ht="13.2">
      <c r="A74" s="890" t="s">
        <v>1237</v>
      </c>
      <c r="B74" s="329">
        <f>'Sources and Uses Budget'!C73</f>
        <v>0</v>
      </c>
      <c r="C74" s="329">
        <f>'Sources and Uses Budget'!C73</f>
        <v>0</v>
      </c>
      <c r="D74" s="329">
        <f>'Sources and Uses Budget'!C73</f>
        <v>0</v>
      </c>
      <c r="E74" s="331">
        <f>C74-B74</f>
        <v>0</v>
      </c>
      <c r="F74" s="330"/>
      <c r="G74" s="330"/>
    </row>
    <row r="75" spans="1:7" s="567" customFormat="1" ht="13.2">
      <c r="A75" s="887" t="s">
        <v>287</v>
      </c>
      <c r="B75" s="329">
        <f>'Sources and Uses Budget'!C74</f>
        <v>288104</v>
      </c>
      <c r="C75" s="329">
        <f>'Sources and Uses Budget'!C74</f>
        <v>288104</v>
      </c>
      <c r="D75" s="329">
        <f>'Sources and Uses Budget'!C74</f>
        <v>288104</v>
      </c>
      <c r="E75" s="331">
        <f>C75-B75</f>
        <v>0</v>
      </c>
      <c r="F75" s="330"/>
      <c r="G75" s="330"/>
    </row>
    <row r="76" spans="1:7" s="567" customFormat="1" ht="13.2">
      <c r="A76" s="891" t="s">
        <v>532</v>
      </c>
      <c r="B76" s="329">
        <f>'Sources and Uses Budget'!C75</f>
        <v>0</v>
      </c>
      <c r="C76" s="329">
        <f>'Sources and Uses Budget'!C75</f>
        <v>0</v>
      </c>
      <c r="D76" s="329">
        <f>'Sources and Uses Budget'!C75</f>
        <v>0</v>
      </c>
      <c r="E76" s="331">
        <f>C76-B76</f>
        <v>0</v>
      </c>
      <c r="F76" s="330"/>
      <c r="G76" s="330"/>
    </row>
    <row r="77" spans="1:7" s="567" customFormat="1" ht="13.2">
      <c r="A77" s="886" t="s">
        <v>288</v>
      </c>
      <c r="B77" s="893">
        <f>'Sources and Uses Budget'!C76</f>
        <v>288104</v>
      </c>
      <c r="C77" s="893">
        <f>'Sources and Uses Budget'!C76</f>
        <v>288104</v>
      </c>
      <c r="D77" s="893">
        <f>'Sources and Uses Budget'!C76</f>
        <v>288104</v>
      </c>
      <c r="E77" s="331">
        <f>C77-B77</f>
        <v>0</v>
      </c>
      <c r="F77" s="330"/>
      <c r="G77" s="330"/>
    </row>
    <row r="78" spans="1:7" s="567" customFormat="1" ht="13.2">
      <c r="A78" s="882" t="s">
        <v>1741</v>
      </c>
      <c r="B78" s="327"/>
      <c r="C78" s="327"/>
      <c r="D78" s="327"/>
      <c r="E78" s="327"/>
      <c r="F78" s="327"/>
      <c r="G78" s="327"/>
    </row>
    <row r="79" spans="1:7" s="567" customFormat="1" ht="13.95" customHeight="1">
      <c r="A79" s="887" t="s">
        <v>1739</v>
      </c>
      <c r="B79" s="329">
        <f>'Sources and Uses Budget'!C78</f>
        <v>1802981</v>
      </c>
      <c r="C79" s="329">
        <f>'Sources and Uses Budget'!C78</f>
        <v>1802981</v>
      </c>
      <c r="D79" s="329">
        <f>'Sources and Uses Budget'!C78</f>
        <v>1802981</v>
      </c>
      <c r="E79" s="331">
        <f t="shared" ref="E79:E105" si="2">C79-B79</f>
        <v>0</v>
      </c>
      <c r="F79" s="330"/>
      <c r="G79" s="330"/>
    </row>
    <row r="80" spans="1:7" s="567" customFormat="1" ht="13.2">
      <c r="A80" s="887" t="s">
        <v>537</v>
      </c>
      <c r="B80" s="329">
        <f>'Sources and Uses Budget'!C79</f>
        <v>387000</v>
      </c>
      <c r="C80" s="329">
        <f>'Sources and Uses Budget'!C79</f>
        <v>387000</v>
      </c>
      <c r="D80" s="329">
        <f>'Sources and Uses Budget'!C79</f>
        <v>387000</v>
      </c>
      <c r="E80" s="331">
        <f t="shared" si="2"/>
        <v>0</v>
      </c>
      <c r="F80" s="330"/>
      <c r="G80" s="330"/>
    </row>
    <row r="81" spans="1:7" s="567" customFormat="1" ht="13.2">
      <c r="A81" s="886" t="s">
        <v>1740</v>
      </c>
      <c r="B81" s="893">
        <f>'Sources and Uses Budget'!C80</f>
        <v>2189981</v>
      </c>
      <c r="C81" s="893">
        <f>'Sources and Uses Budget'!C80</f>
        <v>2189981</v>
      </c>
      <c r="D81" s="893">
        <f>'Sources and Uses Budget'!C80</f>
        <v>2189981</v>
      </c>
      <c r="E81" s="331">
        <f t="shared" si="2"/>
        <v>0</v>
      </c>
      <c r="F81" s="330"/>
      <c r="G81" s="330"/>
    </row>
    <row r="82" spans="1:7" s="567" customFormat="1" ht="13.2">
      <c r="A82" s="882" t="s">
        <v>514</v>
      </c>
      <c r="B82" s="327"/>
      <c r="C82" s="327"/>
      <c r="D82" s="327"/>
      <c r="E82" s="327"/>
      <c r="F82" s="327"/>
      <c r="G82" s="327"/>
    </row>
    <row r="83" spans="1:7" s="567" customFormat="1" ht="13.2">
      <c r="A83" s="239" t="s">
        <v>2111</v>
      </c>
      <c r="B83" s="329">
        <f>'Sources and Uses Budget'!C82</f>
        <v>152900</v>
      </c>
      <c r="C83" s="329">
        <f>'Sources and Uses Budget'!C82</f>
        <v>152900</v>
      </c>
      <c r="D83" s="329">
        <f>'Sources and Uses Budget'!C82</f>
        <v>152900</v>
      </c>
      <c r="E83" s="331">
        <f t="shared" si="2"/>
        <v>0</v>
      </c>
      <c r="F83" s="330"/>
      <c r="G83" s="330"/>
    </row>
    <row r="84" spans="1:7" s="567" customFormat="1" ht="13.2">
      <c r="A84" s="239" t="s">
        <v>515</v>
      </c>
      <c r="B84" s="329">
        <f>'Sources and Uses Budget'!C83</f>
        <v>0</v>
      </c>
      <c r="C84" s="329">
        <f>'Sources and Uses Budget'!C83</f>
        <v>0</v>
      </c>
      <c r="D84" s="329">
        <f>'Sources and Uses Budget'!C83</f>
        <v>0</v>
      </c>
      <c r="E84" s="331">
        <f t="shared" si="2"/>
        <v>0</v>
      </c>
      <c r="F84" s="330"/>
      <c r="G84" s="330"/>
    </row>
    <row r="85" spans="1:7" s="567" customFormat="1" ht="13.2">
      <c r="A85" s="239" t="s">
        <v>516</v>
      </c>
      <c r="B85" s="329">
        <f>'Sources and Uses Budget'!C84</f>
        <v>2606174</v>
      </c>
      <c r="C85" s="329">
        <f>'Sources and Uses Budget'!C84</f>
        <v>2606174</v>
      </c>
      <c r="D85" s="329">
        <f>'Sources and Uses Budget'!C84</f>
        <v>2606174</v>
      </c>
      <c r="E85" s="331">
        <f t="shared" si="2"/>
        <v>0</v>
      </c>
      <c r="F85" s="330"/>
      <c r="G85" s="330"/>
    </row>
    <row r="86" spans="1:7" s="567" customFormat="1" ht="13.2">
      <c r="A86" s="239" t="s">
        <v>517</v>
      </c>
      <c r="B86" s="329">
        <f>'Sources and Uses Budget'!C85</f>
        <v>777000</v>
      </c>
      <c r="C86" s="329">
        <f>'Sources and Uses Budget'!C85</f>
        <v>777000</v>
      </c>
      <c r="D86" s="329">
        <f>'Sources and Uses Budget'!C85</f>
        <v>777000</v>
      </c>
      <c r="E86" s="331">
        <f t="shared" si="2"/>
        <v>0</v>
      </c>
      <c r="F86" s="330"/>
      <c r="G86" s="330"/>
    </row>
    <row r="87" spans="1:7" s="567" customFormat="1" ht="13.2">
      <c r="A87" s="239" t="s">
        <v>518</v>
      </c>
      <c r="B87" s="329">
        <f>'Sources and Uses Budget'!C86</f>
        <v>0</v>
      </c>
      <c r="C87" s="329">
        <f>'Sources and Uses Budget'!C86</f>
        <v>0</v>
      </c>
      <c r="D87" s="329">
        <f>'Sources and Uses Budget'!C86</f>
        <v>0</v>
      </c>
      <c r="E87" s="331">
        <f t="shared" si="2"/>
        <v>0</v>
      </c>
      <c r="F87" s="330"/>
      <c r="G87" s="330"/>
    </row>
    <row r="88" spans="1:7" s="567" customFormat="1" ht="13.2">
      <c r="A88" s="239" t="s">
        <v>519</v>
      </c>
      <c r="B88" s="329">
        <f>'Sources and Uses Budget'!C87</f>
        <v>208217</v>
      </c>
      <c r="C88" s="329">
        <f>'Sources and Uses Budget'!C87</f>
        <v>208217</v>
      </c>
      <c r="D88" s="329">
        <f>'Sources and Uses Budget'!C87</f>
        <v>208217</v>
      </c>
      <c r="E88" s="331">
        <f t="shared" si="2"/>
        <v>0</v>
      </c>
      <c r="F88" s="330"/>
      <c r="G88" s="330"/>
    </row>
    <row r="89" spans="1:7" s="567" customFormat="1" ht="13.2">
      <c r="A89" s="239" t="s">
        <v>520</v>
      </c>
      <c r="B89" s="329">
        <f>'Sources and Uses Budget'!C88</f>
        <v>200000</v>
      </c>
      <c r="C89" s="329">
        <f>'Sources and Uses Budget'!C88</f>
        <v>200000</v>
      </c>
      <c r="D89" s="329">
        <f>'Sources and Uses Budget'!C88</f>
        <v>200000</v>
      </c>
      <c r="E89" s="331">
        <f t="shared" si="2"/>
        <v>0</v>
      </c>
      <c r="F89" s="330"/>
      <c r="G89" s="330"/>
    </row>
    <row r="90" spans="1:7" s="567" customFormat="1" ht="13.2">
      <c r="A90" s="239" t="s">
        <v>521</v>
      </c>
      <c r="B90" s="329">
        <f>'Sources and Uses Budget'!C89</f>
        <v>23500</v>
      </c>
      <c r="C90" s="329">
        <f>'Sources and Uses Budget'!C89</f>
        <v>23500</v>
      </c>
      <c r="D90" s="329">
        <f>'Sources and Uses Budget'!C89</f>
        <v>23500</v>
      </c>
      <c r="E90" s="331">
        <f t="shared" si="2"/>
        <v>0</v>
      </c>
      <c r="F90" s="330"/>
      <c r="G90" s="330"/>
    </row>
    <row r="91" spans="1:7" s="567" customFormat="1" ht="13.2">
      <c r="A91" s="250" t="s">
        <v>1313</v>
      </c>
      <c r="B91" s="329">
        <f>'Sources and Uses Budget'!C90</f>
        <v>0</v>
      </c>
      <c r="C91" s="329">
        <f>'Sources and Uses Budget'!C90</f>
        <v>0</v>
      </c>
      <c r="D91" s="329">
        <f>'Sources and Uses Budget'!C90</f>
        <v>0</v>
      </c>
      <c r="E91" s="331">
        <f t="shared" si="2"/>
        <v>0</v>
      </c>
      <c r="F91" s="330"/>
      <c r="G91" s="330"/>
    </row>
    <row r="92" spans="1:7" s="567" customFormat="1" ht="13.2">
      <c r="A92" s="250" t="s">
        <v>1738</v>
      </c>
      <c r="B92" s="329">
        <f>'Sources and Uses Budget'!C91</f>
        <v>16500</v>
      </c>
      <c r="C92" s="329">
        <f>'Sources and Uses Budget'!C91</f>
        <v>16500</v>
      </c>
      <c r="D92" s="329">
        <f>'Sources and Uses Budget'!C91</f>
        <v>16500</v>
      </c>
      <c r="E92" s="331">
        <f t="shared" si="2"/>
        <v>0</v>
      </c>
      <c r="F92" s="330"/>
      <c r="G92" s="330"/>
    </row>
    <row r="93" spans="1:7" s="567" customFormat="1" ht="13.2">
      <c r="A93" s="246" t="s">
        <v>532</v>
      </c>
      <c r="B93" s="329">
        <f>'Sources and Uses Budget'!C92</f>
        <v>162500</v>
      </c>
      <c r="C93" s="329">
        <f>'Sources and Uses Budget'!C92</f>
        <v>162500</v>
      </c>
      <c r="D93" s="329">
        <f>'Sources and Uses Budget'!C92</f>
        <v>162500</v>
      </c>
      <c r="E93" s="331">
        <f t="shared" si="2"/>
        <v>0</v>
      </c>
      <c r="F93" s="330"/>
      <c r="G93" s="330"/>
    </row>
    <row r="94" spans="1:7" s="567" customFormat="1" ht="13.2">
      <c r="A94" s="246" t="s">
        <v>532</v>
      </c>
      <c r="B94" s="329">
        <f>'Sources and Uses Budget'!C93</f>
        <v>60000</v>
      </c>
      <c r="C94" s="329">
        <f>'Sources and Uses Budget'!C93</f>
        <v>60000</v>
      </c>
      <c r="D94" s="329">
        <f>'Sources and Uses Budget'!C93</f>
        <v>60000</v>
      </c>
      <c r="E94" s="331">
        <f t="shared" si="2"/>
        <v>0</v>
      </c>
      <c r="F94" s="330"/>
      <c r="G94" s="330"/>
    </row>
    <row r="95" spans="1:7" s="567" customFormat="1" ht="13.2">
      <c r="A95" s="246" t="s">
        <v>532</v>
      </c>
      <c r="B95" s="329">
        <f>'Sources and Uses Budget'!C94</f>
        <v>0</v>
      </c>
      <c r="C95" s="329">
        <f>'Sources and Uses Budget'!C94</f>
        <v>0</v>
      </c>
      <c r="D95" s="329">
        <f>'Sources and Uses Budget'!C94</f>
        <v>0</v>
      </c>
      <c r="E95" s="331">
        <f t="shared" si="2"/>
        <v>0</v>
      </c>
      <c r="F95" s="330"/>
      <c r="G95" s="330"/>
    </row>
    <row r="96" spans="1:7" s="567" customFormat="1" ht="13.2">
      <c r="A96" s="243" t="s">
        <v>522</v>
      </c>
      <c r="B96" s="893">
        <f>'Sources and Uses Budget'!C95</f>
        <v>4206791</v>
      </c>
      <c r="C96" s="893">
        <f>'Sources and Uses Budget'!C95</f>
        <v>4206791</v>
      </c>
      <c r="D96" s="893">
        <f>'Sources and Uses Budget'!C95</f>
        <v>4206791</v>
      </c>
      <c r="E96" s="331">
        <f t="shared" si="2"/>
        <v>0</v>
      </c>
      <c r="F96" s="330"/>
      <c r="G96" s="330"/>
    </row>
    <row r="97" spans="1:7" s="567" customFormat="1" ht="13.2">
      <c r="A97" s="243" t="s">
        <v>523</v>
      </c>
      <c r="B97" s="893">
        <f>'Sources and Uses Budget'!C96</f>
        <v>54608010</v>
      </c>
      <c r="C97" s="893">
        <f>'Sources and Uses Budget'!C96</f>
        <v>54608010</v>
      </c>
      <c r="D97" s="893">
        <f>'Sources and Uses Budget'!C96</f>
        <v>54608010</v>
      </c>
      <c r="E97" s="331">
        <f t="shared" si="2"/>
        <v>0</v>
      </c>
      <c r="F97" s="330"/>
      <c r="G97" s="330"/>
    </row>
    <row r="98" spans="1:7" s="567" customFormat="1" ht="13.2">
      <c r="A98" s="882" t="s">
        <v>524</v>
      </c>
      <c r="B98" s="327"/>
      <c r="C98" s="327"/>
      <c r="D98" s="327"/>
      <c r="E98" s="327"/>
      <c r="F98" s="327"/>
      <c r="G98" s="327"/>
    </row>
    <row r="99" spans="1:7" s="567"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7" customFormat="1" ht="12" customHeight="1">
      <c r="A100" s="239" t="s">
        <v>2010</v>
      </c>
      <c r="B100" s="329">
        <f>'Sources and Uses Budget'!C99</f>
        <v>0</v>
      </c>
      <c r="C100" s="329">
        <f>'Sources and Uses Budget'!C99</f>
        <v>0</v>
      </c>
      <c r="D100" s="329">
        <f>'Sources and Uses Budget'!C99</f>
        <v>0</v>
      </c>
      <c r="E100" s="331">
        <f t="shared" si="2"/>
        <v>0</v>
      </c>
      <c r="F100" s="330"/>
      <c r="G100" s="330"/>
    </row>
    <row r="101" spans="1:7" s="567" customFormat="1" ht="13.2">
      <c r="A101" s="239" t="s">
        <v>526</v>
      </c>
      <c r="B101" s="329">
        <f>'Sources and Uses Budget'!C100</f>
        <v>0</v>
      </c>
      <c r="C101" s="329">
        <f>'Sources and Uses Budget'!C100</f>
        <v>0</v>
      </c>
      <c r="D101" s="329">
        <f>'Sources and Uses Budget'!C100</f>
        <v>0</v>
      </c>
      <c r="E101" s="331">
        <f t="shared" si="2"/>
        <v>0</v>
      </c>
      <c r="F101" s="330"/>
      <c r="G101" s="330"/>
    </row>
    <row r="102" spans="1:7" s="567" customFormat="1" ht="13.2">
      <c r="A102" s="239" t="s">
        <v>2011</v>
      </c>
      <c r="B102" s="329">
        <f>'Sources and Uses Budget'!C101</f>
        <v>0</v>
      </c>
      <c r="C102" s="329">
        <f>'Sources and Uses Budget'!C101</f>
        <v>0</v>
      </c>
      <c r="D102" s="329">
        <f>'Sources and Uses Budget'!C101</f>
        <v>0</v>
      </c>
      <c r="E102" s="331">
        <f t="shared" si="2"/>
        <v>0</v>
      </c>
      <c r="F102" s="330"/>
      <c r="G102" s="330"/>
    </row>
    <row r="103" spans="1:7" s="567" customFormat="1" ht="13.2">
      <c r="A103" s="888" t="s">
        <v>532</v>
      </c>
      <c r="B103" s="329">
        <f>'Sources and Uses Budget'!C102</f>
        <v>0</v>
      </c>
      <c r="C103" s="329">
        <f>'Sources and Uses Budget'!C102</f>
        <v>0</v>
      </c>
      <c r="D103" s="329">
        <f>'Sources and Uses Budget'!C102</f>
        <v>0</v>
      </c>
      <c r="E103" s="331">
        <f t="shared" si="2"/>
        <v>0</v>
      </c>
      <c r="F103" s="330"/>
      <c r="G103" s="330"/>
    </row>
    <row r="104" spans="1:7" s="567" customFormat="1" ht="13.2">
      <c r="A104" s="886" t="s">
        <v>527</v>
      </c>
      <c r="B104" s="893">
        <f>'Sources and Uses Budget'!C103</f>
        <v>2500000</v>
      </c>
      <c r="C104" s="893">
        <f>'Sources and Uses Budget'!C103</f>
        <v>2500000</v>
      </c>
      <c r="D104" s="893">
        <f>'Sources and Uses Budget'!C103</f>
        <v>2500000</v>
      </c>
      <c r="E104" s="331">
        <f t="shared" si="2"/>
        <v>0</v>
      </c>
      <c r="F104" s="330"/>
      <c r="G104" s="330"/>
    </row>
    <row r="105" spans="1:7" s="567" customFormat="1" ht="13.2">
      <c r="A105" s="886" t="s">
        <v>528</v>
      </c>
      <c r="B105" s="893">
        <f>'Sources and Uses Budget'!C104</f>
        <v>57108010</v>
      </c>
      <c r="C105" s="893">
        <f>'Sources and Uses Budget'!C104</f>
        <v>57108010</v>
      </c>
      <c r="D105" s="893">
        <f>'Sources and Uses Budget'!C104</f>
        <v>57108010</v>
      </c>
      <c r="E105" s="331">
        <f t="shared" si="2"/>
        <v>0</v>
      </c>
      <c r="F105" s="330"/>
      <c r="G105" s="892"/>
    </row>
    <row r="106" spans="1:7" s="567"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6640625" hidden="1"/>
  </cols>
  <sheetData>
    <row r="1" spans="1:10" ht="14.25" customHeight="1"/>
    <row r="2" spans="1:10" ht="15.6">
      <c r="A2" s="985" t="s">
        <v>299</v>
      </c>
      <c r="B2" s="986"/>
      <c r="C2" s="986"/>
      <c r="D2" s="986"/>
      <c r="E2" s="986"/>
      <c r="F2" s="986"/>
      <c r="G2" s="986"/>
      <c r="H2" s="986"/>
      <c r="I2" s="986"/>
      <c r="J2" s="986"/>
    </row>
    <row r="3" spans="1:10" ht="15">
      <c r="A3" s="987" t="s">
        <v>2295</v>
      </c>
      <c r="B3" s="986"/>
      <c r="C3" s="986"/>
      <c r="D3" s="986"/>
      <c r="E3" s="986"/>
      <c r="F3" s="986"/>
      <c r="G3" s="986"/>
      <c r="H3" s="986"/>
      <c r="I3" s="986"/>
      <c r="J3" s="986"/>
    </row>
    <row r="4" spans="1:10"/>
    <row r="5" spans="1:10" ht="12.75" customHeight="1">
      <c r="A5" s="992" t="s">
        <v>2165</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2014</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1866</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1032</v>
      </c>
      <c r="B22" s="302"/>
      <c r="C22" s="302"/>
      <c r="D22" s="302"/>
      <c r="E22" s="302"/>
      <c r="F22" s="302"/>
      <c r="G22" s="302"/>
      <c r="H22" s="302"/>
      <c r="I22" s="302"/>
      <c r="J22" s="302"/>
    </row>
    <row r="23" spans="1:10" ht="14.4">
      <c r="A23" s="354" t="s">
        <v>228</v>
      </c>
      <c r="B23" s="354"/>
      <c r="C23" s="354"/>
      <c r="D23" s="354"/>
      <c r="E23" s="354"/>
      <c r="F23" s="354"/>
      <c r="G23" s="354"/>
      <c r="H23" s="354"/>
      <c r="I23" s="354"/>
      <c r="J23" s="933"/>
    </row>
    <row r="24" spans="1:10">
      <c r="A24" s="991" t="s">
        <v>1016</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1033</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1016</v>
      </c>
    </row>
    <row r="66" spans="1:9"/>
    <row r="67" spans="1:9"/>
    <row r="68" spans="1:9"/>
    <row r="69" spans="1:9"/>
    <row r="70" spans="1:9"/>
    <row r="71" spans="1:9"/>
    <row r="72" spans="1:9"/>
    <row r="73" spans="1:9"/>
    <row r="74" spans="1:9"/>
    <row r="75" spans="1:9"/>
    <row r="76" spans="1:9">
      <c r="A76" s="984" t="s">
        <v>1140</v>
      </c>
      <c r="B76" s="984"/>
      <c r="C76" s="984"/>
      <c r="D76" s="984"/>
      <c r="E76" s="984"/>
      <c r="F76" s="984"/>
      <c r="G76" s="984"/>
      <c r="H76" s="984"/>
      <c r="I76" s="984"/>
    </row>
    <row r="77" spans="1:9">
      <c r="A77" s="983" t="s">
        <v>1286</v>
      </c>
      <c r="B77" s="983"/>
      <c r="C77" s="983"/>
      <c r="D77" s="983"/>
      <c r="E77" s="983"/>
      <c r="F77" s="667"/>
    </row>
    <row r="78" spans="1:9">
      <c r="A78" s="983" t="s">
        <v>1285</v>
      </c>
      <c r="B78" s="983"/>
      <c r="C78" s="983"/>
      <c r="D78" s="983"/>
      <c r="E78" s="983"/>
      <c r="F78" s="667"/>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30" zoomScaleNormal="130" workbookViewId="0">
      <selection activeCell="B734" sqref="B734"/>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row r="2" spans="1:9" ht="13.2">
      <c r="A2" s="1039" t="s">
        <v>2296</v>
      </c>
      <c r="B2" s="1039"/>
      <c r="C2" s="986"/>
      <c r="D2" s="986"/>
      <c r="E2" s="986"/>
      <c r="F2" s="986"/>
      <c r="G2" s="986"/>
      <c r="I2" t="s">
        <v>78</v>
      </c>
    </row>
    <row r="3" spans="1:9" ht="13.2">
      <c r="A3" s="190"/>
      <c r="B3" s="190"/>
      <c r="C3"/>
      <c r="D3"/>
      <c r="E3"/>
      <c r="F3"/>
      <c r="G3"/>
      <c r="I3" s="5" t="s">
        <v>1390</v>
      </c>
    </row>
    <row r="4" spans="1:9" ht="13.2">
      <c r="A4" s="1040" t="s">
        <v>2131</v>
      </c>
      <c r="B4" s="1040"/>
      <c r="C4" s="1041"/>
      <c r="D4" s="1041"/>
      <c r="E4" s="1041"/>
      <c r="F4" s="1041"/>
      <c r="G4" s="1041"/>
      <c r="I4" s="5" t="s">
        <v>1374</v>
      </c>
    </row>
    <row r="5" spans="1:9" ht="13.2">
      <c r="A5" s="1040" t="s">
        <v>1039</v>
      </c>
      <c r="B5" s="1040"/>
      <c r="C5" s="1041"/>
      <c r="D5" s="1041"/>
      <c r="E5" s="1041"/>
      <c r="F5" s="1041"/>
      <c r="G5" s="1041"/>
      <c r="I5" t="s">
        <v>123</v>
      </c>
    </row>
    <row r="6" spans="1:9" ht="13.95" customHeight="1"/>
    <row r="7" spans="1:9" ht="13.2">
      <c r="A7" s="1043" t="s">
        <v>2307</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1542</v>
      </c>
      <c r="B10" s="1029"/>
      <c r="C10" s="1029"/>
      <c r="D10" s="1029"/>
      <c r="E10" s="1029"/>
      <c r="F10" s="1029"/>
      <c r="G10" s="1029"/>
    </row>
    <row r="11" spans="1:9" ht="13.2">
      <c r="A11" s="190"/>
      <c r="B11" s="190"/>
    </row>
    <row r="12" spans="1:9" ht="13.95" customHeight="1">
      <c r="C12" s="190"/>
      <c r="D12" s="1042" t="s">
        <v>1541</v>
      </c>
      <c r="E12" s="1042"/>
      <c r="F12" s="1042"/>
      <c r="G12" s="609"/>
    </row>
    <row r="13" spans="1:9" ht="13.2">
      <c r="C13" s="190"/>
      <c r="D13" s="1042"/>
      <c r="E13" s="1042"/>
      <c r="F13" s="1042"/>
      <c r="G13" s="609"/>
    </row>
    <row r="14" spans="1:9" ht="13.2">
      <c r="A14" s="191"/>
      <c r="B14" s="191"/>
      <c r="C14" s="191"/>
      <c r="D14" s="995" t="s">
        <v>1412</v>
      </c>
      <c r="E14" s="995"/>
      <c r="F14" s="995"/>
    </row>
    <row r="15" spans="1:9" ht="13.2">
      <c r="A15" s="191"/>
      <c r="B15" s="191"/>
      <c r="C15" s="191"/>
    </row>
    <row r="16" spans="1:9" ht="14.7" customHeight="1">
      <c r="A16" s="271"/>
      <c r="B16" s="608" t="s">
        <v>1374</v>
      </c>
      <c r="C16" s="191"/>
      <c r="D16" s="968" t="s">
        <v>2060</v>
      </c>
      <c r="E16" s="975"/>
      <c r="F16" s="975"/>
      <c r="G16" s="354"/>
    </row>
    <row r="17" spans="1:7" ht="14.7" customHeight="1">
      <c r="A17" s="271"/>
      <c r="C17" s="191"/>
      <c r="D17" s="975"/>
      <c r="E17" s="975"/>
      <c r="F17" s="975"/>
      <c r="G17" s="354"/>
    </row>
    <row r="18" spans="1:7" ht="13.2">
      <c r="A18" s="191"/>
      <c r="C18" s="191"/>
      <c r="D18" s="975"/>
      <c r="E18" s="975"/>
      <c r="F18" s="975"/>
      <c r="G18" s="354"/>
    </row>
    <row r="19" spans="1:7" ht="13.2">
      <c r="A19" s="191"/>
      <c r="C19" s="191"/>
      <c r="D19" s="24"/>
      <c r="E19" s="128" t="s">
        <v>2061</v>
      </c>
      <c r="F19" s="24"/>
      <c r="G19" s="354"/>
    </row>
    <row r="20" spans="1:7" ht="13.2">
      <c r="A20" s="191"/>
      <c r="B20" s="191"/>
      <c r="C20" s="191"/>
    </row>
    <row r="21" spans="1:7" ht="14.4">
      <c r="A21" s="271"/>
      <c r="B21" s="608" t="s">
        <v>1374</v>
      </c>
      <c r="D21" s="968" t="s">
        <v>2062</v>
      </c>
      <c r="E21" s="975"/>
      <c r="F21" s="975"/>
    </row>
    <row r="22" spans="1:7" ht="13.2">
      <c r="D22" s="975"/>
      <c r="E22" s="975"/>
      <c r="F22" s="975"/>
    </row>
    <row r="23" spans="1:7" ht="13.2">
      <c r="D23" s="102"/>
      <c r="E23" s="104" t="s">
        <v>2063</v>
      </c>
      <c r="F23" s="102"/>
    </row>
    <row r="24" spans="1:7" ht="14.4">
      <c r="A24" s="271"/>
      <c r="B24" s="271"/>
      <c r="D24" s="44"/>
    </row>
    <row r="25" spans="1:7" ht="14.4">
      <c r="A25" s="271"/>
      <c r="B25" s="608" t="s">
        <v>123</v>
      </c>
      <c r="D25" s="975" t="s">
        <v>1406</v>
      </c>
      <c r="E25" s="975"/>
      <c r="F25" s="975"/>
    </row>
    <row r="26" spans="1:7" ht="14.4">
      <c r="A26" s="271"/>
      <c r="B26" s="271"/>
      <c r="D26" s="975"/>
      <c r="E26" s="975"/>
      <c r="F26" s="975"/>
    </row>
    <row r="27" spans="1:7" ht="14.4">
      <c r="A27" s="271"/>
      <c r="B27" s="271"/>
      <c r="D27" s="44"/>
    </row>
    <row r="28" spans="1:7" ht="14.25" customHeight="1">
      <c r="A28" s="271"/>
      <c r="B28" s="608" t="s">
        <v>1374</v>
      </c>
      <c r="D28" s="968" t="s">
        <v>2132</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5"/>
      <c r="F33" s="611"/>
    </row>
    <row r="34" spans="1:6" ht="14.7" customHeight="1">
      <c r="A34" s="271"/>
      <c r="B34" s="608" t="s">
        <v>123</v>
      </c>
      <c r="D34" s="975" t="s">
        <v>2133</v>
      </c>
      <c r="E34" s="975"/>
      <c r="F34" s="975"/>
    </row>
    <row r="35" spans="1:6" ht="14.4">
      <c r="A35" s="271"/>
      <c r="B35" s="271"/>
      <c r="D35" s="975"/>
      <c r="E35" s="975"/>
      <c r="F35" s="975"/>
    </row>
    <row r="36" spans="1:6" ht="14.4">
      <c r="A36" s="271"/>
      <c r="B36" s="271"/>
      <c r="D36" s="209"/>
      <c r="E36" s="209"/>
      <c r="F36" s="209"/>
    </row>
    <row r="37" spans="1:6" ht="14.4">
      <c r="A37" s="271"/>
      <c r="B37" s="608" t="s">
        <v>123</v>
      </c>
      <c r="D37" s="968" t="s">
        <v>1751</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7" customHeight="1">
      <c r="A46" s="271"/>
      <c r="B46" s="608" t="s">
        <v>123</v>
      </c>
      <c r="D46" s="975" t="s">
        <v>1439</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8" t="s">
        <v>123</v>
      </c>
      <c r="D52" s="968" t="s">
        <v>1882</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8" t="s">
        <v>123</v>
      </c>
      <c r="D59" s="968" t="s">
        <v>1924</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8" t="s">
        <v>123</v>
      </c>
      <c r="D64" s="975" t="s">
        <v>2134</v>
      </c>
      <c r="E64" s="975"/>
      <c r="F64" s="975"/>
    </row>
    <row r="65" spans="1:6" ht="15" customHeight="1">
      <c r="A65" s="271"/>
      <c r="B65" s="271"/>
      <c r="D65" s="975"/>
      <c r="E65" s="975"/>
      <c r="F65" s="975"/>
    </row>
    <row r="66" spans="1:6" ht="21.45" customHeight="1">
      <c r="A66" s="271"/>
      <c r="B66" s="271"/>
      <c r="D66" s="975"/>
      <c r="E66" s="975"/>
      <c r="F66" s="975"/>
    </row>
    <row r="67" spans="1:6" ht="14.4">
      <c r="A67" s="271"/>
      <c r="B67" s="271"/>
    </row>
    <row r="68" spans="1:6" ht="14.25" customHeight="1">
      <c r="A68" s="271"/>
      <c r="B68" s="608" t="s">
        <v>1374</v>
      </c>
      <c r="D68" s="968" t="s">
        <v>2064</v>
      </c>
      <c r="E68" s="975"/>
      <c r="F68" s="975"/>
    </row>
    <row r="69" spans="1:6" ht="13.2">
      <c r="D69" s="975"/>
      <c r="E69" s="975"/>
      <c r="F69" s="975"/>
    </row>
    <row r="70" spans="1:6" ht="13.2">
      <c r="D70" s="975"/>
      <c r="E70" s="975"/>
      <c r="F70" s="975"/>
    </row>
    <row r="71" spans="1:6" ht="14.4">
      <c r="A71" s="271"/>
      <c r="B71" s="271"/>
      <c r="D71" s="209"/>
      <c r="E71" s="128" t="s">
        <v>2061</v>
      </c>
      <c r="F71" s="209"/>
    </row>
    <row r="72" spans="1:6" ht="14.4">
      <c r="A72" s="271"/>
      <c r="B72" s="271"/>
    </row>
    <row r="73" spans="1:6" ht="14.4">
      <c r="A73" s="271"/>
      <c r="B73" s="608" t="s">
        <v>123</v>
      </c>
      <c r="D73" s="975" t="s">
        <v>1540</v>
      </c>
      <c r="E73" s="975"/>
      <c r="F73" s="975"/>
    </row>
    <row r="74" spans="1:6" ht="13.2">
      <c r="D74" s="975"/>
      <c r="E74" s="975"/>
      <c r="F74" s="975"/>
    </row>
    <row r="75" spans="1:6" ht="13.2">
      <c r="D75" s="975"/>
      <c r="E75" s="975"/>
      <c r="F75" s="975"/>
    </row>
    <row r="76" spans="1:6" ht="13.2"/>
    <row r="77" spans="1:6" ht="14.4">
      <c r="A77" s="271" t="s">
        <v>228</v>
      </c>
      <c r="B77" s="608" t="s">
        <v>123</v>
      </c>
      <c r="D77" s="975" t="s">
        <v>1442</v>
      </c>
      <c r="E77" s="975"/>
      <c r="F77" s="975"/>
    </row>
    <row r="78" spans="1:6" ht="13.2">
      <c r="D78" s="975"/>
      <c r="E78" s="975"/>
      <c r="F78" s="975"/>
    </row>
    <row r="79" spans="1:6" ht="13.2"/>
    <row r="80" spans="1:6" ht="14.4">
      <c r="A80" s="271" t="s">
        <v>228</v>
      </c>
      <c r="B80" s="608" t="s">
        <v>1374</v>
      </c>
      <c r="D80" s="975" t="s">
        <v>1443</v>
      </c>
      <c r="E80" s="975"/>
      <c r="F80" s="975"/>
    </row>
    <row r="81" spans="1:7" ht="13.2">
      <c r="D81" s="975"/>
      <c r="E81" s="975"/>
      <c r="F81" s="975"/>
    </row>
    <row r="82" spans="1:7" ht="13.2">
      <c r="D82" s="975"/>
      <c r="E82" s="975"/>
      <c r="F82" s="975"/>
    </row>
    <row r="83" spans="1:7" ht="13.2">
      <c r="D83" s="44"/>
    </row>
    <row r="84" spans="1:7" ht="14.4">
      <c r="A84" s="271" t="s">
        <v>228</v>
      </c>
      <c r="B84" s="608" t="s">
        <v>123</v>
      </c>
      <c r="D84" s="975" t="s">
        <v>1444</v>
      </c>
      <c r="E84" s="975"/>
      <c r="F84" s="975"/>
    </row>
    <row r="85" spans="1:7" ht="13.2">
      <c r="D85" s="975"/>
      <c r="E85" s="975"/>
      <c r="F85" s="975"/>
    </row>
    <row r="86" spans="1:7" ht="13.2"/>
    <row r="87" spans="1:7" ht="13.2">
      <c r="A87" s="1029" t="s">
        <v>1378</v>
      </c>
      <c r="B87" s="1029"/>
      <c r="C87" s="1029"/>
      <c r="D87" s="1029"/>
      <c r="E87" s="1029"/>
      <c r="F87" s="1029"/>
      <c r="G87" s="1029"/>
    </row>
    <row r="88" spans="1:7" ht="13.2">
      <c r="E88"/>
      <c r="F88"/>
      <c r="G88"/>
    </row>
    <row r="89" spans="1:7" ht="13.95" customHeight="1">
      <c r="C89" s="589"/>
      <c r="D89" s="1002" t="s">
        <v>1379</v>
      </c>
      <c r="E89" s="1002"/>
      <c r="F89" s="1002"/>
      <c r="G89"/>
    </row>
    <row r="90" spans="1:7" ht="13.95" customHeight="1">
      <c r="A90" s="44"/>
      <c r="B90" s="44"/>
      <c r="D90" s="975" t="s">
        <v>1543</v>
      </c>
      <c r="E90" s="975"/>
      <c r="F90" s="975"/>
      <c r="G90"/>
    </row>
    <row r="91" spans="1:7" ht="13.2">
      <c r="A91" s="44"/>
      <c r="B91" s="44"/>
      <c r="E91"/>
      <c r="F91"/>
      <c r="G91"/>
    </row>
    <row r="92" spans="1:7" ht="14.25" customHeight="1">
      <c r="A92" s="271"/>
      <c r="B92" s="608" t="s">
        <v>1374</v>
      </c>
      <c r="D92" s="968" t="s">
        <v>1855</v>
      </c>
      <c r="E92" s="968"/>
      <c r="F92" s="968"/>
      <c r="G92"/>
    </row>
    <row r="93" spans="1:7" ht="14.7"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7" customHeight="1">
      <c r="A101" s="271"/>
      <c r="B101" s="608" t="s">
        <v>123</v>
      </c>
      <c r="D101" s="1022" t="s">
        <v>1856</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8" t="s">
        <v>123</v>
      </c>
      <c r="D114" s="975" t="s">
        <v>1544</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8" t="s">
        <v>1374</v>
      </c>
      <c r="D122" s="975" t="s">
        <v>1545</v>
      </c>
      <c r="E122" s="975"/>
      <c r="F122" s="975"/>
    </row>
    <row r="123" spans="1:7" ht="13.2">
      <c r="D123" s="975"/>
      <c r="E123" s="975"/>
      <c r="F123" s="975"/>
    </row>
    <row r="124" spans="1:7" ht="13.2">
      <c r="D124" s="975"/>
      <c r="E124" s="975"/>
      <c r="F124" s="975"/>
    </row>
    <row r="125" spans="1:7" ht="13.2">
      <c r="D125" s="975"/>
      <c r="E125" s="975"/>
      <c r="F125" s="975"/>
    </row>
    <row r="126" spans="1:7" ht="26.7" customHeight="1">
      <c r="D126" s="975"/>
      <c r="E126" s="975"/>
      <c r="F126" s="975"/>
    </row>
    <row r="127" spans="1:7" ht="13.2"/>
    <row r="128" spans="1:7" ht="14.4">
      <c r="A128" s="271"/>
      <c r="B128" s="608" t="s">
        <v>1374</v>
      </c>
      <c r="D128" s="975" t="s">
        <v>1546</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8" t="s">
        <v>123</v>
      </c>
      <c r="D141" s="968" t="s">
        <v>1728</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1729</v>
      </c>
      <c r="E159" s="1024"/>
      <c r="F159" s="1024"/>
      <c r="G159"/>
    </row>
    <row r="160" spans="1:7" ht="13.95" customHeight="1">
      <c r="A160" s="18"/>
      <c r="B160" s="18"/>
      <c r="D160" s="44"/>
      <c r="G160"/>
    </row>
    <row r="161" spans="1:7" ht="13.95" customHeight="1">
      <c r="A161" s="271"/>
      <c r="B161" s="608" t="s">
        <v>123</v>
      </c>
      <c r="D161" s="1022" t="s">
        <v>2294</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8" t="s">
        <v>123</v>
      </c>
      <c r="D167" s="1023" t="s">
        <v>1547</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8" t="s">
        <v>123</v>
      </c>
      <c r="C172" s="370"/>
      <c r="D172" s="1026" t="s">
        <v>2135</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1381</v>
      </c>
      <c r="B176" s="1029"/>
      <c r="C176" s="1029"/>
      <c r="D176" s="1029"/>
      <c r="E176" s="1029"/>
      <c r="F176" s="1029"/>
      <c r="G176" s="1029"/>
    </row>
    <row r="177" spans="1:6" ht="13.2">
      <c r="D177" s="44"/>
    </row>
    <row r="178" spans="1:6" ht="13.2">
      <c r="C178" s="589"/>
      <c r="D178" s="1025" t="s">
        <v>1380</v>
      </c>
      <c r="E178" s="1025"/>
      <c r="F178" s="1025"/>
    </row>
    <row r="179" spans="1:6" ht="13.2">
      <c r="A179" s="190"/>
      <c r="B179" s="190"/>
      <c r="C179" s="190"/>
      <c r="D179" s="1027" t="s">
        <v>1413</v>
      </c>
      <c r="E179" s="1027"/>
      <c r="F179" s="1027"/>
    </row>
    <row r="180" spans="1:6" ht="13.2">
      <c r="A180" s="191"/>
      <c r="B180" s="191"/>
      <c r="C180" s="191"/>
    </row>
    <row r="181" spans="1:6" ht="14.4">
      <c r="A181" s="271"/>
      <c r="B181" s="608" t="s">
        <v>123</v>
      </c>
      <c r="D181" s="1028" t="s">
        <v>1731</v>
      </c>
      <c r="E181" s="1005"/>
      <c r="F181" s="1005"/>
    </row>
    <row r="182" spans="1:6" ht="14.4">
      <c r="A182" s="271"/>
      <c r="D182" s="312"/>
      <c r="E182" s="102"/>
      <c r="F182" s="102"/>
    </row>
    <row r="183" spans="1:6" ht="14.4">
      <c r="A183" s="271"/>
      <c r="B183" s="608" t="s">
        <v>123</v>
      </c>
      <c r="D183" s="1005" t="s">
        <v>1548</v>
      </c>
      <c r="E183" s="1005"/>
      <c r="F183" s="1005"/>
    </row>
    <row r="184" spans="1:6" ht="14.4">
      <c r="A184" s="271"/>
      <c r="D184" s="102"/>
      <c r="E184" s="102"/>
      <c r="F184" s="102"/>
    </row>
    <row r="185" spans="1:6" ht="14.4">
      <c r="A185" s="271"/>
      <c r="B185" s="608" t="s">
        <v>123</v>
      </c>
      <c r="D185" s="1030" t="s">
        <v>1808</v>
      </c>
      <c r="E185" s="1030"/>
      <c r="F185" s="1030"/>
    </row>
    <row r="186" spans="1:6" ht="13.95" customHeight="1">
      <c r="A186" s="271"/>
      <c r="D186" s="41" t="s">
        <v>898</v>
      </c>
      <c r="E186" s="968" t="s">
        <v>2130</v>
      </c>
      <c r="F186" s="968"/>
    </row>
    <row r="187" spans="1:6" ht="14.4">
      <c r="A187" s="271"/>
      <c r="D187" s="775"/>
      <c r="E187" s="968"/>
      <c r="F187" s="968"/>
    </row>
    <row r="188" spans="1:6" ht="14.4">
      <c r="A188" s="271"/>
      <c r="D188" s="775"/>
      <c r="E188" s="968"/>
      <c r="F188" s="968"/>
    </row>
    <row r="189" spans="1:6" ht="14.4">
      <c r="A189" s="271"/>
      <c r="D189"/>
      <c r="E189" s="968"/>
      <c r="F189" s="968"/>
    </row>
    <row r="190" spans="1:6" ht="13.95" customHeight="1">
      <c r="A190" s="271"/>
      <c r="D190" s="775" t="s">
        <v>899</v>
      </c>
      <c r="E190" s="968" t="s">
        <v>1809</v>
      </c>
      <c r="F190" s="968"/>
    </row>
    <row r="191" spans="1:6" ht="13.95" customHeight="1">
      <c r="A191" s="271"/>
      <c r="D191" s="775"/>
      <c r="E191" s="968"/>
      <c r="F191" s="968"/>
    </row>
    <row r="192" spans="1:6" ht="13.95" customHeight="1">
      <c r="A192" s="271"/>
      <c r="D192" s="775"/>
      <c r="E192" s="968"/>
      <c r="F192" s="968"/>
    </row>
    <row r="193" spans="1:7" ht="13.95" customHeight="1">
      <c r="A193" s="271"/>
      <c r="D193" s="775"/>
      <c r="E193" s="968"/>
      <c r="F193" s="968"/>
    </row>
    <row r="194" spans="1:7" ht="13.95" customHeight="1">
      <c r="A194" s="271"/>
      <c r="D194" s="775"/>
      <c r="E194" s="968"/>
      <c r="F194" s="968"/>
    </row>
    <row r="195" spans="1:7" ht="14.4">
      <c r="A195" s="271"/>
      <c r="D195"/>
      <c r="E195" s="968"/>
      <c r="F195" s="968"/>
    </row>
    <row r="196" spans="1:7" ht="14.4">
      <c r="A196" s="271"/>
      <c r="D196"/>
      <c r="E196" s="968"/>
      <c r="F196" s="968"/>
    </row>
    <row r="197" spans="1:7" ht="13.2"/>
    <row r="198" spans="1:7" ht="14.4">
      <c r="A198" s="271"/>
      <c r="B198" s="608" t="s">
        <v>1374</v>
      </c>
      <c r="D198" s="968" t="s">
        <v>2297</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2299</v>
      </c>
      <c r="E202" s="1024"/>
      <c r="F202" s="1024"/>
    </row>
    <row r="203" spans="1:7" ht="13.2">
      <c r="D203" s="624"/>
      <c r="E203" s="624"/>
      <c r="F203" s="624"/>
    </row>
    <row r="204" spans="1:7" ht="14.4">
      <c r="A204" s="271"/>
      <c r="B204" s="608" t="s">
        <v>1374</v>
      </c>
      <c r="D204" s="997" t="s">
        <v>2300</v>
      </c>
      <c r="E204" s="995"/>
      <c r="F204" s="995"/>
    </row>
    <row r="205" spans="1:7" ht="13.2"/>
    <row r="206" spans="1:7" ht="13.2">
      <c r="A206" s="1029" t="s">
        <v>1383</v>
      </c>
      <c r="B206" s="1029"/>
      <c r="C206" s="1029"/>
      <c r="D206" s="1029"/>
      <c r="E206" s="1029"/>
      <c r="F206" s="1029"/>
      <c r="G206" s="1029"/>
    </row>
    <row r="207" spans="1:7" ht="13.2"/>
    <row r="208" spans="1:7" ht="13.2">
      <c r="C208" s="590"/>
      <c r="D208" s="1025" t="s">
        <v>1382</v>
      </c>
      <c r="E208" s="1025"/>
      <c r="F208" s="1025"/>
    </row>
    <row r="209" spans="1:6" ht="13.2">
      <c r="A209" s="591"/>
      <c r="B209" s="591"/>
      <c r="C209" s="590"/>
      <c r="D209" s="1025" t="s">
        <v>695</v>
      </c>
      <c r="E209" s="1025"/>
      <c r="F209" s="1025"/>
    </row>
    <row r="210" spans="1:6" ht="13.2">
      <c r="A210" s="190"/>
      <c r="B210" s="190"/>
      <c r="C210" s="190"/>
      <c r="D210" s="1005" t="s">
        <v>1414</v>
      </c>
      <c r="E210" s="1005"/>
      <c r="F210" s="1005"/>
    </row>
    <row r="211" spans="1:6" ht="13.2">
      <c r="A211" s="190"/>
      <c r="B211" s="190"/>
      <c r="C211" s="190"/>
    </row>
    <row r="212" spans="1:6" ht="13.2">
      <c r="A212" s="190"/>
      <c r="B212" s="190"/>
      <c r="C212" s="190"/>
      <c r="D212" s="975" t="s">
        <v>1424</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2136</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7" customHeight="1">
      <c r="A224" s="271"/>
      <c r="B224" s="608" t="s">
        <v>1374</v>
      </c>
      <c r="C224" s="191"/>
      <c r="D224" s="995" t="s">
        <v>291</v>
      </c>
      <c r="E224" s="995"/>
      <c r="F224" s="995"/>
    </row>
    <row r="225" spans="1:6" ht="14.4">
      <c r="A225" s="271"/>
      <c r="C225" s="191"/>
      <c r="D225" s="1005" t="s">
        <v>1109</v>
      </c>
      <c r="E225" s="1005"/>
      <c r="F225" s="1005"/>
    </row>
    <row r="226" spans="1:6" ht="14.4">
      <c r="A226" s="271"/>
      <c r="B226" s="271"/>
      <c r="C226" s="191"/>
      <c r="D226" s="104" t="s">
        <v>1428</v>
      </c>
      <c r="E226" s="1035" t="s">
        <v>2065</v>
      </c>
      <c r="F226" s="1035"/>
    </row>
    <row r="227" spans="1:6" ht="13.2">
      <c r="D227" s="1028" t="s">
        <v>1407</v>
      </c>
      <c r="E227" s="1005"/>
      <c r="F227" s="1005"/>
    </row>
    <row r="228" spans="1:6" ht="13.2"/>
    <row r="229" spans="1:6" ht="14.4">
      <c r="A229" s="271"/>
      <c r="B229" s="608" t="s">
        <v>123</v>
      </c>
      <c r="D229" s="1005" t="s">
        <v>292</v>
      </c>
      <c r="E229" s="1005"/>
      <c r="F229" s="1005"/>
    </row>
    <row r="230" spans="1:6" ht="14.4">
      <c r="A230" s="271"/>
      <c r="D230" s="995" t="s">
        <v>1109</v>
      </c>
      <c r="E230" s="995"/>
      <c r="F230" s="995"/>
    </row>
    <row r="231" spans="1:6" ht="14.4">
      <c r="A231" s="271"/>
      <c r="B231" s="271"/>
      <c r="D231" s="63" t="s">
        <v>1429</v>
      </c>
      <c r="E231" s="1035" t="s">
        <v>2066</v>
      </c>
      <c r="F231" s="1035"/>
    </row>
    <row r="232" spans="1:6" ht="13.2">
      <c r="D232" s="1005" t="s">
        <v>1408</v>
      </c>
      <c r="E232" s="1005"/>
      <c r="F232" s="1005"/>
    </row>
    <row r="233" spans="1:6" ht="13.2"/>
    <row r="234" spans="1:6" ht="14.4">
      <c r="A234" s="271"/>
      <c r="B234" s="608" t="s">
        <v>123</v>
      </c>
      <c r="D234" s="1005" t="s">
        <v>639</v>
      </c>
      <c r="E234" s="1005"/>
      <c r="F234" s="1005"/>
    </row>
    <row r="235" spans="1:6" ht="14.4">
      <c r="A235" s="271"/>
      <c r="D235" s="44" t="s">
        <v>1109</v>
      </c>
    </row>
    <row r="236" spans="1:6" ht="14.4">
      <c r="A236" s="271"/>
      <c r="B236" s="271"/>
      <c r="D236" s="63" t="s">
        <v>1428</v>
      </c>
      <c r="E236" s="1035" t="s">
        <v>2067</v>
      </c>
      <c r="F236" s="1035"/>
    </row>
    <row r="237" spans="1:6" ht="14.4">
      <c r="A237" s="271"/>
      <c r="B237" s="271"/>
      <c r="D237" s="975" t="s">
        <v>1431</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1409</v>
      </c>
      <c r="E242" s="975"/>
      <c r="F242" s="975"/>
    </row>
    <row r="243" spans="1:6" ht="13.2">
      <c r="D243" s="44"/>
    </row>
    <row r="244" spans="1:6" ht="14.4">
      <c r="A244" s="271"/>
      <c r="B244" s="608" t="s">
        <v>123</v>
      </c>
      <c r="D244" s="1005" t="s">
        <v>640</v>
      </c>
      <c r="E244" s="1005"/>
      <c r="F244" s="1005"/>
    </row>
    <row r="245" spans="1:6" ht="14.4">
      <c r="A245" s="271"/>
      <c r="D245" s="1005" t="s">
        <v>1109</v>
      </c>
      <c r="E245" s="1005"/>
      <c r="F245" s="1005"/>
    </row>
    <row r="246" spans="1:6" ht="14.4">
      <c r="A246" s="271"/>
      <c r="B246" s="271"/>
      <c r="D246" s="63" t="s">
        <v>1428</v>
      </c>
      <c r="E246" s="1035" t="s">
        <v>2068</v>
      </c>
      <c r="F246" s="1035"/>
    </row>
    <row r="247" spans="1:6" ht="13.2">
      <c r="D247" s="1028" t="s">
        <v>1928</v>
      </c>
      <c r="E247" s="1005"/>
      <c r="F247" s="1005"/>
    </row>
    <row r="248" spans="1:6" ht="13.2">
      <c r="D248" s="102"/>
      <c r="E248" s="102"/>
      <c r="F248" s="102"/>
    </row>
    <row r="249" spans="1:6" ht="14.4">
      <c r="A249" s="271"/>
      <c r="B249" s="608" t="s">
        <v>123</v>
      </c>
      <c r="D249" s="1028" t="s">
        <v>1927</v>
      </c>
      <c r="E249" s="1005"/>
      <c r="F249" s="1005"/>
    </row>
    <row r="250" spans="1:6" ht="14.4">
      <c r="A250" s="271"/>
      <c r="D250" s="1005" t="s">
        <v>1109</v>
      </c>
      <c r="E250" s="1005"/>
      <c r="F250" s="1005"/>
    </row>
    <row r="251" spans="1:6" ht="14.4">
      <c r="A251" s="271"/>
      <c r="B251" s="271"/>
      <c r="D251" s="63" t="s">
        <v>1428</v>
      </c>
      <c r="E251" s="1035" t="s">
        <v>2069</v>
      </c>
      <c r="F251" s="1035"/>
    </row>
    <row r="252" spans="1:6" ht="13.2">
      <c r="D252" s="1028" t="s">
        <v>1929</v>
      </c>
      <c r="E252" s="1005"/>
      <c r="F252" s="1005"/>
    </row>
    <row r="253" spans="1:6" ht="13.2">
      <c r="D253" s="44"/>
    </row>
    <row r="254" spans="1:6" ht="14.4">
      <c r="A254" s="271"/>
      <c r="B254" s="608" t="s">
        <v>123</v>
      </c>
      <c r="D254" s="102" t="s">
        <v>1451</v>
      </c>
      <c r="E254" s="102"/>
      <c r="F254" s="102"/>
    </row>
    <row r="255" spans="1:6" ht="14.4">
      <c r="A255" s="271"/>
      <c r="B255"/>
      <c r="D255" s="968" t="s">
        <v>1752</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8" t="s">
        <v>123</v>
      </c>
      <c r="D259" s="1005" t="s">
        <v>1020</v>
      </c>
      <c r="E259" s="1005"/>
      <c r="F259" s="1005"/>
    </row>
    <row r="260" spans="1:7" ht="14.4">
      <c r="A260" s="271"/>
      <c r="D260" s="102"/>
      <c r="E260" s="102"/>
      <c r="F260" s="102"/>
    </row>
    <row r="261" spans="1:7" ht="13.2">
      <c r="A261" s="1029" t="s">
        <v>1385</v>
      </c>
      <c r="B261" s="1029"/>
      <c r="C261" s="1029"/>
      <c r="D261" s="1029"/>
      <c r="E261" s="1029"/>
      <c r="F261" s="1029"/>
      <c r="G261" s="1029"/>
    </row>
    <row r="262" spans="1:7" ht="13.2">
      <c r="D262" s="44"/>
    </row>
    <row r="263" spans="1:7" ht="13.2">
      <c r="C263" s="589"/>
      <c r="D263" s="996" t="s">
        <v>1384</v>
      </c>
      <c r="E263" s="996"/>
      <c r="F263" s="996"/>
    </row>
    <row r="264" spans="1:7" ht="13.2">
      <c r="A264" s="190"/>
      <c r="B264" s="190"/>
      <c r="C264" s="190"/>
      <c r="D264" s="995" t="s">
        <v>1415</v>
      </c>
      <c r="E264" s="995"/>
      <c r="F264" s="995"/>
    </row>
    <row r="265" spans="1:7" ht="13.2">
      <c r="A265" s="18"/>
      <c r="B265" s="18"/>
      <c r="C265" s="18"/>
      <c r="D265" s="3"/>
    </row>
    <row r="266" spans="1:7" ht="13.2">
      <c r="A266" s="18"/>
      <c r="C266" s="18"/>
      <c r="D266" s="996" t="s">
        <v>208</v>
      </c>
      <c r="E266" s="996"/>
      <c r="F266" s="996"/>
      <c r="G266"/>
    </row>
    <row r="267" spans="1:7" ht="14.7" customHeight="1">
      <c r="A267" s="271"/>
      <c r="B267" s="608" t="s">
        <v>1374</v>
      </c>
      <c r="C267" s="879"/>
      <c r="D267" s="1016" t="s">
        <v>2005</v>
      </c>
      <c r="E267" s="1016"/>
      <c r="F267" s="1016"/>
      <c r="G267"/>
    </row>
    <row r="268" spans="1:7" ht="14.4">
      <c r="A268" s="271"/>
      <c r="B268" s="880"/>
      <c r="C268" s="879"/>
      <c r="D268" s="1016"/>
      <c r="E268" s="1016"/>
      <c r="F268" s="1016"/>
      <c r="G268"/>
    </row>
    <row r="269" spans="1:7" ht="14.4">
      <c r="A269" s="271"/>
      <c r="B269" s="880"/>
      <c r="C269" s="879"/>
      <c r="D269" s="1016"/>
      <c r="E269" s="1016"/>
      <c r="F269" s="1016"/>
      <c r="G269"/>
    </row>
    <row r="270" spans="1:7" ht="14.7" customHeight="1">
      <c r="A270" s="271"/>
      <c r="B270" s="880"/>
      <c r="C270" s="879"/>
      <c r="D270" s="1016"/>
      <c r="E270" s="1016"/>
      <c r="F270" s="1016"/>
      <c r="G270"/>
    </row>
    <row r="271" spans="1:7" ht="14.4">
      <c r="A271" s="271"/>
      <c r="B271" s="880"/>
      <c r="C271" s="879"/>
      <c r="D271" s="881"/>
      <c r="E271" s="881"/>
      <c r="F271" s="881"/>
      <c r="G271"/>
    </row>
    <row r="272" spans="1:7" ht="14.4">
      <c r="A272" s="271"/>
      <c r="B272" s="608" t="s">
        <v>1374</v>
      </c>
      <c r="C272" s="879"/>
      <c r="D272" s="1016" t="s">
        <v>2006</v>
      </c>
      <c r="E272" s="1016"/>
      <c r="F272" s="1016"/>
      <c r="G272"/>
    </row>
    <row r="273" spans="1:7" ht="14.4">
      <c r="A273" s="271"/>
      <c r="B273" s="880"/>
      <c r="C273" s="879"/>
      <c r="D273" s="1016"/>
      <c r="E273" s="1016"/>
      <c r="F273" s="1016"/>
      <c r="G273"/>
    </row>
    <row r="274" spans="1:7" ht="14.4">
      <c r="A274" s="271"/>
      <c r="B274" s="880"/>
      <c r="C274" s="879"/>
      <c r="D274" s="1016"/>
      <c r="E274" s="1016"/>
      <c r="F274" s="1016"/>
      <c r="G274"/>
    </row>
    <row r="275" spans="1:7" ht="14.4">
      <c r="A275" s="271"/>
      <c r="B275" s="880"/>
      <c r="C275" s="879"/>
      <c r="D275" s="1016"/>
      <c r="E275" s="1016"/>
      <c r="F275" s="1016"/>
      <c r="G275"/>
    </row>
    <row r="276" spans="1:7" ht="14.4">
      <c r="A276" s="271"/>
      <c r="B276" s="880"/>
      <c r="C276" s="879"/>
      <c r="D276" s="1016"/>
      <c r="E276" s="1016"/>
      <c r="F276" s="1016"/>
      <c r="G276"/>
    </row>
    <row r="277" spans="1:7" ht="14.4">
      <c r="A277" s="271"/>
      <c r="B277" s="880"/>
      <c r="C277" s="879"/>
      <c r="D277" s="881"/>
      <c r="E277" s="881"/>
      <c r="F277" s="881"/>
      <c r="G277"/>
    </row>
    <row r="278" spans="1:7" ht="14.4">
      <c r="A278" s="271"/>
      <c r="B278" s="880"/>
      <c r="C278" s="879"/>
      <c r="D278" s="1016" t="s">
        <v>1557</v>
      </c>
      <c r="E278" s="1016"/>
      <c r="F278" s="1016"/>
      <c r="G278"/>
    </row>
    <row r="279" spans="1:7" ht="14.4">
      <c r="A279" s="271"/>
      <c r="B279" s="880"/>
      <c r="C279" s="879"/>
      <c r="D279" s="1016"/>
      <c r="E279" s="1016"/>
      <c r="F279" s="1016"/>
      <c r="G279"/>
    </row>
    <row r="280" spans="1:7" ht="14.4">
      <c r="A280" s="271"/>
      <c r="B280" s="880"/>
      <c r="C280" s="879"/>
      <c r="D280" s="1016"/>
      <c r="E280" s="1016"/>
      <c r="F280" s="1016"/>
      <c r="G280"/>
    </row>
    <row r="281" spans="1:7" ht="14.4">
      <c r="A281" s="271"/>
      <c r="B281" s="880"/>
      <c r="C281" s="879"/>
      <c r="D281" s="1016"/>
      <c r="E281" s="1016"/>
      <c r="F281" s="1016"/>
      <c r="G281"/>
    </row>
    <row r="282" spans="1:7" ht="14.4">
      <c r="A282" s="271"/>
      <c r="B282" s="880"/>
      <c r="C282" s="879"/>
      <c r="D282" s="1016"/>
      <c r="E282" s="1016"/>
      <c r="F282" s="1016"/>
      <c r="G282"/>
    </row>
    <row r="283" spans="1:7" ht="14.4">
      <c r="A283" s="271"/>
      <c r="B283" s="271"/>
      <c r="D283" s="209"/>
      <c r="E283" s="209"/>
      <c r="F283" s="209"/>
      <c r="G283"/>
    </row>
    <row r="284" spans="1:7" s="447" customFormat="1" ht="14.7" customHeight="1">
      <c r="A284" s="289"/>
      <c r="B284" s="608" t="s">
        <v>1374</v>
      </c>
      <c r="C284" s="797"/>
      <c r="D284" s="1018" t="s">
        <v>1922</v>
      </c>
      <c r="E284" s="1018"/>
      <c r="F284" s="1018"/>
      <c r="G284" s="798"/>
    </row>
    <row r="285" spans="1:7" s="447" customFormat="1" ht="14.4">
      <c r="A285" s="289"/>
      <c r="B285" s="797"/>
      <c r="C285" s="797"/>
      <c r="D285" s="1018"/>
      <c r="E285" s="1018"/>
      <c r="F285" s="1018"/>
      <c r="G285" s="798"/>
    </row>
    <row r="286" spans="1:7" s="447" customFormat="1" ht="14.4">
      <c r="A286" s="289"/>
      <c r="B286" s="797"/>
      <c r="C286" s="797"/>
      <c r="D286" s="1018"/>
      <c r="E286" s="1018"/>
      <c r="F286" s="1018"/>
      <c r="G286" s="798"/>
    </row>
    <row r="287" spans="1:7" s="447" customFormat="1" ht="13.2">
      <c r="A287" s="797"/>
      <c r="B287" s="797"/>
      <c r="C287" s="797"/>
      <c r="D287" s="925"/>
      <c r="E287" s="926" t="s">
        <v>2070</v>
      </c>
      <c r="F287" s="925"/>
      <c r="G287" s="798"/>
    </row>
    <row r="288" spans="1:7" ht="14.4">
      <c r="A288" s="271"/>
      <c r="B288" s="271"/>
      <c r="D288" s="44"/>
      <c r="E288"/>
      <c r="F288"/>
      <c r="G288"/>
    </row>
    <row r="289" spans="1:7" ht="14.4">
      <c r="A289" s="271"/>
      <c r="B289" s="608" t="s">
        <v>1374</v>
      </c>
      <c r="D289" s="995" t="s">
        <v>1110</v>
      </c>
      <c r="E289" s="995"/>
      <c r="F289" s="995"/>
      <c r="G289"/>
    </row>
    <row r="290" spans="1:7" ht="14.4">
      <c r="A290" s="271"/>
      <c r="B290" s="271"/>
      <c r="D290" s="995" t="s">
        <v>1558</v>
      </c>
      <c r="E290" s="995"/>
      <c r="F290" s="995"/>
      <c r="G290"/>
    </row>
    <row r="291" spans="1:7" ht="14.4">
      <c r="A291" s="271"/>
      <c r="B291" s="271"/>
      <c r="D291" s="3" t="s">
        <v>1040</v>
      </c>
      <c r="E291" s="926" t="s">
        <v>2071</v>
      </c>
      <c r="F291" s="3"/>
    </row>
    <row r="292" spans="1:7" ht="13.2">
      <c r="D292" s="28"/>
    </row>
    <row r="293" spans="1:7" ht="14.4">
      <c r="A293" s="271"/>
      <c r="B293" s="608" t="s">
        <v>1374</v>
      </c>
      <c r="D293" s="975" t="s">
        <v>1559</v>
      </c>
      <c r="E293" s="975"/>
      <c r="F293" s="975"/>
    </row>
    <row r="294" spans="1:7" ht="14.4">
      <c r="A294" s="271"/>
      <c r="B294" s="271"/>
      <c r="D294" s="975"/>
      <c r="E294" s="975"/>
      <c r="F294" s="975"/>
    </row>
    <row r="295" spans="1:7" ht="13.2">
      <c r="D295" s="28"/>
    </row>
    <row r="296" spans="1:7" ht="13.2">
      <c r="A296" s="1029" t="s">
        <v>1387</v>
      </c>
      <c r="B296" s="1029"/>
      <c r="C296" s="1029"/>
      <c r="D296" s="1029"/>
      <c r="E296" s="1029"/>
      <c r="F296" s="1029"/>
      <c r="G296" s="1029"/>
    </row>
    <row r="297" spans="1:7" ht="13.2">
      <c r="D297" s="28"/>
    </row>
    <row r="298" spans="1:7" ht="13.2">
      <c r="C298" s="589"/>
      <c r="D298" s="996" t="s">
        <v>1386</v>
      </c>
      <c r="E298" s="996"/>
      <c r="F298" s="996"/>
    </row>
    <row r="299" spans="1:7" ht="13.2">
      <c r="A299" s="190"/>
      <c r="B299" s="190"/>
      <c r="C299" s="190"/>
      <c r="D299" s="44"/>
    </row>
    <row r="300" spans="1:7" ht="13.2">
      <c r="A300" s="191"/>
      <c r="B300" s="191"/>
      <c r="C300" s="191"/>
      <c r="D300" s="996" t="s">
        <v>210</v>
      </c>
      <c r="E300" s="996"/>
      <c r="F300" s="996"/>
    </row>
    <row r="301" spans="1:7" ht="14.7" customHeight="1">
      <c r="A301" s="271"/>
      <c r="B301" s="608" t="s">
        <v>123</v>
      </c>
      <c r="D301" s="968" t="s">
        <v>1879</v>
      </c>
      <c r="E301" s="975"/>
      <c r="F301" s="975"/>
    </row>
    <row r="302" spans="1:7" ht="13.2">
      <c r="D302" s="975"/>
      <c r="E302" s="975"/>
      <c r="F302" s="975"/>
    </row>
    <row r="303" spans="1:7" ht="13.2">
      <c r="D303" s="975"/>
      <c r="E303" s="975"/>
      <c r="F303" s="975"/>
    </row>
    <row r="304" spans="1:7" ht="13.2">
      <c r="D304" s="24"/>
      <c r="E304" s="24"/>
      <c r="F304" s="24"/>
    </row>
    <row r="305" spans="1:7" s="447" customFormat="1" ht="14.7" customHeight="1">
      <c r="A305" s="289"/>
      <c r="B305" s="608" t="s">
        <v>123</v>
      </c>
      <c r="C305" s="797"/>
      <c r="D305" s="1018" t="s">
        <v>1923</v>
      </c>
      <c r="E305" s="1018"/>
      <c r="F305" s="1018"/>
      <c r="G305" s="798"/>
    </row>
    <row r="306" spans="1:7" s="447" customFormat="1" ht="13.2">
      <c r="A306" s="797"/>
      <c r="B306" s="797"/>
      <c r="C306" s="797"/>
      <c r="D306" s="1018"/>
      <c r="E306" s="1018"/>
      <c r="F306" s="1018"/>
      <c r="G306" s="798"/>
    </row>
    <row r="307" spans="1:7" s="447" customFormat="1" ht="13.2">
      <c r="A307" s="797"/>
      <c r="B307" s="797"/>
      <c r="C307" s="797"/>
      <c r="D307" s="1018"/>
      <c r="E307" s="1018"/>
      <c r="F307" s="1018"/>
      <c r="G307" s="798"/>
    </row>
    <row r="308" spans="1:7" s="447" customFormat="1" ht="13.2">
      <c r="A308" s="797"/>
      <c r="B308" s="797"/>
      <c r="C308" s="797"/>
      <c r="E308" s="373" t="s">
        <v>2072</v>
      </c>
      <c r="F308" s="373"/>
      <c r="G308" s="798"/>
    </row>
    <row r="309" spans="1:7" ht="13.2">
      <c r="D309" s="212"/>
    </row>
    <row r="310" spans="1:7" ht="13.2">
      <c r="A310" s="1029" t="s">
        <v>1388</v>
      </c>
      <c r="B310" s="1029"/>
      <c r="C310" s="1029"/>
      <c r="D310" s="1029"/>
      <c r="E310" s="1029"/>
      <c r="F310" s="1029"/>
      <c r="G310" s="1029"/>
    </row>
    <row r="311" spans="1:7" ht="13.2">
      <c r="D311" s="212"/>
    </row>
    <row r="312" spans="1:7" ht="13.2">
      <c r="C312" s="190"/>
      <c r="D312" s="1002" t="s">
        <v>1560</v>
      </c>
      <c r="E312" s="1002"/>
      <c r="F312" s="1002"/>
    </row>
    <row r="313" spans="1:7" ht="13.2">
      <c r="C313" s="190"/>
      <c r="D313" s="1002"/>
      <c r="E313" s="1002"/>
      <c r="F313" s="1002"/>
    </row>
    <row r="314" spans="1:7" ht="13.2">
      <c r="A314" s="191"/>
      <c r="B314" s="191"/>
      <c r="C314" s="191"/>
      <c r="D314" s="3"/>
    </row>
    <row r="315" spans="1:7" ht="13.2">
      <c r="C315" s="191"/>
      <c r="D315" s="996" t="s">
        <v>161</v>
      </c>
      <c r="E315" s="996"/>
      <c r="F315" s="996"/>
    </row>
    <row r="316" spans="1:7" ht="14.4">
      <c r="A316" s="271"/>
      <c r="B316" s="271"/>
      <c r="D316" s="1020" t="s">
        <v>1561</v>
      </c>
      <c r="E316" s="1020"/>
      <c r="F316" s="1020"/>
    </row>
    <row r="317" spans="1:7" ht="12" customHeight="1"/>
    <row r="318" spans="1:7" ht="14.7" customHeight="1">
      <c r="A318" s="271"/>
      <c r="B318" s="608" t="s">
        <v>123</v>
      </c>
      <c r="D318" s="975" t="s">
        <v>1562</v>
      </c>
      <c r="E318" s="975"/>
      <c r="F318" s="975"/>
    </row>
    <row r="319" spans="1:7" ht="14.4">
      <c r="A319" s="271"/>
      <c r="B319" s="271"/>
      <c r="D319" s="975"/>
      <c r="E319" s="975"/>
      <c r="F319" s="975"/>
    </row>
    <row r="320" spans="1:7" ht="13.2"/>
    <row r="321" spans="1:7" ht="14.7" customHeight="1">
      <c r="A321" s="271"/>
      <c r="B321" s="608" t="s">
        <v>123</v>
      </c>
      <c r="D321" s="975" t="s">
        <v>1563</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8" t="s">
        <v>123</v>
      </c>
      <c r="D325" s="975" t="s">
        <v>1564</v>
      </c>
      <c r="E325" s="975"/>
      <c r="F325" s="975"/>
    </row>
    <row r="326" spans="1:7" ht="14.4">
      <c r="A326" s="271"/>
      <c r="B326" s="271"/>
      <c r="D326" s="975"/>
      <c r="E326" s="975"/>
      <c r="F326" s="975"/>
    </row>
    <row r="327" spans="1:7" ht="13.2">
      <c r="A327" s="18"/>
      <c r="B327" s="18"/>
      <c r="D327" s="44"/>
    </row>
    <row r="328" spans="1:7" ht="13.2">
      <c r="A328" s="1029" t="s">
        <v>1375</v>
      </c>
      <c r="B328" s="1029"/>
      <c r="C328" s="1029"/>
      <c r="D328" s="1029"/>
      <c r="E328" s="1029"/>
      <c r="F328" s="1029"/>
      <c r="G328" s="1029"/>
    </row>
    <row r="329" spans="1:7" ht="13.2">
      <c r="A329" s="18"/>
      <c r="B329" s="18"/>
      <c r="D329" s="44"/>
      <c r="G329"/>
    </row>
    <row r="330" spans="1:7" ht="13.2">
      <c r="C330" s="18"/>
      <c r="D330" s="996" t="s">
        <v>162</v>
      </c>
      <c r="E330" s="996"/>
      <c r="F330" s="996"/>
      <c r="G330"/>
    </row>
    <row r="331" spans="1:7" ht="13.2">
      <c r="C331" s="18"/>
      <c r="D331" s="995" t="s">
        <v>1416</v>
      </c>
      <c r="E331" s="995"/>
      <c r="F331" s="995"/>
      <c r="G331"/>
    </row>
    <row r="332" spans="1:7" ht="13.2">
      <c r="C332" s="18"/>
      <c r="D332" s="182"/>
      <c r="G332"/>
    </row>
    <row r="333" spans="1:7" ht="13.2">
      <c r="B333" s="608" t="s">
        <v>123</v>
      </c>
      <c r="D333" s="995" t="s">
        <v>1565</v>
      </c>
      <c r="E333" s="995"/>
      <c r="F333" s="995"/>
      <c r="G333"/>
    </row>
    <row r="334" spans="1:7" ht="14.4">
      <c r="A334" s="271"/>
      <c r="B334" s="271"/>
      <c r="D334" s="419"/>
      <c r="G334"/>
    </row>
    <row r="335" spans="1:7" ht="14.4">
      <c r="A335" s="271"/>
      <c r="B335" s="608" t="s">
        <v>123</v>
      </c>
      <c r="D335" s="995" t="s">
        <v>1566</v>
      </c>
      <c r="E335" s="995"/>
      <c r="F335" s="995"/>
      <c r="G335"/>
    </row>
    <row r="336" spans="1:7" ht="13.2">
      <c r="G336"/>
    </row>
    <row r="337" spans="1:7" ht="14.7" customHeight="1">
      <c r="A337" s="271"/>
      <c r="B337" s="608" t="s">
        <v>123</v>
      </c>
      <c r="D337" s="975" t="s">
        <v>1572</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7" customHeight="1">
      <c r="A353" s="271"/>
      <c r="B353" s="608" t="s">
        <v>123</v>
      </c>
      <c r="D353" s="975" t="s">
        <v>1567</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8" t="s">
        <v>123</v>
      </c>
      <c r="D363" s="992" t="s">
        <v>2073</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2074</v>
      </c>
      <c r="F368" s="209"/>
    </row>
    <row r="369" spans="1:6" ht="13.8" thickBot="1">
      <c r="D369" s="776"/>
      <c r="E369" s="98"/>
      <c r="F369" s="98"/>
    </row>
    <row r="370" spans="1:6" ht="14.4" thickTop="1" thickBot="1">
      <c r="D370" s="1044" t="s">
        <v>1264</v>
      </c>
      <c r="E370" s="1044"/>
      <c r="F370" s="1044"/>
    </row>
    <row r="371" spans="1:6" ht="13.8" thickTop="1">
      <c r="D371" s="1045" t="s">
        <v>1568</v>
      </c>
      <c r="E371" s="1045"/>
      <c r="F371" s="1045"/>
    </row>
    <row r="372" spans="1:6" ht="13.2">
      <c r="D372" s="44"/>
    </row>
    <row r="373" spans="1:6" ht="14.4">
      <c r="A373" s="271"/>
      <c r="B373" s="608" t="s">
        <v>123</v>
      </c>
      <c r="C373" s="361"/>
      <c r="D373" s="1012" t="s">
        <v>2137</v>
      </c>
      <c r="E373" s="1012"/>
      <c r="F373" s="1012"/>
    </row>
    <row r="374" spans="1:6" ht="14.4">
      <c r="A374" s="271"/>
      <c r="B374" s="271"/>
      <c r="C374" s="361"/>
      <c r="D374" s="419"/>
    </row>
    <row r="375" spans="1:6" ht="14.4">
      <c r="A375" s="271"/>
      <c r="B375" s="608" t="s">
        <v>123</v>
      </c>
      <c r="C375" s="361"/>
      <c r="D375" s="982" t="s">
        <v>2138</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6"/>
      <c r="E385" s="626"/>
      <c r="F385" s="626"/>
    </row>
    <row r="386" spans="1:6" ht="14.4">
      <c r="A386" s="271"/>
      <c r="B386" s="608" t="s">
        <v>123</v>
      </c>
      <c r="C386" s="361"/>
      <c r="D386" s="1032" t="s">
        <v>1569</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6"/>
      <c r="E390" s="626"/>
      <c r="F390" s="626"/>
    </row>
    <row r="391" spans="1:6" ht="13.2">
      <c r="A391" s="361"/>
      <c r="B391" s="361"/>
      <c r="C391" s="361"/>
      <c r="D391" s="1032" t="s">
        <v>1570</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95" customHeight="1">
      <c r="A400" s="361"/>
      <c r="B400" s="361"/>
      <c r="C400" s="361"/>
      <c r="D400" s="1032" t="s">
        <v>1573</v>
      </c>
      <c r="E400" s="1032"/>
      <c r="F400" s="1032"/>
    </row>
    <row r="401" spans="1:6" ht="13.95" customHeight="1">
      <c r="A401" s="361"/>
      <c r="B401" s="361"/>
      <c r="C401" s="361"/>
      <c r="D401" s="1032"/>
      <c r="E401" s="1032"/>
      <c r="F401" s="1032"/>
    </row>
    <row r="402" spans="1:6" ht="13.95" customHeight="1">
      <c r="A402" s="361"/>
      <c r="B402" s="361"/>
      <c r="C402" s="361"/>
      <c r="D402" s="1032"/>
      <c r="E402" s="1032"/>
      <c r="F402" s="1032"/>
    </row>
    <row r="403" spans="1:6" ht="13.95" customHeight="1">
      <c r="A403" s="361"/>
      <c r="B403" s="361"/>
      <c r="C403" s="361"/>
      <c r="D403" s="1032"/>
      <c r="E403" s="1032"/>
      <c r="F403" s="1032"/>
    </row>
    <row r="404" spans="1:6" ht="13.95" customHeight="1">
      <c r="A404" s="361"/>
      <c r="B404" s="361"/>
      <c r="C404" s="361"/>
      <c r="D404" s="1032"/>
      <c r="E404" s="1032"/>
      <c r="F404" s="1032"/>
    </row>
    <row r="405" spans="1:6" ht="13.95" customHeight="1">
      <c r="A405" s="361"/>
      <c r="B405" s="361"/>
      <c r="C405" s="361"/>
      <c r="D405" s="1032"/>
      <c r="E405" s="1032"/>
      <c r="F405" s="1032"/>
    </row>
    <row r="406" spans="1:6" ht="13.95" customHeight="1">
      <c r="A406" s="361"/>
      <c r="B406" s="361"/>
      <c r="C406" s="361"/>
      <c r="D406" s="1032"/>
      <c r="E406" s="1032"/>
      <c r="F406" s="1032"/>
    </row>
    <row r="407" spans="1:6" ht="13.95" customHeight="1">
      <c r="A407" s="361"/>
      <c r="B407" s="361"/>
      <c r="C407" s="361"/>
      <c r="D407" s="1032"/>
      <c r="E407" s="1032"/>
      <c r="F407" s="1032"/>
    </row>
    <row r="408" spans="1:6" ht="13.95" customHeight="1">
      <c r="A408" s="361"/>
      <c r="B408" s="361"/>
      <c r="C408" s="361"/>
      <c r="D408" s="1032"/>
      <c r="E408" s="1032"/>
      <c r="F408" s="1032"/>
    </row>
    <row r="409" spans="1:6" ht="13.95" customHeight="1">
      <c r="A409" s="361"/>
      <c r="B409" s="361"/>
      <c r="C409" s="361"/>
      <c r="D409" s="1032"/>
      <c r="E409" s="1032"/>
      <c r="F409" s="1032"/>
    </row>
    <row r="410" spans="1:6" ht="13.95" customHeight="1">
      <c r="A410" s="361"/>
      <c r="B410" s="361"/>
      <c r="C410" s="361"/>
      <c r="D410" s="1032"/>
      <c r="E410" s="1032"/>
      <c r="F410" s="1032"/>
    </row>
    <row r="411" spans="1:6" ht="13.95" customHeight="1">
      <c r="A411" s="361"/>
      <c r="B411" s="361"/>
      <c r="C411" s="361"/>
      <c r="D411" s="1032"/>
      <c r="E411" s="1032"/>
      <c r="F411" s="1032"/>
    </row>
    <row r="412" spans="1:6" ht="13.95" customHeight="1">
      <c r="A412" s="361"/>
      <c r="B412" s="361"/>
      <c r="C412" s="361"/>
      <c r="D412" s="1032"/>
      <c r="E412" s="1032"/>
      <c r="F412" s="1032"/>
    </row>
    <row r="413" spans="1:6" ht="13.95" customHeight="1">
      <c r="A413" s="361"/>
      <c r="B413" s="361"/>
      <c r="C413" s="361"/>
      <c r="D413" s="1032"/>
      <c r="E413" s="1032"/>
      <c r="F413" s="1032"/>
    </row>
    <row r="414" spans="1:6" ht="13.95" customHeight="1">
      <c r="A414" s="361"/>
      <c r="B414" s="361"/>
      <c r="C414" s="361"/>
      <c r="D414" s="1032"/>
      <c r="E414" s="1032"/>
      <c r="F414" s="1032"/>
    </row>
    <row r="415" spans="1:6" ht="13.95" customHeight="1">
      <c r="A415" s="361"/>
      <c r="B415" s="361"/>
      <c r="C415" s="361"/>
      <c r="D415" s="1032"/>
      <c r="E415" s="1032"/>
      <c r="F415" s="1032"/>
    </row>
    <row r="416" spans="1:6" ht="13.95" customHeight="1">
      <c r="A416" s="361"/>
      <c r="B416" s="361"/>
      <c r="C416" s="361"/>
      <c r="D416" s="1032"/>
      <c r="E416" s="1032"/>
      <c r="F416" s="1032"/>
    </row>
    <row r="417" spans="1:6" ht="13.95" customHeight="1">
      <c r="A417" s="361"/>
      <c r="B417" s="361"/>
      <c r="C417" s="361"/>
      <c r="D417" s="1032"/>
      <c r="E417" s="1032"/>
      <c r="F417" s="1032"/>
    </row>
    <row r="418" spans="1:6" ht="13.2">
      <c r="A418" s="361"/>
      <c r="B418" s="361"/>
      <c r="C418" s="361"/>
      <c r="D418" s="419"/>
    </row>
    <row r="419" spans="1:6" ht="13.95" customHeight="1">
      <c r="A419" s="361"/>
      <c r="B419" s="608" t="s">
        <v>123</v>
      </c>
      <c r="C419" s="361"/>
      <c r="D419" s="1032" t="s">
        <v>1571</v>
      </c>
      <c r="E419" s="1032"/>
      <c r="F419" s="1032"/>
    </row>
    <row r="420" spans="1:6" ht="13.2">
      <c r="A420" s="361"/>
      <c r="B420" s="361"/>
      <c r="C420" s="361"/>
      <c r="D420" s="1032"/>
      <c r="E420" s="1032"/>
      <c r="F420" s="1032"/>
    </row>
    <row r="421" spans="1:6" ht="13.2">
      <c r="A421" s="361"/>
      <c r="B421" s="361"/>
      <c r="C421" s="361"/>
      <c r="D421" s="626"/>
      <c r="E421" s="626"/>
      <c r="F421" s="626"/>
    </row>
    <row r="422" spans="1:6" ht="13.2">
      <c r="A422" s="361"/>
      <c r="B422" s="608" t="s">
        <v>123</v>
      </c>
      <c r="C422" s="361"/>
      <c r="D422" s="1022" t="s">
        <v>1876</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7" customHeight="1">
      <c r="A428" s="271"/>
      <c r="B428" s="608" t="s">
        <v>123</v>
      </c>
      <c r="C428" s="361"/>
      <c r="D428" s="1022" t="s">
        <v>1857</v>
      </c>
      <c r="E428" s="1022"/>
      <c r="F428" s="1022"/>
    </row>
    <row r="429" spans="1:6" ht="14.4">
      <c r="A429" s="499"/>
      <c r="B429" s="499"/>
      <c r="C429" s="361"/>
      <c r="D429" s="1022"/>
      <c r="E429" s="1022"/>
      <c r="F429" s="1022"/>
    </row>
    <row r="430" spans="1:6" ht="14.4">
      <c r="A430" s="499"/>
      <c r="B430" s="499"/>
      <c r="C430" s="361"/>
      <c r="D430" s="1022"/>
      <c r="E430" s="1022"/>
      <c r="F430" s="1022"/>
    </row>
    <row r="431" spans="1:6" ht="14.4">
      <c r="A431" s="499"/>
      <c r="B431" s="499"/>
      <c r="C431" s="361"/>
      <c r="D431" s="1022"/>
      <c r="E431" s="1022"/>
      <c r="F431" s="1022"/>
    </row>
    <row r="432" spans="1:6" ht="14.25" customHeight="1">
      <c r="A432" s="499"/>
      <c r="B432" s="499"/>
      <c r="C432" s="361"/>
      <c r="D432" s="1051" t="s">
        <v>1872</v>
      </c>
      <c r="E432" s="1051"/>
      <c r="F432" s="1051"/>
    </row>
    <row r="433" spans="1:6" ht="13.2">
      <c r="D433" s="44"/>
    </row>
    <row r="434" spans="1:6" ht="14.7" customHeight="1">
      <c r="A434" s="271"/>
      <c r="B434" s="608" t="s">
        <v>123</v>
      </c>
      <c r="C434" s="207"/>
      <c r="D434" s="975" t="s">
        <v>2139</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8" t="s">
        <v>123</v>
      </c>
      <c r="C466" s="207"/>
      <c r="D466" s="997" t="s">
        <v>2076</v>
      </c>
      <c r="E466" s="995"/>
      <c r="F466" s="995"/>
    </row>
    <row r="467" spans="1:6" ht="13.2">
      <c r="D467"/>
      <c r="E467" s="927" t="s">
        <v>2075</v>
      </c>
      <c r="F467" s="927"/>
    </row>
    <row r="468" spans="1:6" ht="13.95" customHeight="1">
      <c r="D468" s="968" t="s">
        <v>1854</v>
      </c>
      <c r="E468" s="975"/>
      <c r="F468" s="975"/>
    </row>
    <row r="469" spans="1:6" ht="13.95" customHeight="1">
      <c r="D469" s="975"/>
      <c r="E469" s="975"/>
      <c r="F469" s="975"/>
    </row>
    <row r="470" spans="1:6" ht="13.2">
      <c r="D470" s="44"/>
    </row>
    <row r="471" spans="1:6" ht="14.7" customHeight="1">
      <c r="A471" s="271"/>
      <c r="B471" s="608" t="s">
        <v>123</v>
      </c>
      <c r="C471" s="207"/>
      <c r="D471" s="975" t="s">
        <v>1574</v>
      </c>
      <c r="E471" s="975"/>
      <c r="F471" s="975"/>
    </row>
    <row r="472" spans="1:6" ht="13.2">
      <c r="D472" s="975"/>
      <c r="E472" s="975"/>
      <c r="F472" s="975"/>
    </row>
    <row r="473" spans="1:6" ht="13.2">
      <c r="D473" s="975"/>
      <c r="E473" s="975"/>
      <c r="F473" s="975"/>
    </row>
    <row r="474" spans="1:6" ht="13.2">
      <c r="D474" s="24"/>
      <c r="E474" s="24"/>
      <c r="F474" s="24"/>
    </row>
    <row r="475" spans="1:6" ht="14.4">
      <c r="B475" s="608" t="s">
        <v>123</v>
      </c>
      <c r="C475" s="271"/>
      <c r="D475" s="968" t="s">
        <v>1716</v>
      </c>
      <c r="E475" s="975"/>
      <c r="F475" s="975"/>
    </row>
    <row r="476" spans="1:6" ht="13.2">
      <c r="D476" s="975"/>
      <c r="E476" s="975"/>
      <c r="F476" s="975"/>
    </row>
    <row r="477" spans="1:6" ht="13.2">
      <c r="D477" s="44"/>
      <c r="E477" s="44"/>
    </row>
    <row r="478" spans="1:6" ht="14.4">
      <c r="B478" s="608" t="s">
        <v>123</v>
      </c>
      <c r="C478" s="271"/>
      <c r="D478" s="975" t="s">
        <v>1575</v>
      </c>
      <c r="E478" s="975"/>
      <c r="F478" s="975"/>
    </row>
    <row r="479" spans="1:6" ht="13.2">
      <c r="D479" s="975"/>
      <c r="E479" s="975"/>
      <c r="F479" s="975"/>
    </row>
    <row r="480" spans="1:6" ht="13.2">
      <c r="D480" s="975"/>
      <c r="E480" s="975"/>
      <c r="F480" s="975"/>
    </row>
    <row r="481" spans="2:6" ht="13.2">
      <c r="D481" s="975"/>
      <c r="E481" s="975"/>
      <c r="F481" s="975"/>
    </row>
    <row r="482" spans="2:6" ht="13.2">
      <c r="B482" s="608" t="s">
        <v>123</v>
      </c>
      <c r="D482" s="975"/>
      <c r="E482" s="975"/>
      <c r="F482" s="975"/>
    </row>
    <row r="483" spans="2:6" ht="13.2">
      <c r="D483" s="975"/>
      <c r="E483" s="975"/>
      <c r="F483" s="975"/>
    </row>
    <row r="484" spans="2:6" ht="13.2">
      <c r="D484" s="975"/>
      <c r="E484" s="975"/>
      <c r="F484" s="975"/>
    </row>
    <row r="485" spans="2:6" ht="13.2">
      <c r="B485" s="608" t="s">
        <v>123</v>
      </c>
      <c r="D485" s="975"/>
      <c r="E485" s="975"/>
      <c r="F485" s="975"/>
    </row>
    <row r="486" spans="2:6" ht="13.2">
      <c r="D486" s="975"/>
      <c r="E486" s="975"/>
      <c r="F486" s="975"/>
    </row>
    <row r="487" spans="2:6" ht="13.2">
      <c r="D487" s="975"/>
      <c r="E487" s="975"/>
      <c r="F487" s="975"/>
    </row>
    <row r="488" spans="2:6" ht="13.2">
      <c r="D488" s="975"/>
      <c r="E488" s="975"/>
      <c r="F488" s="975"/>
    </row>
    <row r="489" spans="2:6" ht="13.2">
      <c r="B489" s="608" t="s">
        <v>123</v>
      </c>
      <c r="D489" s="975"/>
      <c r="E489" s="975"/>
      <c r="F489" s="975"/>
    </row>
    <row r="490" spans="2:6" ht="13.2">
      <c r="D490" s="975"/>
      <c r="E490" s="975"/>
      <c r="F490" s="975"/>
    </row>
    <row r="491" spans="2:6" ht="13.2">
      <c r="B491" s="608" t="s">
        <v>123</v>
      </c>
      <c r="D491" s="975"/>
      <c r="E491" s="975"/>
      <c r="F491" s="975"/>
    </row>
    <row r="492" spans="2:6" ht="13.2">
      <c r="D492" s="975"/>
      <c r="E492" s="975"/>
      <c r="F492" s="975"/>
    </row>
    <row r="493" spans="2:6" ht="13.95" customHeight="1">
      <c r="B493" s="608" t="s">
        <v>123</v>
      </c>
      <c r="D493" s="975" t="s">
        <v>1576</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8" t="s">
        <v>123</v>
      </c>
      <c r="D499" s="995" t="s">
        <v>1417</v>
      </c>
      <c r="E499" s="995"/>
      <c r="F499" s="995"/>
    </row>
    <row r="500" spans="1:7" ht="13.2">
      <c r="A500" s="44"/>
      <c r="B500" s="44"/>
    </row>
    <row r="501" spans="1:7" ht="13.2">
      <c r="A501" s="1029" t="s">
        <v>1376</v>
      </c>
      <c r="B501" s="1029"/>
      <c r="C501" s="1029"/>
      <c r="D501" s="1029"/>
      <c r="E501" s="1029"/>
      <c r="F501" s="1029"/>
      <c r="G501" s="1029"/>
    </row>
    <row r="502" spans="1:7" ht="13.2">
      <c r="A502" s="44"/>
      <c r="B502" s="44"/>
    </row>
    <row r="503" spans="1:7" ht="13.2">
      <c r="D503" s="1046" t="s">
        <v>1116</v>
      </c>
      <c r="E503" s="1046"/>
      <c r="F503" s="1046"/>
    </row>
    <row r="504" spans="1:7" ht="13.2">
      <c r="D504" s="1012" t="s">
        <v>1410</v>
      </c>
      <c r="E504" s="1012"/>
      <c r="F504" s="1012"/>
    </row>
    <row r="505" spans="1:7" ht="14.4">
      <c r="A505" s="271"/>
      <c r="B505" s="271"/>
      <c r="D505" s="419"/>
    </row>
    <row r="506" spans="1:7" ht="14.4">
      <c r="A506" s="271"/>
      <c r="B506" s="608" t="s">
        <v>123</v>
      </c>
      <c r="D506" s="1032" t="s">
        <v>1577</v>
      </c>
      <c r="E506" s="1032"/>
      <c r="F506" s="1032"/>
    </row>
    <row r="507" spans="1:7" ht="14.4">
      <c r="A507" s="271"/>
      <c r="B507" s="271"/>
      <c r="D507" s="1032"/>
      <c r="E507" s="1032"/>
      <c r="F507" s="1032"/>
    </row>
    <row r="508" spans="1:7" ht="14.4">
      <c r="A508" s="271"/>
      <c r="B508" s="271"/>
      <c r="D508" s="44"/>
    </row>
    <row r="509" spans="1:7" ht="14.4">
      <c r="A509" s="271"/>
      <c r="B509" s="608" t="s">
        <v>123</v>
      </c>
      <c r="D509" s="1047" t="s">
        <v>1873</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8" t="s">
        <v>123</v>
      </c>
      <c r="D514" s="995" t="s">
        <v>1579</v>
      </c>
      <c r="E514" s="995"/>
      <c r="F514" s="995"/>
      <c r="G514"/>
    </row>
    <row r="515" spans="1:7" ht="13.2">
      <c r="D515" s="44"/>
      <c r="G515"/>
    </row>
    <row r="516" spans="1:7" ht="14.4">
      <c r="A516" s="271"/>
      <c r="B516" s="608" t="s">
        <v>123</v>
      </c>
      <c r="D516" s="975" t="s">
        <v>1580</v>
      </c>
      <c r="E516" s="975"/>
      <c r="F516" s="975"/>
      <c r="G516"/>
    </row>
    <row r="517" spans="1:7" ht="13.2">
      <c r="D517" s="975"/>
      <c r="E517" s="975"/>
      <c r="F517" s="975"/>
      <c r="G517"/>
    </row>
    <row r="518" spans="1:7" ht="13.2">
      <c r="D518" s="419"/>
      <c r="G518"/>
    </row>
    <row r="519" spans="1:7" ht="14.4">
      <c r="A519" s="271"/>
      <c r="B519" s="608" t="s">
        <v>123</v>
      </c>
      <c r="D519" s="995" t="s">
        <v>1578</v>
      </c>
      <c r="E519" s="995"/>
      <c r="F519" s="995"/>
    </row>
    <row r="520" spans="1:7" ht="14.4">
      <c r="A520" s="271"/>
      <c r="B520" s="271"/>
      <c r="D520" s="44"/>
    </row>
    <row r="521" spans="1:7" ht="13.2">
      <c r="A521" s="1029" t="s">
        <v>1377</v>
      </c>
      <c r="B521" s="1029"/>
      <c r="C521" s="1029"/>
      <c r="D521" s="1029"/>
      <c r="E521" s="1029"/>
      <c r="F521" s="1029"/>
      <c r="G521" s="1029"/>
    </row>
    <row r="522" spans="1:7" ht="12" customHeight="1">
      <c r="A522" s="271"/>
      <c r="B522" s="271"/>
      <c r="D522" s="44"/>
    </row>
    <row r="523" spans="1:7" ht="13.2">
      <c r="B523" s="608" t="s">
        <v>1374</v>
      </c>
      <c r="C523" s="190"/>
      <c r="D523" s="1003" t="s">
        <v>1523</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8" t="s">
        <v>123</v>
      </c>
      <c r="C528" s="207"/>
      <c r="D528" s="975" t="s">
        <v>2140</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8" t="s">
        <v>1374</v>
      </c>
      <c r="C531" s="191"/>
      <c r="D531" s="928" t="s">
        <v>2077</v>
      </c>
      <c r="E531" s="929"/>
      <c r="G531"/>
    </row>
    <row r="532" spans="1:7" ht="13.2">
      <c r="A532" s="191"/>
      <c r="B532" s="191"/>
      <c r="C532" s="191"/>
      <c r="D532" s="929"/>
      <c r="E532" s="104" t="s">
        <v>2078</v>
      </c>
      <c r="G532"/>
    </row>
    <row r="533" spans="1:7" ht="14.4">
      <c r="A533" s="271"/>
      <c r="B533"/>
      <c r="D533" s="1032" t="s">
        <v>2141</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1389</v>
      </c>
      <c r="B537" s="1029"/>
      <c r="C537" s="1029"/>
      <c r="D537" s="1029"/>
      <c r="E537" s="1029"/>
      <c r="F537" s="1029"/>
      <c r="G537" s="1029"/>
    </row>
    <row r="538" spans="1:7" ht="12" customHeight="1">
      <c r="A538" s="44"/>
      <c r="B538" s="44"/>
      <c r="C538" s="207"/>
      <c r="E538" s="44"/>
    </row>
    <row r="539" spans="1:7" ht="13.2">
      <c r="C539" s="207"/>
      <c r="D539" s="996" t="s">
        <v>1418</v>
      </c>
      <c r="E539" s="996"/>
      <c r="F539" s="996"/>
    </row>
    <row r="540" spans="1:7" ht="13.2"/>
    <row r="541" spans="1:7" ht="13.2">
      <c r="B541" s="608" t="s">
        <v>123</v>
      </c>
      <c r="D541" s="975" t="s">
        <v>1549</v>
      </c>
      <c r="E541" s="975"/>
      <c r="F541" s="975"/>
    </row>
    <row r="542" spans="1:7" ht="13.2">
      <c r="D542" s="975"/>
      <c r="E542" s="975"/>
      <c r="F542" s="975"/>
    </row>
    <row r="543" spans="1:7" ht="12" customHeight="1">
      <c r="A543" s="207"/>
      <c r="B543" s="207"/>
      <c r="C543" s="207"/>
      <c r="D543" s="44"/>
    </row>
    <row r="544" spans="1:7" ht="14.4">
      <c r="A544" s="271"/>
      <c r="B544" s="608" t="s">
        <v>123</v>
      </c>
      <c r="C544" s="207"/>
      <c r="D544" s="975" t="s">
        <v>1550</v>
      </c>
      <c r="E544" s="975"/>
      <c r="F544" s="975"/>
    </row>
    <row r="545" spans="1:7" ht="13.2">
      <c r="A545" s="207"/>
      <c r="B545" s="207"/>
      <c r="C545" s="207"/>
      <c r="D545" s="975"/>
      <c r="E545" s="975"/>
      <c r="F545" s="975"/>
    </row>
    <row r="546" spans="1:7" ht="12" customHeight="1">
      <c r="A546" s="207"/>
      <c r="B546" s="207"/>
      <c r="C546" s="207"/>
      <c r="D546" s="44"/>
    </row>
    <row r="547" spans="1:7" ht="13.2">
      <c r="A547" s="1007" t="s">
        <v>1425</v>
      </c>
      <c r="B547" s="1007"/>
      <c r="C547" s="1007"/>
      <c r="D547" s="1007"/>
      <c r="E547" s="1007"/>
      <c r="F547" s="1007"/>
      <c r="G547" s="1007"/>
    </row>
    <row r="548" spans="1:7" ht="12" customHeight="1">
      <c r="A548" s="44"/>
      <c r="B548" s="44"/>
      <c r="C548" s="207"/>
      <c r="D548" s="44"/>
    </row>
    <row r="549" spans="1:7" ht="13.2">
      <c r="C549" s="207"/>
      <c r="D549" s="996" t="s">
        <v>163</v>
      </c>
      <c r="E549" s="996"/>
      <c r="F549" s="996"/>
    </row>
    <row r="550" spans="1:7" ht="13.2">
      <c r="C550" s="207"/>
      <c r="D550" s="995" t="s">
        <v>1532</v>
      </c>
      <c r="E550" s="995"/>
      <c r="F550" s="995"/>
    </row>
    <row r="551" spans="1:7" ht="13.2">
      <c r="C551" s="207"/>
      <c r="D551" s="44"/>
      <c r="E551" s="44"/>
      <c r="F551" s="44"/>
    </row>
    <row r="552" spans="1:7" ht="14.4">
      <c r="A552" s="271"/>
      <c r="B552" s="608" t="s">
        <v>1374</v>
      </c>
      <c r="C552" s="207"/>
      <c r="D552" s="995" t="s">
        <v>1111</v>
      </c>
      <c r="E552" s="995"/>
      <c r="F552" s="995"/>
    </row>
    <row r="553" spans="1:7" ht="12" customHeight="1">
      <c r="A553" s="207"/>
      <c r="B553" s="207"/>
      <c r="C553" s="207"/>
      <c r="D553" s="44"/>
      <c r="E553"/>
      <c r="F553"/>
      <c r="G553"/>
    </row>
    <row r="554" spans="1:7" ht="14.7" customHeight="1">
      <c r="A554" s="271"/>
      <c r="B554" s="608" t="s">
        <v>1374</v>
      </c>
      <c r="C554" s="207"/>
      <c r="D554" s="975" t="s">
        <v>1531</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8" t="s">
        <v>1374</v>
      </c>
      <c r="C557" s="207"/>
      <c r="D557" s="975" t="s">
        <v>1533</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8" t="s">
        <v>1374</v>
      </c>
      <c r="C560" s="207"/>
      <c r="D560" s="975" t="s">
        <v>1534</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7" customHeight="1">
      <c r="A563" s="271"/>
      <c r="B563" s="608" t="s">
        <v>1374</v>
      </c>
      <c r="C563" s="207"/>
      <c r="D563" s="975" t="s">
        <v>1535</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8" t="s">
        <v>123</v>
      </c>
      <c r="C567" s="207"/>
      <c r="D567" s="968" t="s">
        <v>1629</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8" t="s">
        <v>1374</v>
      </c>
      <c r="C570" s="207"/>
      <c r="D570" s="975" t="s">
        <v>1536</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8" t="s">
        <v>1374</v>
      </c>
      <c r="C573" s="207"/>
      <c r="D573" s="995" t="s">
        <v>1537</v>
      </c>
      <c r="E573" s="995"/>
      <c r="F573" s="995"/>
      <c r="G573"/>
    </row>
    <row r="574" spans="1:7" ht="14.4">
      <c r="A574" s="271"/>
      <c r="B574" s="271"/>
      <c r="C574" s="207"/>
      <c r="D574" s="1036" t="s">
        <v>2079</v>
      </c>
      <c r="E574" s="1036"/>
      <c r="F574" s="1036"/>
      <c r="G574"/>
    </row>
    <row r="575" spans="1:7" ht="13.2">
      <c r="A575" s="18"/>
      <c r="B575" s="18"/>
      <c r="C575" s="207"/>
      <c r="D575" s="930"/>
      <c r="E575" s="104" t="s">
        <v>2080</v>
      </c>
      <c r="F575" s="931"/>
      <c r="G575"/>
    </row>
    <row r="576" spans="1:7" ht="15" customHeight="1">
      <c r="A576" s="18"/>
      <c r="B576" s="18"/>
      <c r="C576" s="207"/>
      <c r="D576" s="968" t="s">
        <v>1750</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8" t="s">
        <v>1374</v>
      </c>
      <c r="C586" s="207"/>
      <c r="D586" s="995" t="s">
        <v>1538</v>
      </c>
      <c r="E586" s="995"/>
      <c r="F586" s="995"/>
      <c r="G586"/>
    </row>
    <row r="587" spans="1:7" ht="13.95" customHeight="1">
      <c r="C587" s="207"/>
      <c r="D587" s="975" t="s">
        <v>1539</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7" customHeight="1">
      <c r="A591" s="271"/>
      <c r="B591" s="608" t="s">
        <v>1374</v>
      </c>
      <c r="C591" s="207"/>
      <c r="D591" s="975" t="s">
        <v>2142</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8" t="s">
        <v>123</v>
      </c>
      <c r="C596" s="191"/>
      <c r="D596" s="1028" t="s">
        <v>1811</v>
      </c>
      <c r="E596" s="1005"/>
      <c r="F596" s="1005"/>
    </row>
    <row r="597" spans="1:7" ht="13.2">
      <c r="A597" s="191"/>
      <c r="B597" s="191"/>
      <c r="C597" s="191"/>
    </row>
    <row r="598" spans="1:7" ht="13.2">
      <c r="A598" s="207"/>
      <c r="B598" s="207"/>
      <c r="C598" s="207"/>
      <c r="D598" s="24"/>
      <c r="E598" s="24"/>
      <c r="F598" s="24"/>
    </row>
    <row r="599" spans="1:7" ht="13.2">
      <c r="A599" s="1029" t="s">
        <v>1391</v>
      </c>
      <c r="B599" s="1029"/>
      <c r="C599" s="1029"/>
      <c r="D599" s="1029"/>
      <c r="E599" s="1029"/>
      <c r="F599" s="1029"/>
      <c r="G599" s="1029"/>
    </row>
    <row r="600" spans="1:7" ht="13.2">
      <c r="A600" s="207"/>
      <c r="B600" s="207"/>
      <c r="C600" s="207"/>
    </row>
    <row r="601" spans="1:7" ht="13.2">
      <c r="C601" s="190"/>
      <c r="D601" s="1002" t="s">
        <v>164</v>
      </c>
      <c r="E601" s="1002"/>
      <c r="F601" s="1002"/>
    </row>
    <row r="602" spans="1:7" ht="13.2">
      <c r="C602" s="190"/>
      <c r="D602" s="998" t="s">
        <v>1440</v>
      </c>
      <c r="E602" s="998"/>
      <c r="F602" s="998"/>
    </row>
    <row r="603" spans="1:7" ht="13.2">
      <c r="C603" s="190"/>
      <c r="D603" s="371"/>
    </row>
    <row r="604" spans="1:7" ht="14.4">
      <c r="A604" s="271"/>
      <c r="B604" s="608" t="s">
        <v>1374</v>
      </c>
      <c r="D604" s="998" t="s">
        <v>1112</v>
      </c>
      <c r="E604" s="998"/>
      <c r="F604" s="998"/>
    </row>
    <row r="605" spans="1:7" ht="13.2">
      <c r="A605" s="18"/>
      <c r="B605" s="18"/>
      <c r="D605" s="361"/>
    </row>
    <row r="606" spans="1:7" ht="14.7" customHeight="1">
      <c r="A606" s="271"/>
      <c r="B606" s="608" t="s">
        <v>1374</v>
      </c>
      <c r="D606" s="998" t="s">
        <v>2143</v>
      </c>
      <c r="E606" s="998"/>
      <c r="F606" s="998"/>
    </row>
    <row r="607" spans="1:7" ht="14.7" customHeight="1">
      <c r="A607" s="271"/>
      <c r="B607" s="271"/>
      <c r="D607" s="998"/>
      <c r="E607" s="998"/>
      <c r="F607" s="998"/>
    </row>
    <row r="608" spans="1:7" ht="14.4">
      <c r="A608" s="271"/>
      <c r="B608" s="271"/>
      <c r="D608" s="998"/>
      <c r="E608" s="998"/>
      <c r="F608" s="998"/>
    </row>
    <row r="609" spans="1:7" ht="14.4">
      <c r="A609" s="271"/>
      <c r="B609" s="271"/>
      <c r="D609" s="612"/>
      <c r="E609" s="612"/>
      <c r="F609" s="612"/>
    </row>
    <row r="610" spans="1:7" ht="14.4">
      <c r="A610" s="271"/>
      <c r="B610" s="608" t="s">
        <v>123</v>
      </c>
      <c r="D610" s="998" t="s">
        <v>1441</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8" t="s">
        <v>1374</v>
      </c>
      <c r="D615" s="998" t="s">
        <v>2144</v>
      </c>
      <c r="E615" s="998"/>
      <c r="F615" s="998"/>
    </row>
    <row r="616" spans="1:7" ht="14.4">
      <c r="A616" s="271"/>
      <c r="B616" s="271"/>
      <c r="D616" s="998"/>
      <c r="E616" s="998"/>
      <c r="F616" s="998"/>
    </row>
    <row r="617" spans="1:7" ht="14.4">
      <c r="A617" s="271"/>
      <c r="B617" s="271"/>
      <c r="D617" s="371"/>
    </row>
    <row r="618" spans="1:7" ht="14.7" customHeight="1">
      <c r="A618" s="271"/>
      <c r="B618" s="608" t="s">
        <v>123</v>
      </c>
      <c r="D618" s="998" t="s">
        <v>1445</v>
      </c>
      <c r="E618" s="998"/>
      <c r="F618" s="998"/>
    </row>
    <row r="619" spans="1:7" ht="14.4">
      <c r="A619" s="271"/>
      <c r="B619" s="271"/>
      <c r="D619" s="998"/>
      <c r="E619" s="998"/>
      <c r="F619" s="998"/>
    </row>
    <row r="620" spans="1:7" ht="14.4">
      <c r="A620" s="271"/>
      <c r="B620" s="271"/>
      <c r="D620" s="371"/>
    </row>
    <row r="621" spans="1:7" ht="14.4">
      <c r="A621" s="271"/>
      <c r="B621" s="608" t="s">
        <v>1374</v>
      </c>
      <c r="D621" s="998" t="s">
        <v>1113</v>
      </c>
      <c r="E621" s="998"/>
      <c r="F621" s="998"/>
    </row>
    <row r="622" spans="1:7" ht="13.2">
      <c r="A622" s="18"/>
      <c r="B622" s="18"/>
    </row>
    <row r="623" spans="1:7" ht="13.2">
      <c r="A623" s="1029" t="s">
        <v>1393</v>
      </c>
      <c r="B623" s="1029"/>
      <c r="C623" s="1029"/>
      <c r="D623" s="1029"/>
      <c r="E623" s="1029"/>
      <c r="F623" s="1029"/>
      <c r="G623" s="1029"/>
    </row>
    <row r="624" spans="1:7" ht="13.2">
      <c r="A624" s="63"/>
      <c r="B624" s="63"/>
    </row>
    <row r="625" spans="1:7" ht="13.2">
      <c r="C625" s="191"/>
      <c r="D625" s="1025" t="s">
        <v>1392</v>
      </c>
      <c r="E625" s="1025"/>
      <c r="F625" s="1025"/>
    </row>
    <row r="626" spans="1:7" ht="13.2">
      <c r="C626" s="191"/>
      <c r="D626" s="1005" t="s">
        <v>1419</v>
      </c>
      <c r="E626" s="1005"/>
      <c r="F626" s="1005"/>
    </row>
    <row r="627" spans="1:7" ht="13.2">
      <c r="C627" s="191"/>
      <c r="D627" s="102"/>
      <c r="E627" s="102"/>
      <c r="F627" s="102"/>
    </row>
    <row r="628" spans="1:7" ht="14.25" customHeight="1">
      <c r="A628" s="271"/>
      <c r="B628" s="608" t="s">
        <v>1374</v>
      </c>
      <c r="D628" s="1048" t="s">
        <v>2082</v>
      </c>
      <c r="E628" s="1049"/>
      <c r="F628" s="1049"/>
    </row>
    <row r="629" spans="1:7" ht="13.2">
      <c r="D629" s="1049"/>
      <c r="E629" s="1049"/>
      <c r="F629" s="1049"/>
    </row>
    <row r="630" spans="1:7" ht="13.2">
      <c r="D630" s="932"/>
      <c r="E630" s="926" t="s">
        <v>2081</v>
      </c>
      <c r="F630" s="932"/>
    </row>
    <row r="631" spans="1:7" ht="13.2">
      <c r="A631" s="63"/>
      <c r="B631" s="63"/>
    </row>
    <row r="632" spans="1:7" ht="12" customHeight="1">
      <c r="A632" s="1029" t="s">
        <v>1395</v>
      </c>
      <c r="B632" s="1029"/>
      <c r="C632" s="1029"/>
      <c r="D632" s="1029"/>
      <c r="E632" s="1029"/>
      <c r="F632" s="1029"/>
      <c r="G632" s="1029"/>
    </row>
    <row r="633" spans="1:7" ht="13.2">
      <c r="A633" s="44"/>
      <c r="B633" s="44"/>
    </row>
    <row r="634" spans="1:7" ht="13.2">
      <c r="C634" s="190"/>
      <c r="D634" s="996" t="s">
        <v>1394</v>
      </c>
      <c r="E634" s="996"/>
      <c r="F634" s="996"/>
    </row>
    <row r="635" spans="1:7" ht="13.2">
      <c r="A635" s="191"/>
      <c r="B635" s="191"/>
      <c r="C635" s="191"/>
      <c r="D635" s="995" t="s">
        <v>1551</v>
      </c>
      <c r="E635" s="995"/>
      <c r="F635" s="995"/>
    </row>
    <row r="636" spans="1:7" ht="13.2">
      <c r="A636" s="191"/>
      <c r="B636" s="191"/>
      <c r="C636" s="191"/>
    </row>
    <row r="637" spans="1:7" ht="14.4">
      <c r="A637" s="271"/>
      <c r="B637" s="271"/>
      <c r="D637" s="1025" t="s">
        <v>868</v>
      </c>
      <c r="E637" s="1025"/>
      <c r="F637" s="1025"/>
    </row>
    <row r="638" spans="1:7" ht="14.4">
      <c r="A638" s="271"/>
      <c r="B638" s="608" t="s">
        <v>1374</v>
      </c>
      <c r="D638" s="1005" t="s">
        <v>1552</v>
      </c>
      <c r="E638" s="1005"/>
      <c r="F638" s="1005"/>
    </row>
    <row r="639" spans="1:7" ht="14.4">
      <c r="A639" s="271"/>
      <c r="B639" s="271"/>
      <c r="D639" s="44"/>
    </row>
    <row r="640" spans="1:7" ht="14.4">
      <c r="A640" s="271"/>
      <c r="B640" s="608" t="s">
        <v>123</v>
      </c>
      <c r="D640" s="975" t="s">
        <v>1553</v>
      </c>
      <c r="E640" s="975"/>
      <c r="F640" s="975"/>
    </row>
    <row r="641" spans="1:7" ht="14.4">
      <c r="A641" s="271"/>
      <c r="B641" s="271"/>
      <c r="D641" s="975"/>
      <c r="E641" s="975"/>
      <c r="F641" s="975"/>
    </row>
    <row r="642" spans="1:7" ht="14.4">
      <c r="A642" s="271"/>
      <c r="B642" s="271"/>
      <c r="D642" s="44"/>
    </row>
    <row r="643" spans="1:7" ht="14.4">
      <c r="A643" s="271"/>
      <c r="B643" s="608" t="s">
        <v>1374</v>
      </c>
      <c r="D643" s="968" t="s">
        <v>1919</v>
      </c>
      <c r="E643" s="968"/>
      <c r="F643" s="968"/>
    </row>
    <row r="644" spans="1:7" ht="13.95" customHeight="1">
      <c r="D644" s="968"/>
      <c r="E644" s="968"/>
      <c r="F644" s="968"/>
    </row>
    <row r="645" spans="1:7" ht="13.2"/>
    <row r="646" spans="1:7" ht="14.4">
      <c r="A646" s="271"/>
      <c r="B646" s="608" t="s">
        <v>123</v>
      </c>
      <c r="D646" s="1005" t="s">
        <v>1554</v>
      </c>
      <c r="E646" s="1005"/>
      <c r="F646" s="1005"/>
    </row>
    <row r="647" spans="1:7" ht="13.2">
      <c r="A647" s="190"/>
      <c r="B647" s="190"/>
      <c r="C647" s="190"/>
    </row>
    <row r="648" spans="1:7" ht="13.2">
      <c r="A648" s="1029" t="s">
        <v>1396</v>
      </c>
      <c r="B648" s="1029"/>
      <c r="C648" s="1029"/>
      <c r="D648" s="1029"/>
      <c r="E648" s="1029"/>
      <c r="F648" s="1029"/>
      <c r="G648" s="1029"/>
    </row>
    <row r="649" spans="1:7" ht="13.2">
      <c r="A649" s="190"/>
      <c r="B649" s="190"/>
      <c r="C649" s="190"/>
    </row>
    <row r="650" spans="1:7" ht="13.2">
      <c r="C650" s="18"/>
      <c r="D650" s="1013" t="s">
        <v>1420</v>
      </c>
      <c r="E650" s="1013"/>
      <c r="F650" s="1013"/>
    </row>
    <row r="651" spans="1:7" ht="13.2">
      <c r="A651" s="18"/>
      <c r="B651" s="18"/>
      <c r="D651" s="3"/>
    </row>
    <row r="652" spans="1:7" ht="14.25" customHeight="1">
      <c r="A652" s="271"/>
      <c r="B652" s="608" t="s">
        <v>1374</v>
      </c>
      <c r="D652" s="1048" t="s">
        <v>2145</v>
      </c>
      <c r="E652" s="1048"/>
      <c r="F652" s="1048"/>
    </row>
    <row r="653" spans="1:7" ht="14.4">
      <c r="A653" s="271"/>
      <c r="B653" s="271"/>
      <c r="D653" s="1048"/>
      <c r="E653" s="1048"/>
      <c r="F653" s="1048"/>
    </row>
    <row r="654" spans="1:7" ht="13.2">
      <c r="D654" s="932"/>
      <c r="E654" s="926" t="s">
        <v>2084</v>
      </c>
      <c r="F654" s="932"/>
    </row>
    <row r="655" spans="1:7" ht="13.2">
      <c r="D655" s="972" t="s">
        <v>2083</v>
      </c>
      <c r="E655" s="972"/>
      <c r="F655" s="972"/>
    </row>
    <row r="656" spans="1:7" ht="12.75" customHeight="1">
      <c r="D656" s="972"/>
      <c r="E656" s="972"/>
      <c r="F656" s="972"/>
    </row>
    <row r="657" spans="1:9" ht="13.2">
      <c r="B657"/>
      <c r="D657" s="972"/>
      <c r="E657" s="972"/>
      <c r="F657" s="972"/>
    </row>
    <row r="658" spans="1:9" ht="13.2"/>
    <row r="659" spans="1:9" ht="14.4">
      <c r="A659" s="303"/>
      <c r="B659" s="608" t="s">
        <v>123</v>
      </c>
      <c r="D659" s="1014" t="s">
        <v>1555</v>
      </c>
      <c r="E659" s="1014"/>
      <c r="F659" s="1014"/>
      <c r="G659" s="44"/>
    </row>
    <row r="660" spans="1:9" ht="14.4">
      <c r="A660" s="303"/>
      <c r="B660" s="303"/>
      <c r="D660" s="1014"/>
      <c r="E660" s="1014"/>
      <c r="F660" s="1014"/>
      <c r="G660" s="44"/>
    </row>
    <row r="661" spans="1:9" ht="14.4">
      <c r="A661" s="303"/>
      <c r="B661" s="303"/>
      <c r="D661" s="44"/>
      <c r="E661" s="44"/>
      <c r="F661" s="44"/>
      <c r="G661" s="44"/>
    </row>
    <row r="662" spans="1:9" ht="13.95" customHeight="1">
      <c r="A662" s="303"/>
      <c r="B662" s="608" t="s">
        <v>123</v>
      </c>
      <c r="D662" s="1016" t="s">
        <v>1812</v>
      </c>
      <c r="E662" s="1016"/>
      <c r="F662" s="1016"/>
      <c r="G662" s="44"/>
    </row>
    <row r="663" spans="1:9" ht="14.4">
      <c r="A663" s="303"/>
      <c r="B663" s="303"/>
      <c r="D663" s="1016"/>
      <c r="E663" s="1016"/>
      <c r="F663" s="1016"/>
      <c r="G663" s="44"/>
    </row>
    <row r="664" spans="1:9" ht="14.4">
      <c r="A664" s="271"/>
      <c r="B664" s="271"/>
      <c r="D664" s="625"/>
      <c r="E664" s="625"/>
      <c r="F664" s="625"/>
      <c r="G664" s="44"/>
    </row>
    <row r="665" spans="1:9" ht="14.4">
      <c r="A665" s="271"/>
      <c r="B665" s="608" t="s">
        <v>123</v>
      </c>
      <c r="C665" s="207"/>
      <c r="D665" s="1015" t="s">
        <v>1556</v>
      </c>
      <c r="E665" s="1015"/>
      <c r="F665" s="1015"/>
      <c r="G665" s="44"/>
    </row>
    <row r="666" spans="1:9" ht="13.2">
      <c r="A666" s="44"/>
      <c r="B666" s="44"/>
      <c r="C666" s="207"/>
      <c r="D666" s="44"/>
      <c r="E666" s="44"/>
      <c r="F666" s="44"/>
      <c r="G666" s="44"/>
      <c r="H666" s="267"/>
      <c r="I666" s="267"/>
    </row>
    <row r="667" spans="1:9" ht="13.2">
      <c r="A667" s="1029" t="s">
        <v>1398</v>
      </c>
      <c r="B667" s="1029"/>
      <c r="C667" s="1029"/>
      <c r="D667" s="1029"/>
      <c r="E667" s="1029"/>
      <c r="F667" s="1029"/>
      <c r="G667" s="1029"/>
    </row>
    <row r="668" spans="1:9" ht="13.2">
      <c r="A668" s="44"/>
      <c r="B668" s="44"/>
      <c r="C668" s="207"/>
      <c r="D668" s="44"/>
      <c r="E668" s="44"/>
      <c r="F668" s="44"/>
      <c r="G668" s="44"/>
    </row>
    <row r="669" spans="1:9" ht="13.2">
      <c r="C669" s="190"/>
      <c r="D669" s="996" t="s">
        <v>1397</v>
      </c>
      <c r="E669" s="996"/>
      <c r="F669" s="996"/>
      <c r="G669" s="44"/>
    </row>
    <row r="670" spans="1:9" ht="13.2">
      <c r="A670" s="191"/>
      <c r="B670" s="191"/>
      <c r="C670" s="191"/>
      <c r="D670" s="995" t="s">
        <v>1421</v>
      </c>
      <c r="E670" s="995"/>
      <c r="F670" s="995"/>
      <c r="G670" s="44"/>
    </row>
    <row r="671" spans="1:9" ht="13.2">
      <c r="A671" s="191"/>
      <c r="B671" s="191"/>
      <c r="C671" s="191"/>
      <c r="D671" s="44"/>
      <c r="E671" s="44"/>
      <c r="F671" s="44"/>
      <c r="G671" s="44"/>
    </row>
    <row r="672" spans="1:9" ht="14.7" customHeight="1">
      <c r="A672" s="271"/>
      <c r="B672" s="608" t="s">
        <v>1374</v>
      </c>
      <c r="C672" s="207"/>
      <c r="D672" s="968" t="s">
        <v>1875</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8" t="s">
        <v>78</v>
      </c>
      <c r="C679" s="207"/>
      <c r="D679" s="999" t="s">
        <v>1438</v>
      </c>
      <c r="E679" s="999"/>
      <c r="F679" s="999"/>
      <c r="G679" s="44"/>
    </row>
    <row r="680" spans="1:7" ht="14.4" hidden="1">
      <c r="A680" s="271"/>
      <c r="B680" s="271"/>
      <c r="C680" s="207"/>
      <c r="D680" s="993" t="s">
        <v>2146</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1874</v>
      </c>
      <c r="E685" s="1017"/>
      <c r="F685" s="1017"/>
      <c r="G685" s="44"/>
    </row>
    <row r="686" spans="1:7" ht="13.2">
      <c r="A686" s="44"/>
      <c r="B686" s="44"/>
      <c r="C686" s="207"/>
      <c r="D686" s="44"/>
      <c r="E686" s="44"/>
      <c r="F686" s="44"/>
      <c r="G686" s="44"/>
    </row>
    <row r="687" spans="1:7" ht="13.2">
      <c r="A687" s="1029" t="s">
        <v>1399</v>
      </c>
      <c r="B687" s="1029"/>
      <c r="C687" s="1029"/>
      <c r="D687" s="1029"/>
      <c r="E687" s="1029"/>
      <c r="F687" s="1029"/>
      <c r="G687" s="1029"/>
    </row>
    <row r="688" spans="1:7" ht="13.2">
      <c r="A688" s="44"/>
      <c r="B688" s="44"/>
      <c r="C688" s="207"/>
      <c r="D688" s="44"/>
      <c r="E688" s="44"/>
      <c r="F688" s="44"/>
      <c r="G688" s="44"/>
    </row>
    <row r="689" spans="1:7" ht="13.2">
      <c r="C689" s="190"/>
      <c r="D689" s="996" t="s">
        <v>781</v>
      </c>
      <c r="E689" s="996"/>
      <c r="F689" s="996"/>
      <c r="G689" s="44"/>
    </row>
    <row r="690" spans="1:7" ht="13.2">
      <c r="A690" s="190"/>
      <c r="B690" s="190"/>
      <c r="C690" s="190"/>
      <c r="D690" s="996" t="s">
        <v>869</v>
      </c>
      <c r="E690" s="996"/>
      <c r="F690" s="996"/>
      <c r="G690" s="44"/>
    </row>
    <row r="691" spans="1:7" ht="13.2">
      <c r="A691" s="191"/>
      <c r="B691" s="191"/>
      <c r="C691" s="191"/>
      <c r="D691" s="995" t="s">
        <v>1522</v>
      </c>
      <c r="E691" s="995"/>
      <c r="F691" s="995"/>
    </row>
    <row r="692" spans="1:7" ht="14.25" customHeight="1">
      <c r="A692" s="191"/>
      <c r="B692" s="191"/>
      <c r="C692" s="191"/>
    </row>
    <row r="693" spans="1:7" ht="14.4">
      <c r="A693" s="271"/>
      <c r="B693" s="608" t="s">
        <v>1374</v>
      </c>
      <c r="C693" s="191"/>
      <c r="D693" s="995" t="s">
        <v>1114</v>
      </c>
      <c r="E693" s="995"/>
      <c r="F693" s="995"/>
    </row>
    <row r="694" spans="1:7" ht="13.2">
      <c r="A694" s="191"/>
      <c r="B694" s="191"/>
      <c r="C694" s="191"/>
      <c r="D694" s="995" t="s">
        <v>1131</v>
      </c>
      <c r="E694" s="995"/>
      <c r="F694" s="995"/>
    </row>
    <row r="695" spans="1:7" ht="12.75" customHeight="1">
      <c r="A695" s="191"/>
      <c r="B695" s="191"/>
      <c r="C695" s="191"/>
      <c r="E695" s="926" t="s">
        <v>2086</v>
      </c>
      <c r="F695" s="15"/>
    </row>
    <row r="696" spans="1:7" ht="13.2">
      <c r="A696" s="191"/>
      <c r="B696" s="191"/>
      <c r="C696" s="191"/>
      <c r="E696" s="925" t="s">
        <v>2085</v>
      </c>
      <c r="F696" s="15"/>
    </row>
    <row r="697" spans="1:7" ht="13.2">
      <c r="A697" s="191"/>
      <c r="B697" s="191"/>
      <c r="C697" s="191"/>
      <c r="D697" s="212"/>
      <c r="E697" s="212"/>
      <c r="F697" s="212"/>
    </row>
    <row r="698" spans="1:7" ht="14.4">
      <c r="A698" s="271"/>
      <c r="B698" s="608" t="s">
        <v>1374</v>
      </c>
      <c r="C698" s="191"/>
      <c r="D698" s="975" t="s">
        <v>2147</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8" t="s">
        <v>1374</v>
      </c>
      <c r="C702" s="191"/>
      <c r="D702" s="995" t="s">
        <v>1172</v>
      </c>
      <c r="E702" s="995"/>
      <c r="F702" s="995"/>
    </row>
    <row r="703" spans="1:7" ht="14.4">
      <c r="A703" s="271"/>
      <c r="B703" s="271"/>
      <c r="C703" s="191"/>
      <c r="D703" s="995" t="s">
        <v>1131</v>
      </c>
      <c r="E703" s="995"/>
      <c r="F703" s="995"/>
    </row>
    <row r="704" spans="1:7" ht="13.2">
      <c r="A704" s="191"/>
      <c r="B704" s="191"/>
      <c r="C704" s="191"/>
      <c r="E704" s="1020" t="s">
        <v>2087</v>
      </c>
      <c r="F704" s="1020"/>
    </row>
    <row r="705" spans="1:6" ht="13.2">
      <c r="A705" s="191"/>
      <c r="B705" s="191"/>
      <c r="C705" s="191"/>
      <c r="D705" s="3"/>
    </row>
    <row r="706" spans="1:6" ht="14.4">
      <c r="A706" s="271"/>
      <c r="B706" s="608" t="s">
        <v>1374</v>
      </c>
      <c r="C706" s="191"/>
      <c r="D706" s="975" t="s">
        <v>1524</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8" t="s">
        <v>1374</v>
      </c>
      <c r="C713" s="191"/>
      <c r="D713" s="968" t="s">
        <v>1730</v>
      </c>
      <c r="E713" s="975"/>
      <c r="F713" s="975"/>
    </row>
    <row r="714" spans="1:6" ht="13.2">
      <c r="A714" s="191"/>
      <c r="B714" s="191"/>
      <c r="C714" s="191"/>
      <c r="D714" s="975"/>
      <c r="E714" s="975"/>
      <c r="F714" s="975"/>
    </row>
    <row r="715" spans="1:6" ht="13.2">
      <c r="A715" s="191"/>
      <c r="B715" s="191"/>
      <c r="C715" s="191"/>
    </row>
    <row r="716" spans="1:6" ht="14.7" customHeight="1">
      <c r="A716" s="271"/>
      <c r="B716" s="608" t="s">
        <v>123</v>
      </c>
      <c r="C716" s="191"/>
      <c r="D716" s="975" t="s">
        <v>1525</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8" t="s">
        <v>123</v>
      </c>
      <c r="C729" s="191"/>
      <c r="D729" s="975" t="s">
        <v>1529</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8" t="s">
        <v>123</v>
      </c>
      <c r="C732" s="191"/>
      <c r="D732" s="975" t="s">
        <v>1530</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7" customHeight="1">
      <c r="A736" s="271"/>
      <c r="B736" s="608" t="s">
        <v>123</v>
      </c>
      <c r="C736" s="191"/>
      <c r="D736" s="968" t="s">
        <v>1920</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7" customHeight="1">
      <c r="A740" s="271"/>
      <c r="B740" s="608" t="s">
        <v>123</v>
      </c>
      <c r="C740" s="191"/>
      <c r="D740" s="975" t="s">
        <v>1526</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8" t="s">
        <v>123</v>
      </c>
      <c r="C744" s="191"/>
      <c r="D744" s="975" t="s">
        <v>1528</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8" t="s">
        <v>123</v>
      </c>
      <c r="C749" s="191"/>
      <c r="D749" s="968" t="s">
        <v>2213</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1527</v>
      </c>
      <c r="E756" s="1019"/>
      <c r="F756" s="1019"/>
      <c r="H756" s="267"/>
      <c r="I756" s="267"/>
    </row>
    <row r="757" spans="1:9" ht="13.2">
      <c r="A757" s="191"/>
      <c r="B757" s="191"/>
      <c r="C757" s="191"/>
      <c r="D757" s="559"/>
      <c r="H757" s="267"/>
      <c r="I757" s="267"/>
    </row>
    <row r="758" spans="1:9" ht="13.2">
      <c r="A758" s="1007" t="s">
        <v>1426</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1446</v>
      </c>
      <c r="E760" s="1002"/>
      <c r="F760" s="1002"/>
      <c r="H760" s="267"/>
      <c r="I760" s="267"/>
    </row>
    <row r="761" spans="1:9" ht="13.2">
      <c r="A761" s="190"/>
      <c r="B761" s="190"/>
      <c r="C761" s="190"/>
      <c r="D761" s="1005" t="s">
        <v>1449</v>
      </c>
      <c r="E761" s="1005"/>
      <c r="F761" s="1005"/>
      <c r="H761" s="267"/>
      <c r="I761" s="267"/>
    </row>
    <row r="762" spans="1:9" ht="13.2">
      <c r="A762" s="191"/>
      <c r="B762" s="191"/>
      <c r="C762" s="191"/>
      <c r="H762" s="267"/>
      <c r="I762" s="267"/>
    </row>
    <row r="763" spans="1:9" ht="14.25" customHeight="1">
      <c r="A763" s="271"/>
      <c r="B763" s="608" t="s">
        <v>1374</v>
      </c>
      <c r="D763" s="975" t="s">
        <v>1447</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8" t="s">
        <v>1374</v>
      </c>
      <c r="D770" s="1016" t="s">
        <v>1861</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8" t="s">
        <v>123</v>
      </c>
      <c r="C775" s="432"/>
      <c r="D775" s="1018" t="s">
        <v>1862</v>
      </c>
      <c r="E775" s="993"/>
      <c r="F775" s="993"/>
      <c r="G775" s="372"/>
      <c r="H775" s="267"/>
      <c r="I775" s="267"/>
    </row>
    <row r="776" spans="1:9" ht="13.2">
      <c r="A776" s="432"/>
      <c r="B776" s="432"/>
      <c r="C776" s="432"/>
      <c r="D776" s="993"/>
      <c r="E776" s="993"/>
      <c r="F776" s="993"/>
      <c r="G776" s="372"/>
      <c r="H776" s="267"/>
      <c r="I776" s="267"/>
    </row>
    <row r="777" spans="1:9" ht="13.2">
      <c r="A777" s="432"/>
      <c r="B777" s="432"/>
      <c r="C777" s="432"/>
      <c r="D777" s="993"/>
      <c r="E777" s="993"/>
      <c r="F777" s="993"/>
      <c r="G777" s="372"/>
      <c r="H777" s="267"/>
      <c r="I777" s="267"/>
    </row>
    <row r="778" spans="1:9" ht="13.2">
      <c r="D778" s="44"/>
      <c r="E778" s="44"/>
      <c r="F778" s="44"/>
      <c r="H778" s="267"/>
      <c r="I778" s="267"/>
    </row>
    <row r="779" spans="1:9" ht="13.2">
      <c r="B779" s="608" t="s">
        <v>123</v>
      </c>
      <c r="D779" s="975" t="s">
        <v>1448</v>
      </c>
      <c r="E779" s="975"/>
      <c r="F779" s="975"/>
      <c r="H779" s="267"/>
      <c r="I779" s="267"/>
    </row>
    <row r="780" spans="1:9" ht="13.2">
      <c r="D780" s="975"/>
      <c r="E780" s="975"/>
      <c r="F780" s="975"/>
      <c r="H780" s="267"/>
      <c r="I780" s="267"/>
    </row>
    <row r="781" spans="1:9" ht="13.2">
      <c r="D781" s="24"/>
      <c r="E781" s="24"/>
      <c r="F781" s="24"/>
      <c r="H781" s="267"/>
      <c r="I781" s="267"/>
    </row>
    <row r="782" spans="1:9" ht="13.95" customHeight="1">
      <c r="B782" s="608" t="s">
        <v>123</v>
      </c>
      <c r="D782" s="968" t="s">
        <v>1753</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1590</v>
      </c>
      <c r="B786" s="1007"/>
      <c r="C786" s="1007"/>
      <c r="D786" s="1007"/>
      <c r="E786" s="1007"/>
      <c r="F786" s="1007"/>
      <c r="G786" s="1007"/>
      <c r="H786" s="267"/>
      <c r="I786" s="267"/>
    </row>
    <row r="787" spans="1:9" ht="13.2">
      <c r="A787" s="63"/>
      <c r="B787" s="63"/>
      <c r="H787" s="267"/>
      <c r="I787" s="267"/>
    </row>
    <row r="788" spans="1:9" ht="13.95" customHeight="1">
      <c r="A788" s="63"/>
      <c r="B788" s="63"/>
      <c r="D788" s="1011" t="s">
        <v>1591</v>
      </c>
      <c r="E788" s="1011"/>
      <c r="F788" s="1011"/>
      <c r="H788" s="267"/>
      <c r="I788" s="267"/>
    </row>
    <row r="789" spans="1:9" ht="13.2">
      <c r="A789" s="63"/>
      <c r="B789" s="63"/>
      <c r="D789" s="1012" t="s">
        <v>1592</v>
      </c>
      <c r="E789" s="1012"/>
      <c r="F789" s="1012"/>
      <c r="H789" s="267"/>
      <c r="I789" s="267"/>
    </row>
    <row r="790" spans="1:9" ht="13.2">
      <c r="A790" s="63"/>
      <c r="B790" s="63"/>
      <c r="D790" s="419"/>
      <c r="E790" s="419"/>
      <c r="F790" s="419"/>
      <c r="H790" s="267"/>
      <c r="I790" s="267"/>
    </row>
    <row r="791" spans="1:9" ht="13.2">
      <c r="A791" s="63"/>
      <c r="B791" s="608" t="s">
        <v>1374</v>
      </c>
      <c r="D791" s="993" t="s">
        <v>1593</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8" t="s">
        <v>123</v>
      </c>
      <c r="C795" s="190"/>
      <c r="D795" s="1018" t="s">
        <v>2208</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7" customHeight="1">
      <c r="A799" s="271"/>
      <c r="B799" s="608" t="s">
        <v>123</v>
      </c>
      <c r="C799" s="207"/>
      <c r="D799" s="1018" t="s">
        <v>1695</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8" t="s">
        <v>123</v>
      </c>
      <c r="C803" s="207"/>
      <c r="D803" s="993" t="s">
        <v>1594</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2007</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2"/>
      <c r="E811" s="792"/>
      <c r="F811" s="792"/>
      <c r="G811" s="188"/>
      <c r="H811" s="267"/>
      <c r="I811" s="267"/>
    </row>
    <row r="812" spans="1:9" ht="14.4">
      <c r="A812" s="271"/>
      <c r="B812" s="608" t="s">
        <v>123</v>
      </c>
      <c r="C812" s="207"/>
      <c r="D812" s="993" t="s">
        <v>1596</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3"/>
      <c r="E818" s="653"/>
      <c r="F818" s="653"/>
      <c r="G818" s="188"/>
      <c r="H818" s="267"/>
      <c r="I818" s="267"/>
    </row>
    <row r="819" spans="1:9" ht="14.4">
      <c r="A819" s="271"/>
      <c r="B819" s="608" t="s">
        <v>123</v>
      </c>
      <c r="C819" s="207"/>
      <c r="D819" s="1018" t="s">
        <v>1863</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3"/>
      <c r="E824" s="653"/>
      <c r="F824" s="653"/>
      <c r="G824" s="188"/>
      <c r="H824" s="267"/>
      <c r="I824" s="267"/>
    </row>
    <row r="825" spans="1:9" ht="14.4">
      <c r="A825" s="271"/>
      <c r="B825" s="608" t="s">
        <v>1374</v>
      </c>
      <c r="C825" s="207"/>
      <c r="D825" s="993" t="s">
        <v>1595</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8" t="s">
        <v>123</v>
      </c>
      <c r="C830" s="207"/>
      <c r="D830" s="1001" t="s">
        <v>1598</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2"/>
      <c r="E836" s="652"/>
      <c r="F836" s="652"/>
      <c r="G836" s="188"/>
      <c r="H836" s="267"/>
      <c r="I836" s="267"/>
    </row>
    <row r="837" spans="1:9" ht="14.4">
      <c r="A837" s="271"/>
      <c r="B837" s="608" t="s">
        <v>123</v>
      </c>
      <c r="C837" s="207"/>
      <c r="D837" s="993" t="s">
        <v>1597</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8" t="s">
        <v>123</v>
      </c>
      <c r="C840" s="207"/>
      <c r="D840" s="1001" t="s">
        <v>1599</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1880</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1515</v>
      </c>
      <c r="E845" s="1002"/>
      <c r="F845" s="1002"/>
      <c r="H845" s="267"/>
      <c r="I845" s="267"/>
    </row>
    <row r="846" spans="1:9" ht="14.4">
      <c r="A846" s="271"/>
      <c r="B846" s="271"/>
      <c r="D846" s="968" t="s">
        <v>1877</v>
      </c>
      <c r="E846" s="968"/>
      <c r="F846" s="968"/>
      <c r="H846" s="267"/>
      <c r="I846" s="267"/>
    </row>
    <row r="847" spans="1:9" ht="14.4">
      <c r="A847" s="271"/>
      <c r="B847" s="271"/>
      <c r="D847" s="24"/>
      <c r="E847" s="210"/>
      <c r="F847" s="210"/>
      <c r="H847" s="267"/>
      <c r="I847" s="267"/>
    </row>
    <row r="848" spans="1:9" ht="13.2">
      <c r="B848" s="608" t="s">
        <v>1374</v>
      </c>
      <c r="C848" s="207"/>
      <c r="D848" s="975" t="s">
        <v>1452</v>
      </c>
      <c r="E848" s="975"/>
      <c r="F848" s="975"/>
      <c r="H848" s="267"/>
      <c r="I848" s="267"/>
    </row>
    <row r="849" spans="1:9" ht="13.2">
      <c r="A849" s="18"/>
      <c r="B849" s="18"/>
      <c r="C849" s="207"/>
      <c r="D849" s="3" t="s">
        <v>1429</v>
      </c>
      <c r="E849" s="976" t="s">
        <v>2070</v>
      </c>
      <c r="F849" s="976"/>
      <c r="H849" s="267"/>
      <c r="I849" s="267"/>
    </row>
    <row r="850" spans="1:9" ht="13.2">
      <c r="A850" s="18"/>
      <c r="B850" s="18"/>
      <c r="C850" s="207"/>
      <c r="D850" s="213"/>
      <c r="H850" s="267"/>
      <c r="I850" s="267"/>
    </row>
    <row r="851" spans="1:9" ht="13.2">
      <c r="A851" s="18"/>
      <c r="B851" s="608" t="s">
        <v>123</v>
      </c>
      <c r="C851" s="207"/>
      <c r="D851" s="1021" t="s">
        <v>1676</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8" t="s">
        <v>1374</v>
      </c>
      <c r="C861" s="207"/>
      <c r="D861" s="975" t="s">
        <v>1453</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8"/>
      <c r="B865" s="608" t="s">
        <v>123</v>
      </c>
      <c r="C865" s="207"/>
      <c r="D865" s="1002" t="s">
        <v>1454</v>
      </c>
      <c r="E865" s="1002"/>
      <c r="F865" s="1002"/>
      <c r="H865" s="267"/>
      <c r="I865" s="267"/>
    </row>
    <row r="866" spans="1:9" ht="13.2">
      <c r="B866" s="418"/>
      <c r="C866" s="207"/>
      <c r="D866" s="1002"/>
      <c r="E866" s="1002"/>
      <c r="F866" s="1002"/>
      <c r="H866" s="267"/>
      <c r="I866" s="267"/>
    </row>
    <row r="867" spans="1:9" ht="14.25" customHeight="1">
      <c r="A867" s="271"/>
      <c r="C867" s="207"/>
      <c r="D867" s="975" t="s">
        <v>2148</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8" t="s">
        <v>123</v>
      </c>
      <c r="C874" s="207"/>
      <c r="D874" s="975" t="s">
        <v>1173</v>
      </c>
      <c r="E874" s="975"/>
      <c r="F874" s="975"/>
      <c r="H874" s="267"/>
      <c r="I874" s="267"/>
    </row>
    <row r="875" spans="1:9" ht="14.4">
      <c r="A875" s="271"/>
      <c r="B875" s="271"/>
      <c r="C875" s="207"/>
      <c r="D875" s="975" t="s">
        <v>1174</v>
      </c>
      <c r="E875" s="975"/>
      <c r="F875" s="975"/>
      <c r="H875" s="267"/>
      <c r="I875" s="267"/>
    </row>
    <row r="876" spans="1:9" ht="14.4">
      <c r="A876" s="271"/>
      <c r="B876" s="271"/>
      <c r="C876" s="207"/>
      <c r="D876" s="3" t="s">
        <v>1428</v>
      </c>
      <c r="E876" s="976" t="s">
        <v>2072</v>
      </c>
      <c r="F876" s="976"/>
      <c r="H876" s="267"/>
      <c r="I876" s="267"/>
    </row>
    <row r="877" spans="1:9" ht="14.4">
      <c r="A877" s="271"/>
      <c r="B877" s="271"/>
      <c r="C877" s="207"/>
      <c r="D877" s="44"/>
      <c r="H877" s="267"/>
      <c r="I877" s="267"/>
    </row>
    <row r="878" spans="1:9" ht="14.4">
      <c r="A878" s="271"/>
      <c r="B878" s="608" t="s">
        <v>123</v>
      </c>
      <c r="C878" s="207"/>
      <c r="D878" s="975" t="s">
        <v>1455</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1400</v>
      </c>
      <c r="B883" s="272"/>
      <c r="C883" s="610"/>
      <c r="D883" s="610"/>
      <c r="E883" s="610"/>
      <c r="F883" s="610"/>
      <c r="G883" s="610"/>
      <c r="H883" s="267"/>
      <c r="I883" s="267"/>
    </row>
    <row r="884" spans="1:9" ht="13.2">
      <c r="A884" s="190"/>
      <c r="B884" s="190"/>
      <c r="C884" s="190"/>
      <c r="D884" s="212"/>
      <c r="H884" s="267"/>
      <c r="I884" s="267"/>
    </row>
    <row r="885" spans="1:9" ht="13.2">
      <c r="C885" s="191"/>
      <c r="D885" s="996" t="s">
        <v>1514</v>
      </c>
      <c r="E885" s="996"/>
      <c r="F885" s="996"/>
      <c r="G885" s="188"/>
      <c r="H885" s="267"/>
      <c r="I885" s="267"/>
    </row>
    <row r="886" spans="1:9" ht="13.2">
      <c r="C886" s="191"/>
      <c r="D886" s="1009" t="s">
        <v>1878</v>
      </c>
      <c r="E886" s="1010"/>
      <c r="F886" s="1010"/>
      <c r="G886" s="188"/>
      <c r="H886" s="267"/>
      <c r="I886" s="267"/>
    </row>
    <row r="887" spans="1:9" ht="13.2">
      <c r="C887" s="191"/>
      <c r="D887" s="639"/>
      <c r="E887" s="639"/>
      <c r="F887" s="639"/>
      <c r="G887" s="188"/>
      <c r="H887" s="267"/>
      <c r="I887" s="267"/>
    </row>
    <row r="888" spans="1:9" ht="14.4">
      <c r="A888" s="271"/>
      <c r="B888" s="608" t="s">
        <v>1374</v>
      </c>
      <c r="D888" s="995" t="s">
        <v>1474</v>
      </c>
      <c r="E888" s="995"/>
      <c r="F888" s="995"/>
      <c r="G888" s="188"/>
      <c r="H888" s="267"/>
      <c r="I888" s="267"/>
    </row>
    <row r="889" spans="1:9" ht="13.2">
      <c r="D889" s="3" t="s">
        <v>1428</v>
      </c>
      <c r="E889" s="1008" t="s">
        <v>2072</v>
      </c>
      <c r="F889" s="1008"/>
      <c r="G889" s="188"/>
    </row>
    <row r="890" spans="1:9" ht="13.2">
      <c r="D890" s="44"/>
      <c r="E890" s="188"/>
      <c r="F890" s="188"/>
      <c r="G890" s="188"/>
      <c r="H890" s="267"/>
      <c r="I890" s="267"/>
    </row>
    <row r="891" spans="1:9" ht="14.4">
      <c r="A891" s="271"/>
      <c r="B891" s="608" t="s">
        <v>1374</v>
      </c>
      <c r="D891" s="968" t="s">
        <v>1881</v>
      </c>
      <c r="E891" s="1038"/>
      <c r="F891" s="1038"/>
    </row>
    <row r="892" spans="1:9" ht="12.45" customHeight="1">
      <c r="D892" s="1038"/>
      <c r="E892" s="1038"/>
      <c r="F892" s="1038"/>
    </row>
    <row r="893" spans="1:9" ht="14.4">
      <c r="A893" s="271"/>
      <c r="B893" s="271"/>
      <c r="D893" s="44"/>
      <c r="E893" s="188"/>
      <c r="F893" s="188"/>
      <c r="G893" s="188"/>
      <c r="H893" s="267"/>
      <c r="I893" s="267"/>
    </row>
    <row r="894" spans="1:9" ht="13.2">
      <c r="B894" s="608" t="s">
        <v>123</v>
      </c>
      <c r="D894" s="1004" t="s">
        <v>1678</v>
      </c>
      <c r="E894" s="1004"/>
      <c r="F894" s="1004"/>
      <c r="G894" s="188"/>
      <c r="H894" s="267"/>
      <c r="I894" s="267"/>
    </row>
    <row r="895" spans="1:9" ht="29.7" customHeight="1">
      <c r="B895" s="564"/>
      <c r="D895" s="1004"/>
      <c r="E895" s="1004"/>
      <c r="F895" s="1004"/>
      <c r="G895" s="188"/>
      <c r="H895" s="267"/>
      <c r="I895" s="267"/>
    </row>
    <row r="896" spans="1:9" ht="14.4">
      <c r="A896" s="271"/>
      <c r="B896"/>
      <c r="D896" s="975" t="s">
        <v>2148</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8" t="s">
        <v>123</v>
      </c>
      <c r="D903" s="1005" t="s">
        <v>1173</v>
      </c>
      <c r="E903" s="1005"/>
      <c r="F903" s="1005"/>
      <c r="G903" s="188"/>
      <c r="H903" s="267"/>
      <c r="I903" s="267"/>
    </row>
    <row r="904" spans="1:9" ht="14.4">
      <c r="A904" s="271"/>
      <c r="B904" s="271"/>
      <c r="D904" s="1005" t="s">
        <v>1174</v>
      </c>
      <c r="E904" s="1005"/>
      <c r="F904" s="1005"/>
      <c r="G904" s="188"/>
      <c r="H904" s="267"/>
      <c r="I904" s="267"/>
    </row>
    <row r="905" spans="1:9" ht="14.4">
      <c r="A905" s="271"/>
      <c r="B905" s="271"/>
      <c r="D905" s="3" t="s">
        <v>1475</v>
      </c>
      <c r="E905" s="1006" t="s">
        <v>2072</v>
      </c>
      <c r="F905" s="1006"/>
      <c r="G905" s="188"/>
      <c r="H905" s="267"/>
      <c r="I905" s="267"/>
    </row>
    <row r="906" spans="1:9" ht="14.4">
      <c r="A906" s="271"/>
      <c r="B906" s="271"/>
      <c r="D906" s="44"/>
      <c r="E906" s="188"/>
      <c r="F906" s="188"/>
      <c r="G906" s="188"/>
      <c r="H906" s="267"/>
      <c r="I906" s="267"/>
    </row>
    <row r="907" spans="1:9" ht="14.4">
      <c r="A907" s="271"/>
      <c r="B907" s="608" t="s">
        <v>123</v>
      </c>
      <c r="D907" s="975" t="s">
        <v>1455</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1401</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1632</v>
      </c>
      <c r="E914" s="999"/>
      <c r="F914" s="999"/>
      <c r="G914" s="188"/>
      <c r="H914" s="267"/>
      <c r="I914" s="267"/>
    </row>
    <row r="915" spans="1:9" ht="13.2">
      <c r="A915" s="190"/>
      <c r="B915" s="190"/>
      <c r="C915" s="190"/>
      <c r="D915" s="995" t="s">
        <v>1473</v>
      </c>
      <c r="E915" s="995"/>
      <c r="F915" s="995"/>
      <c r="G915" s="188"/>
      <c r="H915" s="267"/>
      <c r="I915" s="267"/>
    </row>
    <row r="916" spans="1:9" ht="13.2">
      <c r="A916" s="190"/>
      <c r="B916" s="190"/>
      <c r="C916" s="190"/>
      <c r="F916" s="188"/>
      <c r="G916" s="188"/>
      <c r="H916" s="267"/>
      <c r="I916" s="267"/>
    </row>
    <row r="917" spans="1:9" ht="13.95" customHeight="1">
      <c r="A917" s="190"/>
      <c r="B917" s="608" t="s">
        <v>123</v>
      </c>
      <c r="C917" s="190"/>
      <c r="D917" s="1002" t="s">
        <v>1642</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8" t="s">
        <v>1374</v>
      </c>
      <c r="C923" s="191"/>
      <c r="D923" s="976" t="s">
        <v>1726</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8" t="s">
        <v>1374</v>
      </c>
      <c r="C931" s="356"/>
      <c r="D931" s="976" t="s">
        <v>1727</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8" t="s">
        <v>1374</v>
      </c>
      <c r="C941" s="191"/>
      <c r="D941" s="1003" t="s">
        <v>1643</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7" customFormat="1" ht="14.4">
      <c r="A949" s="271"/>
      <c r="B949" s="608" t="s">
        <v>123</v>
      </c>
      <c r="C949" s="191"/>
      <c r="D949" s="976" t="s">
        <v>1644</v>
      </c>
      <c r="E949" s="976"/>
      <c r="F949" s="976"/>
      <c r="G949" s="188"/>
    </row>
    <row r="950" spans="1:9" s="447" customFormat="1" ht="14.4">
      <c r="A950" s="271"/>
      <c r="B950" s="271"/>
      <c r="C950" s="191"/>
      <c r="D950" s="976"/>
      <c r="E950" s="976"/>
      <c r="F950" s="976"/>
      <c r="G950" s="188"/>
    </row>
    <row r="951" spans="1:9" s="447" customFormat="1" ht="14.4">
      <c r="A951" s="271"/>
      <c r="B951" s="271"/>
      <c r="C951" s="191"/>
      <c r="D951" s="976"/>
      <c r="E951" s="976"/>
      <c r="F951" s="976"/>
      <c r="G951" s="188"/>
    </row>
    <row r="952" spans="1:9" s="447" customFormat="1" ht="14.4">
      <c r="A952" s="271"/>
      <c r="B952" s="271"/>
      <c r="C952" s="191"/>
      <c r="D952" s="976"/>
      <c r="E952" s="976"/>
      <c r="F952" s="976"/>
      <c r="G952" s="188"/>
    </row>
    <row r="953" spans="1:9" s="447" customFormat="1" ht="14.4">
      <c r="A953" s="271"/>
      <c r="B953" s="271"/>
      <c r="C953" s="191"/>
      <c r="D953" s="3"/>
      <c r="E953" s="5"/>
      <c r="F953" s="188"/>
      <c r="G953" s="188"/>
    </row>
    <row r="954" spans="1:9" ht="14.25" customHeight="1">
      <c r="A954" s="18"/>
      <c r="B954" s="18"/>
      <c r="C954" s="207"/>
      <c r="D954" s="975" t="s">
        <v>1645</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8" t="s">
        <v>1374</v>
      </c>
      <c r="D957" s="975" t="s">
        <v>1646</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1635</v>
      </c>
      <c r="E960" s="999"/>
      <c r="F960" s="999"/>
      <c r="G960" s="188"/>
      <c r="H960" s="267"/>
      <c r="I960" s="267"/>
    </row>
    <row r="961" spans="1:9" ht="14.25" customHeight="1">
      <c r="A961" s="191"/>
      <c r="B961" s="191"/>
      <c r="C961" s="191"/>
      <c r="D961" s="192"/>
      <c r="F961" s="188"/>
      <c r="G961" s="188"/>
      <c r="H961" s="267"/>
      <c r="I961" s="267"/>
    </row>
    <row r="962" spans="1:9" ht="14.7" customHeight="1">
      <c r="A962" s="271"/>
      <c r="B962" s="608" t="s">
        <v>123</v>
      </c>
      <c r="C962" s="207"/>
      <c r="D962" s="998" t="s">
        <v>1634</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2"/>
      <c r="E968" s="612"/>
      <c r="F968" s="612"/>
      <c r="G968" s="188"/>
      <c r="H968" s="267"/>
      <c r="I968" s="267"/>
    </row>
    <row r="969" spans="1:9" ht="14.7" customHeight="1">
      <c r="A969" s="271"/>
      <c r="B969" s="608" t="s">
        <v>123</v>
      </c>
      <c r="C969" s="207"/>
      <c r="D969" s="998" t="s">
        <v>1633</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8" t="s">
        <v>123</v>
      </c>
      <c r="C975" s="207"/>
      <c r="D975" s="998" t="s">
        <v>1636</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7" customHeight="1">
      <c r="A981" s="271"/>
      <c r="B981" s="608" t="s">
        <v>1374</v>
      </c>
      <c r="C981" s="207"/>
      <c r="D981" s="998" t="s">
        <v>1637</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2"/>
      <c r="E984" s="612"/>
      <c r="F984" s="612"/>
      <c r="G984" s="188"/>
      <c r="H984" s="267"/>
      <c r="I984" s="267"/>
    </row>
    <row r="985" spans="1:9" ht="14.4">
      <c r="A985" s="271"/>
      <c r="B985" s="608" t="s">
        <v>123</v>
      </c>
      <c r="C985" s="207"/>
      <c r="D985" s="998" t="s">
        <v>1638</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8" t="s">
        <v>123</v>
      </c>
      <c r="C988" s="207"/>
      <c r="D988" s="975" t="s">
        <v>1639</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8" t="s">
        <v>123</v>
      </c>
      <c r="C991" s="207"/>
      <c r="D991" s="1000" t="s">
        <v>1768</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8" t="s">
        <v>123</v>
      </c>
      <c r="C996" s="207"/>
      <c r="D996" s="995" t="s">
        <v>2149</v>
      </c>
      <c r="E996" s="995"/>
      <c r="F996" s="995"/>
      <c r="G996" s="188"/>
      <c r="H996" s="267"/>
      <c r="I996" s="267"/>
    </row>
    <row r="997" spans="1:9" ht="13.2">
      <c r="A997" s="207"/>
      <c r="B997" s="207"/>
      <c r="C997" s="207"/>
      <c r="D997" s="44"/>
      <c r="E997" s="188"/>
      <c r="F997" s="188"/>
      <c r="G997" s="188"/>
      <c r="H997" s="267"/>
      <c r="I997" s="267"/>
    </row>
    <row r="998" spans="1:9" ht="13.2">
      <c r="A998" s="207"/>
      <c r="B998" s="608" t="s">
        <v>123</v>
      </c>
      <c r="C998" s="207"/>
      <c r="D998" s="995" t="s">
        <v>2150</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1476</v>
      </c>
      <c r="E1000" s="996"/>
      <c r="F1000" s="996"/>
      <c r="G1000" s="188"/>
      <c r="H1000" s="267"/>
      <c r="I1000" s="267"/>
    </row>
    <row r="1001" spans="1:9" ht="13.2">
      <c r="A1001" s="207"/>
      <c r="C1001" s="207"/>
      <c r="D1001" s="192"/>
      <c r="E1001" s="188"/>
      <c r="F1001" s="188"/>
      <c r="G1001" s="188"/>
      <c r="H1001" s="267"/>
      <c r="I1001" s="267"/>
    </row>
    <row r="1002" spans="1:9" ht="14.4">
      <c r="A1002" s="271"/>
      <c r="B1002" s="608" t="s">
        <v>1374</v>
      </c>
      <c r="C1002" s="207"/>
      <c r="D1002" s="975" t="s">
        <v>1640</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8" t="s">
        <v>123</v>
      </c>
      <c r="C1008" s="207"/>
      <c r="D1008" s="975" t="s">
        <v>1641</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1477</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8" t="s">
        <v>123</v>
      </c>
      <c r="C1016" s="207"/>
      <c r="D1016" s="975" t="s">
        <v>1647</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8" t="s">
        <v>1374</v>
      </c>
      <c r="C1020" s="207"/>
      <c r="D1020" s="975" t="s">
        <v>1648</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1478</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8" t="s">
        <v>123</v>
      </c>
      <c r="C1026" s="207"/>
      <c r="D1026" s="975" t="s">
        <v>1650</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8" t="s">
        <v>1374</v>
      </c>
      <c r="C1030" s="207"/>
      <c r="D1030" s="975" t="s">
        <v>1649</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8" t="s">
        <v>123</v>
      </c>
      <c r="C1034" s="207"/>
      <c r="D1034" s="973" t="s">
        <v>1651</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8" t="s">
        <v>123</v>
      </c>
      <c r="C1038" s="207"/>
      <c r="D1038" s="975" t="s">
        <v>1652</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8" t="s">
        <v>123</v>
      </c>
      <c r="C1042" s="207"/>
      <c r="D1042" s="975" t="s">
        <v>1653</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8" t="s">
        <v>123</v>
      </c>
      <c r="C1046" s="207"/>
      <c r="D1046" s="975" t="s">
        <v>1479</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8" t="s">
        <v>123</v>
      </c>
      <c r="C1050" s="207"/>
      <c r="D1050" s="975" t="s">
        <v>1480</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8" t="s">
        <v>1374</v>
      </c>
      <c r="C1054" s="207"/>
      <c r="D1054" s="1037" t="s">
        <v>1123</v>
      </c>
      <c r="E1054" s="1037"/>
      <c r="F1054" s="1037"/>
      <c r="G1054" s="607"/>
      <c r="H1054" s="267"/>
      <c r="I1054" s="267"/>
    </row>
    <row r="1055" spans="1:9" ht="13.2">
      <c r="A1055" s="207"/>
      <c r="B1055" s="207"/>
      <c r="C1055" s="207"/>
      <c r="D1055" s="1037"/>
      <c r="E1055" s="1037"/>
      <c r="F1055" s="1037"/>
      <c r="G1055" s="607"/>
      <c r="H1055" s="267"/>
      <c r="I1055" s="267"/>
    </row>
    <row r="1056" spans="1:9" ht="13.2">
      <c r="A1056" s="207"/>
      <c r="B1056" s="207"/>
      <c r="C1056" s="207"/>
      <c r="D1056" s="1037"/>
      <c r="E1056" s="1037"/>
      <c r="F1056" s="1037"/>
      <c r="G1056" s="607"/>
      <c r="H1056" s="267"/>
      <c r="I1056" s="267"/>
    </row>
    <row r="1057" spans="1:9" ht="13.2">
      <c r="A1057" s="207"/>
      <c r="B1057" s="207"/>
      <c r="C1057" s="207"/>
      <c r="D1057" s="1037"/>
      <c r="E1057" s="1037"/>
      <c r="F1057" s="1037"/>
      <c r="G1057" s="607"/>
      <c r="H1057" s="267"/>
      <c r="I1057" s="267"/>
    </row>
    <row r="1058" spans="1:9" ht="13.2">
      <c r="A1058" s="207"/>
      <c r="B1058" s="207"/>
      <c r="C1058" s="207"/>
      <c r="D1058" s="1037"/>
      <c r="E1058" s="1037"/>
      <c r="F1058" s="1037"/>
      <c r="G1058" s="607"/>
      <c r="H1058" s="267"/>
      <c r="I1058" s="267"/>
    </row>
    <row r="1059" spans="1:9" ht="13.2">
      <c r="A1059" s="207"/>
      <c r="B1059" s="207"/>
      <c r="C1059" s="207"/>
      <c r="D1059" s="1037"/>
      <c r="E1059" s="1037"/>
      <c r="F1059" s="1037"/>
      <c r="G1059" s="607"/>
      <c r="H1059" s="267"/>
      <c r="I1059" s="267"/>
    </row>
    <row r="1060" spans="1:9" ht="13.2">
      <c r="A1060" s="207"/>
      <c r="B1060" s="207"/>
      <c r="C1060" s="207"/>
      <c r="D1060" s="1037"/>
      <c r="E1060" s="1037"/>
      <c r="F1060" s="1037"/>
      <c r="G1060" s="607"/>
      <c r="H1060" s="267"/>
      <c r="I1060" s="267"/>
    </row>
    <row r="1061" spans="1:9" ht="13.2">
      <c r="A1061" s="207"/>
      <c r="B1061" s="207"/>
      <c r="C1061" s="207"/>
      <c r="D1061" s="1037"/>
      <c r="E1061" s="1037"/>
      <c r="F1061" s="1037"/>
      <c r="G1061" s="607"/>
      <c r="H1061" s="267"/>
      <c r="I1061" s="267"/>
    </row>
    <row r="1062" spans="1:9" ht="13.2">
      <c r="A1062" s="207"/>
      <c r="B1062" s="207"/>
      <c r="C1062" s="207"/>
      <c r="D1062" s="1037"/>
      <c r="E1062" s="1037"/>
      <c r="F1062" s="1037"/>
      <c r="G1062" s="607"/>
      <c r="H1062" s="267"/>
      <c r="I1062" s="267"/>
    </row>
    <row r="1063" spans="1:9" ht="13.2">
      <c r="A1063" s="207"/>
      <c r="B1063" s="207"/>
      <c r="C1063" s="207"/>
      <c r="D1063" s="1037"/>
      <c r="E1063" s="1037"/>
      <c r="F1063" s="1037"/>
      <c r="G1063" s="607"/>
      <c r="H1063" s="267"/>
      <c r="I1063" s="267"/>
    </row>
    <row r="1064" spans="1:9" ht="27.45" customHeight="1">
      <c r="A1064" s="207"/>
      <c r="B1064" s="207"/>
      <c r="C1064" s="207"/>
      <c r="D1064" s="1037"/>
      <c r="E1064" s="1037"/>
      <c r="F1064" s="1037"/>
      <c r="G1064" s="607"/>
      <c r="H1064" s="267"/>
      <c r="I1064" s="267"/>
    </row>
    <row r="1065" spans="1:9" ht="13.2">
      <c r="A1065" s="207"/>
      <c r="B1065" s="207"/>
      <c r="C1065" s="207"/>
      <c r="D1065" s="417"/>
      <c r="E1065" s="417"/>
      <c r="F1065" s="417"/>
      <c r="G1065" s="417"/>
      <c r="H1065" s="267"/>
      <c r="I1065" s="267"/>
    </row>
    <row r="1066" spans="1:9" ht="12.75" customHeight="1">
      <c r="A1066" s="207"/>
      <c r="B1066" s="207"/>
      <c r="C1066" s="207"/>
      <c r="D1066" s="996" t="s">
        <v>1481</v>
      </c>
      <c r="E1066" s="996"/>
      <c r="F1066" s="996"/>
      <c r="G1066" s="417"/>
      <c r="H1066" s="267"/>
      <c r="I1066" s="267"/>
    </row>
    <row r="1067" spans="1:9" ht="12.75" customHeight="1">
      <c r="A1067" s="207"/>
      <c r="B1067" s="207"/>
      <c r="C1067" s="207"/>
      <c r="D1067" s="192"/>
      <c r="E1067" s="417"/>
      <c r="F1067" s="417"/>
      <c r="G1067" s="417"/>
      <c r="H1067" s="267"/>
      <c r="I1067" s="267"/>
    </row>
    <row r="1068" spans="1:9" ht="14.4">
      <c r="A1068" s="271"/>
      <c r="B1068" s="608" t="s">
        <v>123</v>
      </c>
      <c r="C1068" s="207"/>
      <c r="D1068" s="968" t="s">
        <v>2200</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8" t="s">
        <v>1374</v>
      </c>
      <c r="C1073" s="207"/>
      <c r="D1073" s="968" t="s">
        <v>2201</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8" t="s">
        <v>123</v>
      </c>
      <c r="C1078" s="207"/>
      <c r="D1078" s="1001" t="s">
        <v>1654</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8" t="s">
        <v>1374</v>
      </c>
      <c r="C1082" s="428"/>
      <c r="D1082" s="1031" t="s">
        <v>2151</v>
      </c>
      <c r="E1082" s="1031"/>
      <c r="F1082" s="1031"/>
      <c r="G1082" s="448"/>
    </row>
    <row r="1083" spans="1:9" ht="13.2">
      <c r="A1083" s="428"/>
      <c r="B1083" s="428"/>
      <c r="C1083" s="428"/>
      <c r="D1083" s="1031"/>
      <c r="E1083" s="1031"/>
      <c r="F1083" s="1031"/>
      <c r="G1083" s="448"/>
    </row>
    <row r="1084" spans="1:9" ht="13.2">
      <c r="A1084" s="428"/>
      <c r="B1084" s="428"/>
      <c r="C1084" s="428"/>
      <c r="D1084" s="1031"/>
      <c r="E1084" s="1031"/>
      <c r="F1084" s="1031"/>
      <c r="G1084" s="448"/>
    </row>
    <row r="1085" spans="1:9" ht="13.2">
      <c r="A1085" s="207"/>
      <c r="B1085" s="207"/>
      <c r="C1085" s="207"/>
      <c r="D1085" s="188"/>
      <c r="E1085" s="188"/>
      <c r="F1085" s="188"/>
      <c r="G1085" s="188"/>
    </row>
    <row r="1086" spans="1:9" ht="13.2">
      <c r="C1086" s="207"/>
      <c r="D1086" s="996" t="s">
        <v>1482</v>
      </c>
      <c r="E1086" s="996"/>
      <c r="F1086" s="996"/>
      <c r="G1086" s="188"/>
    </row>
    <row r="1087" spans="1:9" ht="13.2">
      <c r="C1087" s="207"/>
      <c r="D1087" s="192"/>
      <c r="E1087" s="188"/>
      <c r="F1087" s="188"/>
      <c r="G1087" s="188"/>
    </row>
    <row r="1088" spans="1:9" ht="13.2">
      <c r="A1088" s="207"/>
      <c r="B1088" s="608" t="s">
        <v>123</v>
      </c>
      <c r="C1088" s="207"/>
      <c r="D1088" s="975" t="s">
        <v>1655</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8" t="s">
        <v>123</v>
      </c>
      <c r="C1092" s="207"/>
      <c r="D1092" s="975" t="s">
        <v>1656</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1115</v>
      </c>
      <c r="E1096" s="996"/>
      <c r="F1096" s="996"/>
      <c r="G1096" s="188"/>
    </row>
    <row r="1097" spans="1:7" ht="13.2">
      <c r="A1097" s="207"/>
      <c r="B1097" s="207"/>
      <c r="C1097" s="207"/>
      <c r="D1097" s="995" t="s">
        <v>1483</v>
      </c>
      <c r="E1097" s="995"/>
      <c r="F1097" s="995"/>
      <c r="G1097" s="188"/>
    </row>
    <row r="1098" spans="1:7" ht="13.2">
      <c r="A1098" s="207"/>
      <c r="B1098" s="207"/>
      <c r="C1098" s="207"/>
      <c r="D1098" s="418"/>
      <c r="E1098" s="188"/>
      <c r="F1098" s="188"/>
      <c r="G1098" s="188"/>
    </row>
    <row r="1099" spans="1:7" ht="14.4">
      <c r="A1099" s="271"/>
      <c r="B1099" s="608" t="s">
        <v>123</v>
      </c>
      <c r="C1099" s="207"/>
      <c r="D1099" s="975" t="s">
        <v>1657</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8" t="s">
        <v>123</v>
      </c>
      <c r="C1102" s="207"/>
      <c r="D1102" s="975" t="s">
        <v>1658</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1484</v>
      </c>
      <c r="E1105" s="996"/>
      <c r="F1105" s="996"/>
      <c r="G1105" s="188"/>
    </row>
    <row r="1106" spans="1:7" ht="13.2">
      <c r="A1106" s="207"/>
      <c r="B1106" s="207"/>
      <c r="C1106" s="207"/>
      <c r="D1106" s="192"/>
      <c r="E1106" s="188"/>
      <c r="F1106" s="188"/>
      <c r="G1106" s="188"/>
    </row>
    <row r="1107" spans="1:7" ht="14.4">
      <c r="A1107" s="271"/>
      <c r="B1107" s="608" t="s">
        <v>1374</v>
      </c>
      <c r="C1107" s="207"/>
      <c r="D1107" s="975" t="s">
        <v>1659</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8" t="s">
        <v>123</v>
      </c>
      <c r="C1115" s="207"/>
      <c r="D1115" s="975" t="s">
        <v>1660</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8" t="s">
        <v>123</v>
      </c>
      <c r="C1123" s="207"/>
      <c r="D1123" s="1000" t="s">
        <v>1769</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2"/>
      <c r="E1126" s="652"/>
      <c r="F1126" s="652"/>
      <c r="G1126" s="188"/>
    </row>
    <row r="1127" spans="1:7" ht="13.2">
      <c r="D1127" s="996" t="s">
        <v>1485</v>
      </c>
      <c r="E1127" s="996"/>
      <c r="F1127" s="996"/>
    </row>
    <row r="1128" spans="1:7" ht="13.2">
      <c r="D1128" s="192"/>
    </row>
    <row r="1129" spans="1:7" ht="14.4">
      <c r="A1129" s="271"/>
      <c r="B1129" s="608" t="s">
        <v>1374</v>
      </c>
      <c r="D1129" s="975" t="s">
        <v>1661</v>
      </c>
      <c r="E1129" s="975"/>
      <c r="F1129" s="975"/>
    </row>
    <row r="1130" spans="1:7" ht="13.2">
      <c r="D1130" s="975"/>
      <c r="E1130" s="975"/>
      <c r="F1130" s="975"/>
    </row>
    <row r="1131" spans="1:7" ht="13.2"/>
    <row r="1132" spans="1:7" ht="14.4">
      <c r="A1132" s="271"/>
      <c r="B1132" s="608" t="s">
        <v>123</v>
      </c>
      <c r="D1132" s="975" t="s">
        <v>1662</v>
      </c>
      <c r="E1132" s="975"/>
      <c r="F1132" s="975"/>
    </row>
    <row r="1133" spans="1:7" ht="13.2">
      <c r="D1133" s="975"/>
      <c r="E1133" s="975"/>
      <c r="F1133" s="975"/>
    </row>
    <row r="1134" spans="1:7" ht="13.2"/>
    <row r="1135" spans="1:7" ht="13.2">
      <c r="D1135" s="996" t="s">
        <v>1486</v>
      </c>
      <c r="E1135" s="996"/>
      <c r="F1135" s="996"/>
    </row>
    <row r="1136" spans="1:7" ht="13.2">
      <c r="D1136" s="192"/>
    </row>
    <row r="1137" spans="1:7" ht="14.4">
      <c r="A1137" s="271"/>
      <c r="B1137" s="608" t="s">
        <v>123</v>
      </c>
      <c r="D1137" s="995" t="s">
        <v>1663</v>
      </c>
      <c r="E1137" s="995"/>
      <c r="F1137" s="995"/>
    </row>
    <row r="1138" spans="1:7" ht="13.2"/>
    <row r="1139" spans="1:7" ht="14.4">
      <c r="A1139" s="271"/>
      <c r="B1139" s="608" t="s">
        <v>123</v>
      </c>
      <c r="D1139" s="975" t="s">
        <v>1664</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1674</v>
      </c>
      <c r="E1142" s="996"/>
      <c r="F1142" s="996"/>
      <c r="G1142"/>
    </row>
    <row r="1143" spans="1:7" ht="13.2">
      <c r="D1143" s="192"/>
      <c r="G1143"/>
    </row>
    <row r="1144" spans="1:7" ht="14.7" customHeight="1">
      <c r="A1144" s="271"/>
      <c r="B1144" s="608" t="s">
        <v>123</v>
      </c>
      <c r="D1144" s="968" t="s">
        <v>2202</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1402</v>
      </c>
      <c r="B1159" s="1029"/>
      <c r="C1159" s="1029"/>
      <c r="D1159" s="1029"/>
      <c r="E1159" s="1029"/>
      <c r="F1159" s="1029"/>
      <c r="G1159" s="1029"/>
    </row>
    <row r="1160" spans="1:7" ht="13.2">
      <c r="A1160" s="44"/>
      <c r="B1160" s="44"/>
    </row>
    <row r="1161" spans="1:7" ht="13.2">
      <c r="C1161" s="207"/>
      <c r="D1161" s="996" t="s">
        <v>1665</v>
      </c>
      <c r="E1161" s="996"/>
      <c r="F1161" s="996"/>
    </row>
    <row r="1162" spans="1:7" ht="13.2">
      <c r="A1162" s="190"/>
      <c r="B1162" s="190"/>
      <c r="C1162" s="190"/>
      <c r="D1162" s="997" t="s">
        <v>1490</v>
      </c>
      <c r="E1162" s="995"/>
      <c r="F1162" s="995"/>
    </row>
    <row r="1163" spans="1:7" ht="13.2">
      <c r="A1163" s="190"/>
      <c r="B1163" s="190"/>
      <c r="C1163" s="190"/>
      <c r="F1163" s="188"/>
      <c r="G1163"/>
    </row>
    <row r="1164" spans="1:7" ht="13.95" customHeight="1">
      <c r="B1164" s="608" t="s">
        <v>1374</v>
      </c>
      <c r="D1164" s="1050" t="s">
        <v>2089</v>
      </c>
      <c r="E1164" s="1050"/>
      <c r="F1164" s="1050"/>
      <c r="G1164"/>
    </row>
    <row r="1165" spans="1:7" ht="13.2">
      <c r="D1165" s="1050"/>
      <c r="E1165" s="1050"/>
      <c r="F1165" s="1050"/>
      <c r="G1165"/>
    </row>
    <row r="1166" spans="1:7" ht="13.2">
      <c r="D1166" s="15"/>
      <c r="E1166" s="926" t="s">
        <v>2090</v>
      </c>
      <c r="F1166" s="15"/>
      <c r="G1166"/>
    </row>
    <row r="1167" spans="1:7" ht="13.2">
      <c r="D1167" s="15"/>
      <c r="E1167" s="15"/>
      <c r="F1167" s="15"/>
      <c r="G1167"/>
    </row>
    <row r="1168" spans="1:7" ht="13.2">
      <c r="D1168" s="992" t="s">
        <v>2088</v>
      </c>
      <c r="E1168" s="992"/>
      <c r="F1168" s="992"/>
      <c r="G1168"/>
    </row>
    <row r="1169" spans="1:7" ht="13.2">
      <c r="A1169" s="191"/>
      <c r="B1169" s="191"/>
      <c r="C1169" s="191"/>
      <c r="D1169" s="992"/>
      <c r="E1169" s="992"/>
      <c r="F1169" s="992"/>
      <c r="G1169"/>
    </row>
    <row r="1170" spans="1:7" ht="14.7"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8" t="s">
        <v>123</v>
      </c>
      <c r="C1172" s="191"/>
      <c r="D1172" s="975" t="s">
        <v>1675</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8" t="s">
        <v>123</v>
      </c>
      <c r="C1177" s="191"/>
      <c r="D1177" s="968" t="s">
        <v>1754</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8" t="s">
        <v>1374</v>
      </c>
      <c r="D1180" s="995" t="s">
        <v>1666</v>
      </c>
      <c r="E1180" s="995"/>
      <c r="F1180" s="995"/>
      <c r="G1180"/>
    </row>
    <row r="1181" spans="1:7" ht="13.2">
      <c r="G1181"/>
    </row>
    <row r="1182" spans="1:7" ht="14.4">
      <c r="A1182" s="271"/>
      <c r="B1182" s="608" t="s">
        <v>123</v>
      </c>
      <c r="D1182" s="995" t="s">
        <v>1667</v>
      </c>
      <c r="E1182" s="995"/>
      <c r="F1182" s="995"/>
      <c r="G1182"/>
    </row>
    <row r="1183" spans="1:7" ht="13.2">
      <c r="D1183" s="44"/>
      <c r="G1183"/>
    </row>
    <row r="1184" spans="1:7" ht="14.4">
      <c r="A1184" s="271"/>
      <c r="B1184" s="608" t="s">
        <v>1374</v>
      </c>
      <c r="D1184" s="995" t="s">
        <v>1668</v>
      </c>
      <c r="E1184" s="995"/>
      <c r="F1184" s="995"/>
      <c r="G1184"/>
    </row>
    <row r="1185" spans="1:7" ht="13.2">
      <c r="D1185" s="44"/>
      <c r="G1185"/>
    </row>
    <row r="1186" spans="1:7" ht="14.4">
      <c r="A1186" s="271"/>
      <c r="B1186" s="608" t="s">
        <v>123</v>
      </c>
      <c r="D1186" s="975" t="s">
        <v>1669</v>
      </c>
      <c r="E1186" s="975"/>
      <c r="F1186" s="975"/>
      <c r="G1186"/>
    </row>
    <row r="1187" spans="1:7" ht="14.4">
      <c r="A1187" s="271"/>
      <c r="B1187" s="271"/>
      <c r="D1187" s="975"/>
      <c r="E1187" s="975"/>
      <c r="F1187" s="975"/>
      <c r="G1187"/>
    </row>
    <row r="1188" spans="1:7" ht="14.4">
      <c r="A1188" s="271"/>
      <c r="B1188" s="271"/>
      <c r="D1188" s="44"/>
    </row>
    <row r="1189" spans="1:7" s="447" customFormat="1" ht="14.4">
      <c r="A1189" s="289"/>
      <c r="B1189" s="608" t="s">
        <v>123</v>
      </c>
      <c r="C1189" s="290"/>
      <c r="D1189" s="993" t="s">
        <v>1670</v>
      </c>
      <c r="E1189" s="993"/>
      <c r="F1189" s="993"/>
      <c r="G1189" s="292"/>
    </row>
    <row r="1190" spans="1:7" s="447" customFormat="1" ht="13.2">
      <c r="A1190" s="290"/>
      <c r="B1190" s="290"/>
      <c r="C1190" s="290"/>
      <c r="D1190" s="993"/>
      <c r="E1190" s="993"/>
      <c r="F1190" s="993"/>
      <c r="G1190" s="292"/>
    </row>
    <row r="1191" spans="1:7" s="447" customFormat="1" ht="13.2">
      <c r="A1191" s="290"/>
      <c r="B1191" s="290"/>
      <c r="C1191" s="290"/>
      <c r="D1191" s="291"/>
      <c r="E1191" s="292"/>
      <c r="F1191" s="292"/>
      <c r="G1191" s="292"/>
    </row>
    <row r="1192" spans="1:7" s="447" customFormat="1" ht="14.4">
      <c r="A1192" s="289"/>
      <c r="B1192" s="608" t="s">
        <v>123</v>
      </c>
      <c r="C1192" s="290"/>
      <c r="D1192" s="994" t="s">
        <v>1671</v>
      </c>
      <c r="E1192" s="994"/>
      <c r="F1192" s="994"/>
      <c r="G1192" s="292"/>
    </row>
    <row r="1193" spans="1:7" s="447" customFormat="1" ht="13.2">
      <c r="A1193" s="290"/>
      <c r="B1193" s="290"/>
      <c r="C1193" s="290"/>
      <c r="D1193" s="291"/>
      <c r="E1193" s="292"/>
      <c r="F1193" s="292"/>
      <c r="G1193" s="292"/>
    </row>
    <row r="1194" spans="1:7" ht="14.4">
      <c r="A1194" s="271"/>
      <c r="B1194" s="608" t="s">
        <v>123</v>
      </c>
      <c r="D1194" s="995" t="s">
        <v>1672</v>
      </c>
      <c r="E1194" s="995"/>
      <c r="F1194" s="995"/>
    </row>
    <row r="1195" spans="1:7" ht="14.4">
      <c r="A1195" s="271"/>
      <c r="B1195" s="271"/>
      <c r="D1195" s="44"/>
    </row>
    <row r="1196" spans="1:7" ht="14.4">
      <c r="A1196" s="271"/>
      <c r="B1196" s="608" t="s">
        <v>123</v>
      </c>
      <c r="D1196" s="975" t="s">
        <v>1673</v>
      </c>
      <c r="E1196" s="975"/>
      <c r="F1196" s="975"/>
    </row>
    <row r="1197" spans="1:7" ht="14.4">
      <c r="A1197" s="271"/>
      <c r="B1197" s="271"/>
      <c r="D1197" s="975"/>
      <c r="E1197" s="975"/>
      <c r="F1197" s="975"/>
    </row>
    <row r="1198" spans="1:7" ht="13.2"/>
    <row r="1199" spans="1:7" ht="13.2">
      <c r="A1199" s="1029" t="s">
        <v>2008</v>
      </c>
      <c r="B1199" s="1029"/>
      <c r="C1199" s="1029"/>
      <c r="D1199" s="1029"/>
      <c r="E1199" s="1029"/>
      <c r="F1199" s="1029"/>
      <c r="G1199" s="1029"/>
    </row>
    <row r="1200" spans="1:7" ht="13.2"/>
    <row r="1201" spans="1:7" ht="13.2">
      <c r="A1201" s="1029" t="s">
        <v>1403</v>
      </c>
      <c r="B1201" s="1029"/>
      <c r="C1201" s="1029"/>
      <c r="D1201" s="1029"/>
      <c r="E1201" s="1029"/>
      <c r="F1201" s="1029"/>
      <c r="G1201" s="1029"/>
    </row>
    <row r="1202" spans="1:7" ht="13.2"/>
    <row r="1203" spans="1:7" ht="13.2">
      <c r="D1203" s="999" t="s">
        <v>1509</v>
      </c>
      <c r="E1203" s="999"/>
      <c r="F1203" s="999"/>
    </row>
    <row r="1204" spans="1:7" ht="13.2">
      <c r="D1204" s="1034" t="s">
        <v>1914</v>
      </c>
      <c r="E1204" s="1034"/>
      <c r="F1204" s="1034"/>
    </row>
    <row r="1205" spans="1:7" ht="13.2">
      <c r="A1205" s="190"/>
      <c r="B1205" s="190"/>
      <c r="C1205" s="190"/>
    </row>
    <row r="1206" spans="1:7" ht="14.4">
      <c r="A1206" s="271"/>
      <c r="B1206" s="271"/>
      <c r="C1206" s="191"/>
      <c r="D1206" s="999" t="s">
        <v>1510</v>
      </c>
      <c r="E1206" s="999"/>
      <c r="F1206" s="999"/>
    </row>
    <row r="1207" spans="1:7" ht="13.2">
      <c r="B1207" s="608" t="s">
        <v>1374</v>
      </c>
      <c r="D1207" s="994" t="s">
        <v>1511</v>
      </c>
      <c r="E1207" s="994"/>
      <c r="F1207" s="994"/>
    </row>
    <row r="1208" spans="1:7" ht="13.2">
      <c r="D1208" s="1034" t="s">
        <v>1915</v>
      </c>
      <c r="E1208" s="1034"/>
      <c r="F1208" s="1034"/>
    </row>
    <row r="1209" spans="1:7" ht="13.2">
      <c r="G1209"/>
    </row>
    <row r="1210" spans="1:7" ht="12.75" customHeight="1">
      <c r="B1210" s="608" t="s">
        <v>123</v>
      </c>
      <c r="D1210" s="1018" t="s">
        <v>1832</v>
      </c>
      <c r="E1210" s="1018"/>
      <c r="F1210" s="1018"/>
      <c r="G1210"/>
    </row>
    <row r="1211" spans="1:7" ht="13.2">
      <c r="D1211" s="1018"/>
      <c r="E1211" s="1018"/>
      <c r="F1211" s="1018"/>
      <c r="G1211"/>
    </row>
    <row r="1212" spans="1:7" ht="13.2">
      <c r="G1212"/>
    </row>
    <row r="1213" spans="1:7" ht="12.75" customHeight="1"/>
    <row r="1214" spans="1:7" ht="13.2">
      <c r="A1214" s="1029" t="s">
        <v>1405</v>
      </c>
      <c r="B1214" s="1029"/>
      <c r="C1214" s="1029"/>
      <c r="D1214" s="1029"/>
      <c r="E1214" s="1029"/>
      <c r="F1214" s="1029"/>
      <c r="G1214" s="1029"/>
    </row>
    <row r="1215" spans="1:7" ht="13.2">
      <c r="A1215" s="44"/>
      <c r="B1215" s="44"/>
    </row>
    <row r="1216" spans="1:7" ht="12.75" customHeight="1">
      <c r="A1216" s="44"/>
      <c r="B1216" s="44"/>
      <c r="D1216" s="996" t="s">
        <v>1404</v>
      </c>
      <c r="E1216" s="996"/>
      <c r="F1216" s="996"/>
    </row>
    <row r="1217" spans="1:7" ht="12.75" customHeight="1">
      <c r="A1217" s="44"/>
      <c r="B1217" s="44"/>
      <c r="D1217" s="995" t="s">
        <v>1411</v>
      </c>
      <c r="E1217" s="995"/>
      <c r="F1217" s="995"/>
    </row>
    <row r="1218" spans="1:7" ht="12.75" customHeight="1">
      <c r="A1218" s="44"/>
      <c r="B1218" s="44"/>
    </row>
    <row r="1219" spans="1:7" ht="14.4">
      <c r="A1219" s="271"/>
      <c r="B1219" s="608" t="s">
        <v>123</v>
      </c>
      <c r="D1219" s="1005" t="s">
        <v>1011</v>
      </c>
      <c r="E1219" s="1005"/>
      <c r="F1219" s="1005"/>
    </row>
    <row r="1220" spans="1:7" ht="13.2">
      <c r="D1220" s="995" t="s">
        <v>1131</v>
      </c>
      <c r="E1220" s="995"/>
      <c r="F1220" s="995"/>
    </row>
    <row r="1221" spans="1:7" ht="13.2">
      <c r="E1221" s="1020" t="s">
        <v>2091</v>
      </c>
      <c r="F1221" s="1020"/>
    </row>
    <row r="1222" spans="1:7" ht="13.2">
      <c r="D1222" s="3"/>
    </row>
    <row r="1223" spans="1:7" ht="13.2">
      <c r="D1223" s="1033" t="s">
        <v>1271</v>
      </c>
      <c r="E1223" s="1033"/>
      <c r="F1223" s="1033"/>
    </row>
    <row r="1224" spans="1:7" ht="13.2">
      <c r="B1224" s="608" t="s">
        <v>123</v>
      </c>
      <c r="D1224" s="968" t="s">
        <v>2092</v>
      </c>
      <c r="E1224" s="975"/>
      <c r="F1224" s="975"/>
      <c r="G1224"/>
    </row>
    <row r="1225" spans="1:7" ht="13.2">
      <c r="D1225" s="975"/>
      <c r="E1225" s="975"/>
      <c r="F1225" s="975"/>
      <c r="G1225"/>
    </row>
    <row r="1226" spans="1:7" ht="13.2">
      <c r="D1226" s="500" t="s">
        <v>1274</v>
      </c>
      <c r="E1226"/>
      <c r="F1226"/>
      <c r="G1226"/>
    </row>
    <row r="1227" spans="1:7" ht="13.95" customHeight="1">
      <c r="D1227" s="968" t="s">
        <v>2093</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1014</v>
      </c>
      <c r="E1231" s="1020"/>
      <c r="F1231" s="1020"/>
      <c r="G1231"/>
    </row>
    <row r="1232" spans="1:7" ht="13.2">
      <c r="B1232" s="608" t="s">
        <v>123</v>
      </c>
      <c r="D1232" s="1005" t="s">
        <v>1272</v>
      </c>
      <c r="E1232" s="1005"/>
      <c r="F1232" s="1005"/>
      <c r="G1232"/>
    </row>
    <row r="1233" spans="1:7" ht="13.2">
      <c r="E1233"/>
      <c r="F1233"/>
      <c r="G1233"/>
    </row>
    <row r="1234" spans="1:7" ht="13.2">
      <c r="D1234" s="1035" t="s">
        <v>1273</v>
      </c>
      <c r="E1234" s="1035"/>
      <c r="F1234" s="1035"/>
      <c r="G1234"/>
    </row>
    <row r="1235" spans="1:7" ht="13.2">
      <c r="D1235" s="3" t="s">
        <v>1012</v>
      </c>
      <c r="E1235"/>
      <c r="F1235"/>
      <c r="G1235"/>
    </row>
    <row r="1236" spans="1:7" ht="14.7" customHeight="1">
      <c r="A1236" s="271"/>
      <c r="B1236" s="608" t="s">
        <v>123</v>
      </c>
      <c r="D1236" s="975" t="s">
        <v>1512</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8" t="s">
        <v>1130</v>
      </c>
      <c r="E1240" s="418"/>
      <c r="F1240" s="418"/>
    </row>
    <row r="1241" spans="1:7" ht="14.4">
      <c r="A1241" s="271"/>
      <c r="B1241" s="608" t="s">
        <v>123</v>
      </c>
      <c r="D1241" s="975" t="s">
        <v>1513</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1436</v>
      </c>
      <c r="B1247" s="1029"/>
      <c r="C1247" s="1029"/>
      <c r="D1247" s="1029"/>
      <c r="E1247" s="1029"/>
      <c r="F1247" s="1029"/>
      <c r="G1247" s="1029"/>
    </row>
    <row r="1248" spans="1:7" ht="13.2">
      <c r="A1248" s="44"/>
      <c r="B1248" s="44"/>
    </row>
    <row r="1249" spans="1:7" ht="13.2">
      <c r="A1249" s="44"/>
      <c r="B1249" s="44"/>
      <c r="D1249" s="1025" t="s">
        <v>1437</v>
      </c>
      <c r="E1249" s="1025"/>
      <c r="F1249" s="1025"/>
    </row>
    <row r="1250" spans="1:7" ht="13.2">
      <c r="A1250" s="268"/>
      <c r="B1250" s="268"/>
      <c r="C1250" s="268"/>
      <c r="D1250" s="1005" t="s">
        <v>1450</v>
      </c>
      <c r="E1250" s="1005"/>
      <c r="F1250" s="1005"/>
      <c r="G1250" s="269"/>
    </row>
    <row r="1251" spans="1:7" ht="10.5" customHeight="1"/>
    <row r="1252" spans="1:7" ht="14.4">
      <c r="A1252" s="271"/>
      <c r="B1252" s="608" t="s">
        <v>123</v>
      </c>
      <c r="D1252" s="1005" t="s">
        <v>1132</v>
      </c>
      <c r="E1252" s="1005"/>
      <c r="F1252" s="1005"/>
    </row>
    <row r="1253" spans="1:7" ht="13.2">
      <c r="E1253" s="1020" t="s">
        <v>2094</v>
      </c>
      <c r="F1253" s="1020"/>
    </row>
    <row r="1254" spans="1:7" ht="13.2">
      <c r="D1254" s="104"/>
      <c r="E1254" s="104"/>
      <c r="F1254" s="104"/>
    </row>
    <row r="1255" spans="1:7" ht="13.95" customHeight="1"/>
    <row r="1256" spans="1:7" ht="13.95" customHeight="1"/>
    <row r="1257" spans="1:7" ht="13.95" customHeight="1"/>
    <row r="1258" spans="1:7" ht="13.95" customHeight="1"/>
    <row r="1259" spans="1:7" ht="13.95" customHeight="1"/>
    <row r="1260" spans="1:7" ht="13.95" customHeight="1"/>
    <row r="1261" spans="1:7" ht="13.95" customHeight="1"/>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c r="A1287"/>
      <c r="B1287"/>
      <c r="C1287"/>
      <c r="D1287"/>
      <c r="E1287"/>
      <c r="F1287"/>
      <c r="G1287"/>
    </row>
    <row r="1288" spans="1:7" ht="13.95" customHeight="1">
      <c r="A1288"/>
      <c r="B1288"/>
      <c r="C1288"/>
      <c r="D1288"/>
      <c r="E1288"/>
      <c r="F1288"/>
      <c r="G1288"/>
    </row>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I162" sqref="AI162"/>
    </sheetView>
  </sheetViews>
  <sheetFormatPr defaultColWidth="0" defaultRowHeight="0" customHeight="1" zeroHeight="1"/>
  <cols>
    <col min="1" max="32" width="2.44140625" customWidth="1"/>
    <col min="33" max="33" width="3.218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2" customHeight="1">
      <c r="J1" s="183"/>
      <c r="AS1" s="918">
        <v>9</v>
      </c>
    </row>
    <row r="2" spans="1:46" ht="13.2" customHeight="1"/>
    <row r="3" spans="1:46" ht="13.2" customHeight="1"/>
    <row r="4" spans="1:46" ht="13.2" customHeight="1"/>
    <row r="5" spans="1:46" ht="13.2" customHeight="1"/>
    <row r="6" spans="1:46" ht="13.2" customHeight="1"/>
    <row r="7" spans="1:46" ht="13.2" customHeight="1"/>
    <row r="8" spans="1:46" ht="12.75" customHeight="1"/>
    <row r="9" spans="1:46" s="963" customFormat="1" ht="18.75" customHeight="1">
      <c r="A9" s="1574" t="s">
        <v>790</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8" customFormat="1" ht="13.2" customHeight="1">
      <c r="A10" s="1575" t="s">
        <v>2298</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3.2" customHeight="1">
      <c r="A11" s="1576" t="s">
        <v>2318</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3.2" customHeight="1">
      <c r="A12" s="978" t="s">
        <v>1871</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3.2"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3.2" customHeight="1">
      <c r="A14" s="104"/>
      <c r="B14" s="104"/>
      <c r="C14" s="104"/>
      <c r="D14" s="104"/>
      <c r="E14" s="104"/>
      <c r="F14" s="104"/>
      <c r="G14" s="104"/>
      <c r="AC14" s="104"/>
      <c r="AD14" s="104"/>
      <c r="AE14" s="104"/>
      <c r="AF14" s="104"/>
      <c r="AG14" s="104"/>
      <c r="AH14" s="104"/>
      <c r="AI14" s="104"/>
      <c r="AJ14" s="104"/>
      <c r="AK14" s="104"/>
      <c r="AL14" s="104"/>
    </row>
    <row r="15" spans="1:46" ht="13.2" customHeight="1">
      <c r="A15" s="63" t="s">
        <v>554</v>
      </c>
      <c r="C15" s="5"/>
      <c r="D15" s="5"/>
      <c r="E15" s="5"/>
      <c r="F15" s="5"/>
      <c r="G15" s="5"/>
      <c r="H15" s="1400" t="s">
        <v>2319</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3.2" customHeight="1"/>
    <row r="17" spans="1:46" ht="13.2" customHeight="1">
      <c r="A17" s="63" t="s">
        <v>791</v>
      </c>
      <c r="C17" s="5"/>
      <c r="D17" s="5"/>
      <c r="E17" s="5"/>
      <c r="F17" s="5"/>
      <c r="G17" s="5"/>
      <c r="H17" s="1103" t="s">
        <v>2320</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2" customHeight="1"/>
    <row r="19" spans="1:46" ht="13.2" customHeight="1">
      <c r="A19" s="987" t="s">
        <v>1099</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3.2" customHeight="1">
      <c r="A20" s="1403" t="s">
        <v>1350</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 customHeight="1">
      <c r="A22" s="992" t="s">
        <v>2248</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3.2"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 customHeight="1">
      <c r="A25" s="5"/>
      <c r="C25" s="5"/>
      <c r="D25" s="5"/>
      <c r="E25" s="5"/>
      <c r="F25" s="5"/>
      <c r="G25" s="5"/>
      <c r="H25" s="5"/>
      <c r="I25" s="5"/>
      <c r="J25" s="5"/>
      <c r="K25" s="5"/>
      <c r="L25" s="5"/>
      <c r="M25" s="1407">
        <f>ROUND('Basis &amp; Credits'!AB55,0)</f>
        <v>2500000</v>
      </c>
      <c r="N25" s="1407"/>
      <c r="O25" s="1407"/>
      <c r="P25" s="1407"/>
      <c r="Q25" s="1407"/>
      <c r="R25" s="5" t="s">
        <v>842</v>
      </c>
      <c r="S25" s="5"/>
      <c r="T25" s="5"/>
      <c r="U25" s="5"/>
      <c r="V25" s="5"/>
      <c r="W25" s="5"/>
      <c r="X25" s="5"/>
      <c r="Y25" s="5"/>
      <c r="Z25" s="5"/>
      <c r="AF25" s="5"/>
      <c r="AG25" s="5"/>
      <c r="AH25" s="5"/>
      <c r="AI25" s="5"/>
      <c r="AJ25" s="5"/>
      <c r="AK25" s="5"/>
    </row>
    <row r="26" spans="1:46"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 customHeight="1">
      <c r="A27" s="5"/>
      <c r="C27" s="5"/>
      <c r="D27" s="5"/>
      <c r="E27" s="5"/>
      <c r="F27" s="5"/>
      <c r="G27" s="5"/>
      <c r="H27" s="5"/>
      <c r="I27" s="5"/>
      <c r="J27" s="5"/>
      <c r="K27" s="5"/>
      <c r="L27" s="5"/>
      <c r="M27" s="1407">
        <f>'Basis &amp; Credits'!AB76</f>
        <v>8555188</v>
      </c>
      <c r="N27" s="1407"/>
      <c r="O27" s="1407"/>
      <c r="P27" s="1407"/>
      <c r="Q27" s="1407"/>
      <c r="R27" s="5" t="s">
        <v>1349</v>
      </c>
      <c r="S27" s="5"/>
      <c r="T27" s="5"/>
      <c r="U27" s="5"/>
      <c r="V27" s="5"/>
      <c r="W27" s="5"/>
      <c r="X27" s="5"/>
      <c r="Y27" s="5"/>
      <c r="Z27" s="5"/>
      <c r="AF27" s="5"/>
      <c r="AG27" s="5"/>
      <c r="AH27" s="5"/>
      <c r="AI27" s="5"/>
      <c r="AJ27" s="5"/>
      <c r="AK27" s="5"/>
    </row>
    <row r="28" spans="1:46"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5" customFormat="1" ht="13.2" customHeight="1">
      <c r="A29" s="992" t="s">
        <v>2249</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5" customFormat="1" ht="13.2"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5" customFormat="1" ht="13.2"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3.2" customHeight="1">
      <c r="A33" s="312" t="s">
        <v>2247</v>
      </c>
      <c r="B33"/>
      <c r="C33" s="102"/>
      <c r="D33" s="102"/>
      <c r="E33" s="102"/>
      <c r="F33" s="102"/>
      <c r="G33" s="102"/>
      <c r="H33" s="102"/>
      <c r="I33" s="102"/>
      <c r="J33" s="102"/>
      <c r="K33" s="102"/>
      <c r="L33" s="102"/>
      <c r="M33" s="102"/>
      <c r="N33" s="102"/>
      <c r="O33" s="1098" t="s">
        <v>107</v>
      </c>
      <c r="P33" s="1098"/>
      <c r="Q33" s="1577" t="s">
        <v>2250</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3.2" customHeight="1">
      <c r="A34" s="988" t="s">
        <v>2251</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3.2"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3.2"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3.2"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3.2" customHeight="1">
      <c r="AM38" s="19"/>
    </row>
    <row r="39" spans="1:46" s="775" customFormat="1" ht="13.2" customHeight="1">
      <c r="A39" s="992" t="s">
        <v>2252</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5" customFormat="1" ht="13.2"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5" customFormat="1" ht="13.2"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5" customFormat="1" ht="13.2"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5" customFormat="1" ht="13.2"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5" customFormat="1" ht="13.2"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5" customFormat="1" ht="13.2"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5" customFormat="1" ht="13.2"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3.2"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5" customFormat="1" ht="13.2" customHeight="1">
      <c r="A48" s="992" t="s">
        <v>2253</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5" customFormat="1" ht="13.2"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2" customHeight="1">
      <c r="A51" s="968" t="s">
        <v>2254</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3.2"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3.2"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3.2"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3.2"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3.2"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2" customHeight="1">
      <c r="A57" s="270" t="s">
        <v>2255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2" customHeight="1">
      <c r="A59" s="968" t="s">
        <v>2256</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3.2"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3.2"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3.2"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3.2"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3.2"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3.2"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2" customHeight="1">
      <c r="A66" s="312" t="s">
        <v>2257</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2"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2" customHeight="1">
      <c r="A68" s="968" t="s">
        <v>2259</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3.2"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3.2"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3.2"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2" customHeight="1">
      <c r="A72" s="312" t="s">
        <v>2260</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2"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5" customFormat="1" ht="13.2" customHeight="1">
      <c r="A74" s="992" t="s">
        <v>2261</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5" customFormat="1" ht="13.2"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3.2"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2" customHeight="1">
      <c r="A77" s="968" t="s">
        <v>2262</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3.2"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3.2"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2" customHeight="1">
      <c r="A81" s="968" t="s">
        <v>2263</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3.2"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3.2"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3.2"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5" customFormat="1" ht="13.2" customHeight="1">
      <c r="A85" s="992" t="s">
        <v>2264</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5" customFormat="1" ht="13.2"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3.2" customHeight="1">
      <c r="AM87" s="19"/>
    </row>
    <row r="88" spans="1:16384" s="210" customFormat="1" ht="13.2" customHeight="1">
      <c r="A88" s="992" t="s">
        <v>2265</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3.2"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2" customHeight="1">
      <c r="A91" s="990" t="s">
        <v>2266</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3.2"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3.2"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3.2"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3.2"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3.2"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3.2"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3.2"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3.2"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3.2"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2" customHeight="1">
      <c r="A102" s="968" t="s">
        <v>2267</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3.2"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3.2"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3.2"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3.2"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2" customHeight="1">
      <c r="A107" s="1578" t="s">
        <v>2268</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3.2"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3.2"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 customHeight="1">
      <c r="A110" s="968" t="s">
        <v>2269</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3.2"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3.2"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312"/>
      <c r="C115" s="41" t="s">
        <v>410</v>
      </c>
      <c r="E115" s="41"/>
      <c r="F115" s="41"/>
      <c r="G115" s="1397" t="s">
        <v>2441</v>
      </c>
      <c r="H115" s="1101"/>
      <c r="I115" s="41" t="s">
        <v>411</v>
      </c>
      <c r="J115" s="41"/>
      <c r="L115" s="1401" t="s">
        <v>2442</v>
      </c>
      <c r="M115" s="1402"/>
      <c r="N115" s="1402"/>
      <c r="O115" s="41" t="s">
        <v>2258</v>
      </c>
      <c r="P115" s="41"/>
      <c r="Q115" s="41"/>
      <c r="R115" s="41"/>
      <c r="S115" s="102"/>
      <c r="T115" s="102"/>
      <c r="U115" s="102"/>
      <c r="V115" s="102"/>
      <c r="W115" s="102"/>
      <c r="X115" s="41" t="s">
        <v>413</v>
      </c>
      <c r="Y115" s="409"/>
      <c r="Z115" s="409"/>
      <c r="AA115" s="409"/>
      <c r="AB115" s="409"/>
      <c r="AC115" s="409"/>
      <c r="AD115" s="409"/>
      <c r="AE115" s="409"/>
      <c r="AF115" s="409"/>
      <c r="AG115" s="409"/>
      <c r="AH115" s="409"/>
      <c r="AI115" s="409"/>
      <c r="AJ115" s="409"/>
      <c r="AK115" s="409"/>
      <c r="AL115" s="19"/>
    </row>
    <row r="116" spans="1:39" ht="13.2"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2" customHeight="1">
      <c r="A117" s="312"/>
      <c r="C117" s="1401" t="s">
        <v>2321</v>
      </c>
      <c r="D117" s="1402"/>
      <c r="E117" s="1402"/>
      <c r="F117" s="1402"/>
      <c r="G117" s="1402"/>
      <c r="H117" s="1402"/>
      <c r="I117" s="1402"/>
      <c r="J117" s="1402"/>
      <c r="K117" s="1402"/>
      <c r="L117" s="309" t="s">
        <v>412</v>
      </c>
      <c r="M117" s="41"/>
      <c r="O117" s="41"/>
      <c r="P117" s="41"/>
      <c r="Q117" s="41"/>
      <c r="R117" s="41"/>
      <c r="S117" s="102"/>
      <c r="T117" s="102"/>
      <c r="U117" s="102"/>
      <c r="V117" s="102"/>
      <c r="W117" s="102"/>
      <c r="X117" s="41"/>
      <c r="AL117" s="19"/>
    </row>
    <row r="118" spans="1:39" ht="13.2"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2322</v>
      </c>
      <c r="Z118" s="1393"/>
      <c r="AA118" s="1393"/>
      <c r="AB118" s="1393"/>
      <c r="AC118" s="1393"/>
      <c r="AD118" s="1393"/>
      <c r="AE118" s="1393"/>
      <c r="AF118" s="1393"/>
      <c r="AG118" s="1393"/>
      <c r="AH118" s="1393"/>
      <c r="AI118" s="1393"/>
      <c r="AJ118" s="1393"/>
      <c r="AK118" s="1393"/>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2"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2"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2323</v>
      </c>
      <c r="Z121" s="1393"/>
      <c r="AA121" s="1393"/>
      <c r="AB121" s="1393"/>
      <c r="AC121" s="1393"/>
      <c r="AD121" s="1393"/>
      <c r="AE121" s="1393"/>
      <c r="AF121" s="1393"/>
      <c r="AG121" s="1393"/>
      <c r="AH121" s="1393"/>
      <c r="AI121" s="1393"/>
      <c r="AJ121" s="1393"/>
      <c r="AK121" s="1393"/>
      <c r="AL121" s="19"/>
    </row>
    <row r="122" spans="1:39" ht="13.2"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2" customHeight="1"/>
    <row r="124" spans="1:39" ht="13.2" customHeight="1">
      <c r="A124" s="102"/>
    </row>
    <row r="125" spans="1:39" ht="13.2" hidden="1" customHeight="1">
      <c r="A125" s="102"/>
      <c r="V125" s="41"/>
      <c r="W125" s="41"/>
      <c r="AL125" s="41"/>
    </row>
    <row r="126" spans="1:39" ht="13.2" hidden="1" customHeight="1">
      <c r="A126" s="41"/>
      <c r="B126" s="41"/>
      <c r="AL126" s="41"/>
    </row>
    <row r="127" spans="1:39" ht="13.2" hidden="1" customHeight="1">
      <c r="A127" s="41"/>
      <c r="B127" s="41"/>
      <c r="AL127" s="41"/>
    </row>
    <row r="128" spans="1:39" ht="13.2" hidden="1" customHeight="1">
      <c r="A128" s="41"/>
      <c r="B128" s="41"/>
      <c r="S128" s="41"/>
      <c r="T128" s="41"/>
      <c r="U128" s="41"/>
      <c r="V128" s="41"/>
      <c r="W128" s="41"/>
      <c r="AL128" s="41"/>
    </row>
    <row r="129" spans="1:56" ht="13.2" hidden="1" customHeight="1">
      <c r="A129" s="41"/>
      <c r="B129" s="41"/>
      <c r="S129" s="41"/>
      <c r="T129" s="41"/>
      <c r="U129" s="41"/>
      <c r="V129" s="41"/>
      <c r="W129" s="41"/>
      <c r="AL129" s="41"/>
    </row>
    <row r="130" spans="1:56" ht="13.2" hidden="1" customHeight="1">
      <c r="A130" s="41"/>
      <c r="B130" s="41"/>
      <c r="S130" s="41"/>
      <c r="T130" s="41"/>
      <c r="U130" s="41"/>
      <c r="V130" s="41"/>
      <c r="W130" s="41"/>
      <c r="AL130" s="41"/>
    </row>
    <row r="131" spans="1:56" ht="13.2"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 hidden="1" customHeight="1">
      <c r="A135" s="488"/>
      <c r="C135" s="41"/>
      <c r="D135" s="41"/>
      <c r="E135" s="41"/>
      <c r="F135" s="41"/>
      <c r="G135" s="41"/>
      <c r="H135" s="41"/>
      <c r="I135" s="41"/>
      <c r="J135" s="41"/>
      <c r="K135" s="41"/>
      <c r="L135" s="41"/>
      <c r="M135" s="41"/>
      <c r="N135" s="41"/>
      <c r="O135" s="41"/>
      <c r="P135" s="41"/>
      <c r="Q135" s="41"/>
      <c r="R135" s="41"/>
      <c r="S135" s="41"/>
      <c r="T135" s="41"/>
      <c r="U135" s="41"/>
      <c r="V135" s="41"/>
      <c r="W135" s="41"/>
      <c r="AL135" s="488"/>
    </row>
    <row r="136" spans="1:56" ht="13.2" hidden="1" customHeight="1">
      <c r="A136" s="488"/>
      <c r="B136" s="5"/>
      <c r="AL136" s="488"/>
    </row>
    <row r="137" spans="1:56" ht="13.2" hidden="1" customHeight="1">
      <c r="A137" s="41"/>
      <c r="B137" s="5"/>
      <c r="AL137" s="41"/>
    </row>
    <row r="138" spans="1:56" ht="13.2" hidden="1" customHeight="1">
      <c r="A138" s="41"/>
      <c r="AL138" s="41"/>
    </row>
    <row r="139" spans="1:56" ht="13.2" hidden="1" customHeight="1">
      <c r="A139" s="41"/>
      <c r="AL139" s="41"/>
    </row>
    <row r="140" spans="1:56" ht="13.2" hidden="1" customHeight="1">
      <c r="A140" s="41"/>
      <c r="AL140" s="41"/>
    </row>
    <row r="141" spans="1:56" ht="13.2" hidden="1" customHeight="1">
      <c r="A141" s="41"/>
      <c r="AL141" s="41"/>
    </row>
    <row r="142" spans="1:56" ht="13.2" hidden="1" customHeight="1">
      <c r="A142" s="41"/>
      <c r="AL142" s="41"/>
    </row>
    <row r="143" spans="1:56" ht="13.2" hidden="1" customHeight="1">
      <c r="A143" s="41"/>
      <c r="AL143" s="41"/>
    </row>
    <row r="144" spans="1:56" ht="13.2" hidden="1" customHeight="1">
      <c r="A144" s="41"/>
      <c r="AL144" s="41"/>
    </row>
    <row r="145" spans="1:72" ht="13.2"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654</v>
      </c>
      <c r="O156" s="1103" t="s">
        <v>2494</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78</v>
      </c>
    </row>
    <row r="157" spans="1:72" ht="13.2" customHeight="1">
      <c r="D157" s="339" t="s">
        <v>542</v>
      </c>
      <c r="O157" s="1259" t="s">
        <v>2488</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707</v>
      </c>
      <c r="BN157" s="30" t="s">
        <v>421</v>
      </c>
      <c r="BT157" t="s">
        <v>28</v>
      </c>
    </row>
    <row r="158" spans="1:72" ht="13.2" customHeight="1">
      <c r="D158" s="12" t="s">
        <v>543</v>
      </c>
      <c r="F158" s="12"/>
      <c r="G158" s="12"/>
      <c r="H158" s="12"/>
      <c r="I158" s="12"/>
      <c r="J158" s="12"/>
      <c r="K158" s="12"/>
      <c r="L158" s="12"/>
      <c r="M158" s="12"/>
      <c r="N158" s="12"/>
      <c r="O158" s="1476" t="s">
        <v>2492</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422</v>
      </c>
      <c r="BT158" t="s">
        <v>29</v>
      </c>
    </row>
    <row r="159" spans="1:72" ht="13.2" customHeight="1">
      <c r="D159" t="s">
        <v>645</v>
      </c>
      <c r="O159" s="1107" t="s">
        <v>2324</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72</v>
      </c>
      <c r="BT159" t="s">
        <v>383</v>
      </c>
    </row>
    <row r="160" spans="1:72" ht="13.2" customHeight="1">
      <c r="D160" t="s">
        <v>646</v>
      </c>
      <c r="O160" s="1393" t="s">
        <v>2325</v>
      </c>
      <c r="P160" s="1393"/>
      <c r="Q160" s="1393"/>
      <c r="R160" s="1393"/>
      <c r="S160" s="1393"/>
      <c r="T160" s="1393"/>
      <c r="U160" s="1393"/>
      <c r="V160" s="1393"/>
      <c r="W160" s="1393"/>
      <c r="X160" s="1393"/>
      <c r="Y160" s="12"/>
      <c r="Z160" s="12"/>
      <c r="AA160" s="12"/>
      <c r="AB160" s="12"/>
      <c r="AC160" s="12"/>
      <c r="AD160" s="12"/>
      <c r="AE160" s="12"/>
      <c r="AF160" s="12"/>
      <c r="BN160" s="30" t="s">
        <v>74</v>
      </c>
      <c r="BT160" t="s">
        <v>384</v>
      </c>
    </row>
    <row r="161" spans="1:72" ht="13.2" customHeight="1">
      <c r="D161" t="s">
        <v>647</v>
      </c>
      <c r="O161" s="1479">
        <v>95403</v>
      </c>
      <c r="P161" s="1479"/>
      <c r="Q161" s="1479"/>
      <c r="R161" s="1479"/>
      <c r="S161" s="13"/>
      <c r="T161" s="13"/>
      <c r="U161" s="13"/>
      <c r="V161" s="13"/>
      <c r="W161" s="13"/>
      <c r="X161" s="13"/>
      <c r="Y161" s="13"/>
      <c r="Z161" s="13"/>
      <c r="AA161" s="13"/>
      <c r="AB161" s="13"/>
      <c r="AC161" s="13"/>
      <c r="AD161" s="13"/>
      <c r="AE161" s="13"/>
      <c r="AF161" s="13"/>
      <c r="BJ161" t="s">
        <v>481</v>
      </c>
      <c r="BN161" s="30" t="s">
        <v>75</v>
      </c>
      <c r="BT161" t="s">
        <v>385</v>
      </c>
    </row>
    <row r="162" spans="1:72" ht="13.2" customHeight="1">
      <c r="D162" t="s">
        <v>648</v>
      </c>
      <c r="O162" s="986" t="s">
        <v>2490</v>
      </c>
      <c r="P162" s="1481"/>
      <c r="Q162" s="1481"/>
      <c r="R162" s="1481"/>
      <c r="S162" s="1481"/>
      <c r="T162" s="1481"/>
      <c r="V162" s="179" t="s">
        <v>12</v>
      </c>
      <c r="W162" s="1480"/>
      <c r="X162" s="1480"/>
      <c r="Y162" s="14"/>
      <c r="Z162" s="14"/>
      <c r="AA162" s="14"/>
      <c r="AB162" s="14"/>
      <c r="AC162" s="14"/>
      <c r="AD162" s="14"/>
      <c r="AE162" s="14"/>
      <c r="AF162" s="14"/>
      <c r="BJ162" t="s">
        <v>107</v>
      </c>
      <c r="BN162" s="30" t="s">
        <v>76</v>
      </c>
      <c r="BT162" t="s">
        <v>386</v>
      </c>
    </row>
    <row r="163" spans="1:72" ht="13.2" customHeight="1">
      <c r="D163" t="s">
        <v>649</v>
      </c>
      <c r="O163" s="986" t="s">
        <v>2491</v>
      </c>
      <c r="P163" s="1481"/>
      <c r="Q163" s="1481"/>
      <c r="R163" s="1481"/>
      <c r="S163" s="1481"/>
      <c r="T163" s="1481"/>
      <c r="U163" s="14"/>
      <c r="V163" s="14"/>
      <c r="W163" s="14"/>
      <c r="X163" s="14"/>
      <c r="Y163" s="14"/>
      <c r="Z163" s="14"/>
      <c r="AA163" s="14"/>
      <c r="AB163" s="14"/>
      <c r="AC163" s="14"/>
      <c r="AD163" s="14"/>
      <c r="AE163" s="14"/>
      <c r="AF163" s="14"/>
      <c r="BN163" s="30" t="s">
        <v>475</v>
      </c>
      <c r="BT163" t="s">
        <v>387</v>
      </c>
    </row>
    <row r="164" spans="1:72" ht="13.2" customHeight="1">
      <c r="D164" t="s">
        <v>650</v>
      </c>
      <c r="O164" s="1474" t="s">
        <v>2489</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476</v>
      </c>
      <c r="BT164" t="s">
        <v>388</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3.2" customHeight="1">
      <c r="C166" s="34" t="s">
        <v>707</v>
      </c>
      <c r="D166" t="s">
        <v>2096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3.2" customHeight="1">
      <c r="C167" s="34"/>
      <c r="D167" s="1490" t="s">
        <v>2303</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482</v>
      </c>
      <c r="BT167" t="s">
        <v>391</v>
      </c>
    </row>
    <row r="168" spans="1:72" ht="13.2" customHeight="1">
      <c r="BN168" s="30" t="s">
        <v>483</v>
      </c>
      <c r="BT168" t="s">
        <v>392</v>
      </c>
    </row>
    <row r="169" spans="1:72" s="959" customFormat="1" ht="13.2" customHeight="1">
      <c r="A169" s="1083" t="s">
        <v>378</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485</v>
      </c>
      <c r="BT169" t="s">
        <v>393</v>
      </c>
    </row>
    <row r="170" spans="1:72" s="959" customFormat="1" ht="13.2"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486</v>
      </c>
      <c r="BT170" t="s">
        <v>394</v>
      </c>
    </row>
    <row r="171" spans="1:72" ht="13.2" customHeight="1">
      <c r="BN171" s="30" t="s">
        <v>487</v>
      </c>
      <c r="BT171" t="s">
        <v>395</v>
      </c>
    </row>
    <row r="172" spans="1:72" ht="13.2" customHeight="1">
      <c r="A172" s="3" t="s">
        <v>651</v>
      </c>
      <c r="C172" s="3" t="s">
        <v>652</v>
      </c>
      <c r="BN172" s="30" t="s">
        <v>489</v>
      </c>
      <c r="BT172" t="s">
        <v>396</v>
      </c>
    </row>
    <row r="173" spans="1:72" ht="13.2" customHeight="1">
      <c r="C173" s="31"/>
      <c r="D173" t="s">
        <v>436</v>
      </c>
      <c r="J173" s="1394" t="s">
        <v>504</v>
      </c>
      <c r="K173" s="1394"/>
      <c r="L173" s="1394"/>
      <c r="M173" s="1394"/>
      <c r="N173" s="1394"/>
      <c r="O173" s="1394"/>
      <c r="P173" s="1394"/>
      <c r="Q173" s="1394"/>
      <c r="R173" s="1394"/>
      <c r="S173" s="1394"/>
      <c r="U173" s="32"/>
      <c r="X173" s="32"/>
      <c r="BN173" s="30" t="s">
        <v>490</v>
      </c>
      <c r="BT173" t="s">
        <v>397</v>
      </c>
    </row>
    <row r="174" spans="1:72" ht="13.2" customHeight="1">
      <c r="C174" s="31"/>
      <c r="D174" t="s">
        <v>437</v>
      </c>
      <c r="U174" s="1098" t="s">
        <v>481</v>
      </c>
      <c r="V174" s="1098"/>
      <c r="BN174" s="30" t="s">
        <v>592</v>
      </c>
      <c r="BT174" t="s">
        <v>398</v>
      </c>
    </row>
    <row r="175" spans="1:72" ht="13.2" customHeight="1">
      <c r="C175" s="12"/>
      <c r="D175" s="33"/>
      <c r="E175" t="s">
        <v>229</v>
      </c>
      <c r="O175" s="34"/>
      <c r="P175" t="s">
        <v>2102</v>
      </c>
      <c r="T175" s="34" t="s">
        <v>230</v>
      </c>
      <c r="U175" s="1281"/>
      <c r="V175" s="1281"/>
      <c r="W175" s="1" t="s">
        <v>231</v>
      </c>
      <c r="X175" s="1478"/>
      <c r="Y175" s="1478"/>
      <c r="BN175" s="30" t="s">
        <v>593</v>
      </c>
      <c r="BT175" t="s">
        <v>399</v>
      </c>
    </row>
    <row r="176" spans="1:72" ht="13.2" customHeight="1">
      <c r="C176" s="31"/>
      <c r="D176" t="s">
        <v>278</v>
      </c>
      <c r="U176" s="1098" t="s">
        <v>481</v>
      </c>
      <c r="V176" s="1098"/>
      <c r="BN176" s="30" t="s">
        <v>595</v>
      </c>
      <c r="BT176" t="s">
        <v>400</v>
      </c>
    </row>
    <row r="177" spans="1:72" ht="13.2" customHeight="1">
      <c r="C177" s="31"/>
      <c r="D177" s="361" t="s">
        <v>1230</v>
      </c>
      <c r="BN177" s="30" t="s">
        <v>596</v>
      </c>
      <c r="BT177" t="s">
        <v>401</v>
      </c>
    </row>
    <row r="178" spans="1:72" ht="13.2" customHeight="1">
      <c r="C178" s="31"/>
      <c r="E178" s="361" t="s">
        <v>2102</v>
      </c>
      <c r="F178" s="361"/>
      <c r="G178" s="361"/>
      <c r="I178" s="939" t="s">
        <v>230</v>
      </c>
      <c r="J178" s="1484"/>
      <c r="K178" s="1484"/>
      <c r="L178" s="370" t="s">
        <v>231</v>
      </c>
      <c r="M178" s="1330"/>
      <c r="N178" s="1330"/>
      <c r="O178" s="361"/>
      <c r="P178" s="361"/>
      <c r="Q178" s="361"/>
      <c r="R178" s="361"/>
      <c r="U178" s="361" t="s">
        <v>1231</v>
      </c>
      <c r="V178" s="361"/>
      <c r="W178" s="361"/>
      <c r="X178" s="361"/>
      <c r="Y178" s="361"/>
      <c r="Z178" s="361"/>
      <c r="AA178" s="361"/>
      <c r="AB178" s="361"/>
      <c r="AD178" s="1485"/>
      <c r="AE178" s="1485"/>
      <c r="AF178" s="1485"/>
      <c r="AG178" s="1485"/>
      <c r="AH178" s="1485"/>
      <c r="BN178" s="30" t="s">
        <v>597</v>
      </c>
      <c r="BT178" t="s">
        <v>402</v>
      </c>
    </row>
    <row r="179" spans="1:72" ht="13.2" customHeight="1">
      <c r="C179" s="31"/>
      <c r="BN179" s="30" t="s">
        <v>598</v>
      </c>
      <c r="BT179" t="s">
        <v>403</v>
      </c>
    </row>
    <row r="180" spans="1:72" ht="13.2" customHeight="1">
      <c r="C180" s="12"/>
      <c r="D180" t="s">
        <v>2103</v>
      </c>
      <c r="O180" s="361"/>
      <c r="P180" s="361"/>
      <c r="Q180" s="361"/>
      <c r="R180" s="361"/>
      <c r="Y180" s="1098" t="s">
        <v>481</v>
      </c>
      <c r="Z180" s="1459"/>
      <c r="BN180" s="30" t="s">
        <v>600</v>
      </c>
      <c r="BT180" t="s">
        <v>404</v>
      </c>
    </row>
    <row r="181" spans="1:72" ht="13.2" customHeight="1">
      <c r="C181" s="12"/>
      <c r="D181" s="35"/>
      <c r="E181" s="361" t="s">
        <v>1229</v>
      </c>
      <c r="R181" s="361"/>
      <c r="BN181" s="30" t="s">
        <v>601</v>
      </c>
      <c r="BT181" t="s">
        <v>405</v>
      </c>
    </row>
    <row r="182" spans="1:72" ht="13.2" customHeight="1">
      <c r="C182" s="12"/>
      <c r="D182" s="35"/>
      <c r="BN182" s="30" t="s">
        <v>602</v>
      </c>
      <c r="BT182" t="s">
        <v>406</v>
      </c>
    </row>
    <row r="183" spans="1:72" ht="13.2" customHeight="1">
      <c r="A183" s="3" t="s">
        <v>8</v>
      </c>
      <c r="C183" s="3" t="s">
        <v>9</v>
      </c>
      <c r="BN183" s="30" t="s">
        <v>570</v>
      </c>
      <c r="BT183" t="s">
        <v>407</v>
      </c>
    </row>
    <row r="184" spans="1:72" ht="13.2" customHeight="1">
      <c r="C184" s="29"/>
      <c r="D184" t="s">
        <v>10</v>
      </c>
      <c r="I184" s="1260" t="str">
        <f>H17</f>
        <v>Summer Oaks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119</v>
      </c>
      <c r="BN184" s="30" t="s">
        <v>572</v>
      </c>
      <c r="BT184" t="s">
        <v>408</v>
      </c>
    </row>
    <row r="185" spans="1:72" ht="13.2" customHeight="1">
      <c r="C185" s="29"/>
      <c r="D185" t="s">
        <v>428</v>
      </c>
      <c r="I185" s="1258" t="s">
        <v>2326</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120</v>
      </c>
      <c r="BN185" s="30" t="s">
        <v>573</v>
      </c>
      <c r="BT185" t="s">
        <v>837</v>
      </c>
    </row>
    <row r="186" spans="1:72" ht="13.2" customHeight="1">
      <c r="C186" s="29"/>
      <c r="E186" t="s">
        <v>61</v>
      </c>
      <c r="BN186" s="30" t="s">
        <v>574</v>
      </c>
      <c r="BT186" t="s">
        <v>838</v>
      </c>
    </row>
    <row r="187" spans="1:72" ht="13.2" customHeight="1">
      <c r="C187" s="29"/>
      <c r="E187" s="1355" t="s">
        <v>2493</v>
      </c>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575</v>
      </c>
      <c r="BT187" t="s">
        <v>839</v>
      </c>
    </row>
    <row r="188" spans="1:72" ht="13.2"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577</v>
      </c>
      <c r="BT188" t="s">
        <v>840</v>
      </c>
    </row>
    <row r="189" spans="1:72" ht="13.2" customHeight="1">
      <c r="C189" s="29"/>
      <c r="D189" t="s">
        <v>429</v>
      </c>
      <c r="I189" s="1107" t="s">
        <v>2327</v>
      </c>
      <c r="J189" s="1107"/>
      <c r="K189" s="1107"/>
      <c r="L189" s="1107"/>
      <c r="M189" s="1107"/>
      <c r="N189" s="1107"/>
      <c r="O189" s="1107"/>
      <c r="P189" s="1107"/>
      <c r="Q189" t="s">
        <v>431</v>
      </c>
      <c r="T189" s="1107" t="s">
        <v>843</v>
      </c>
      <c r="U189" s="1107"/>
      <c r="V189" s="1107"/>
      <c r="W189" s="1107"/>
      <c r="X189" s="1107"/>
      <c r="Y189" s="1107"/>
      <c r="Z189" s="1107"/>
      <c r="AA189" s="1107"/>
      <c r="AB189" s="1107"/>
      <c r="AC189" s="1107"/>
      <c r="AD189" s="1107"/>
      <c r="AE189" s="1107"/>
      <c r="BC189" t="s">
        <v>78</v>
      </c>
      <c r="BH189" s="41" t="s">
        <v>123</v>
      </c>
      <c r="BN189" s="30" t="s">
        <v>578</v>
      </c>
      <c r="BT189" t="s">
        <v>108</v>
      </c>
    </row>
    <row r="190" spans="1:72" ht="13.2" customHeight="1">
      <c r="C190" s="29"/>
      <c r="D190" t="s">
        <v>432</v>
      </c>
      <c r="I190" s="1258">
        <v>95476</v>
      </c>
      <c r="J190" s="1258"/>
      <c r="K190" s="1258"/>
      <c r="L190" s="1258"/>
      <c r="M190" s="1258"/>
      <c r="N190" s="1258"/>
      <c r="O190" t="s">
        <v>434</v>
      </c>
      <c r="T190" s="1482">
        <v>1502.05</v>
      </c>
      <c r="U190" s="1482"/>
      <c r="V190" s="1482"/>
      <c r="W190" s="1482"/>
      <c r="X190" s="1482"/>
      <c r="Y190" s="1482"/>
      <c r="Z190" s="1482"/>
      <c r="AA190" s="1482"/>
      <c r="AB190" s="1482"/>
      <c r="AC190" s="1482"/>
      <c r="AD190" s="1482"/>
      <c r="AE190" s="1482"/>
      <c r="BC190" t="s">
        <v>661</v>
      </c>
      <c r="BH190" t="s">
        <v>661</v>
      </c>
      <c r="BN190" s="30" t="s">
        <v>420</v>
      </c>
      <c r="BT190" t="s">
        <v>109</v>
      </c>
    </row>
    <row r="191" spans="1:72" ht="13.2" customHeight="1">
      <c r="C191" s="29"/>
      <c r="D191" t="s">
        <v>80</v>
      </c>
      <c r="N191" s="1355" t="s">
        <v>2407</v>
      </c>
      <c r="O191" s="1355"/>
      <c r="P191" s="1355"/>
      <c r="Q191" s="1355"/>
      <c r="R191" s="1355"/>
      <c r="S191" s="1355"/>
      <c r="T191" s="1355"/>
      <c r="U191" s="1355"/>
      <c r="V191" s="1355"/>
      <c r="W191" s="1355"/>
      <c r="X191" s="1355"/>
      <c r="Y191" s="1355"/>
      <c r="Z191" s="1355"/>
      <c r="AA191" s="1355"/>
      <c r="AB191" s="1355"/>
      <c r="AC191" s="1355"/>
      <c r="AD191" s="1355"/>
      <c r="AE191" s="1355"/>
      <c r="BC191" t="s">
        <v>1422</v>
      </c>
      <c r="BH191" t="s">
        <v>1422</v>
      </c>
      <c r="BN191" s="30" t="s">
        <v>580</v>
      </c>
      <c r="BT191" t="s">
        <v>110</v>
      </c>
    </row>
    <row r="192" spans="1:72" ht="13.2"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662</v>
      </c>
      <c r="BH192" t="s">
        <v>613</v>
      </c>
      <c r="BN192" s="30" t="s">
        <v>581</v>
      </c>
      <c r="BT192" t="s">
        <v>111</v>
      </c>
    </row>
    <row r="193" spans="1:73" ht="13.2" customHeight="1">
      <c r="C193" s="29"/>
      <c r="D193" t="s">
        <v>435</v>
      </c>
      <c r="T193" s="1098" t="s">
        <v>481</v>
      </c>
      <c r="U193" s="1098"/>
      <c r="W193" s="41" t="s">
        <v>1884</v>
      </c>
      <c r="AA193" s="1488"/>
      <c r="AB193" s="1488"/>
      <c r="AC193" s="1488"/>
      <c r="BC193" t="s">
        <v>562</v>
      </c>
      <c r="BH193" s="5" t="s">
        <v>1427</v>
      </c>
      <c r="BN193" s="30" t="s">
        <v>582</v>
      </c>
      <c r="BT193" t="s">
        <v>112</v>
      </c>
    </row>
    <row r="194" spans="1:73" ht="13.2" customHeight="1">
      <c r="C194" s="29"/>
      <c r="D194" t="s">
        <v>117</v>
      </c>
      <c r="T194" s="1056" t="s">
        <v>481</v>
      </c>
      <c r="U194" s="1056"/>
      <c r="W194" t="s">
        <v>62</v>
      </c>
      <c r="AI194" s="1098" t="s">
        <v>481</v>
      </c>
      <c r="AJ194" s="1098"/>
      <c r="AX194" s="5" t="s">
        <v>123</v>
      </c>
      <c r="BC194" t="s">
        <v>613</v>
      </c>
      <c r="BN194" s="30" t="s">
        <v>751</v>
      </c>
      <c r="BT194" t="s">
        <v>113</v>
      </c>
    </row>
    <row r="195" spans="1:73" ht="13.2" customHeight="1">
      <c r="C195" s="29"/>
      <c r="D195" s="41" t="s">
        <v>1732</v>
      </c>
      <c r="T195" s="1056" t="s">
        <v>481</v>
      </c>
      <c r="U195" s="1056"/>
      <c r="X195" s="796" t="s">
        <v>2104</v>
      </c>
      <c r="AX195" s="5" t="s">
        <v>1148</v>
      </c>
      <c r="BN195" s="30" t="s">
        <v>752</v>
      </c>
      <c r="BT195" t="s">
        <v>114</v>
      </c>
    </row>
    <row r="196" spans="1:73" ht="13.2" customHeight="1">
      <c r="C196" s="29"/>
      <c r="D196" s="5" t="s">
        <v>1153</v>
      </c>
      <c r="T196" s="1056" t="s">
        <v>481</v>
      </c>
      <c r="U196" s="1056"/>
      <c r="AK196" s="1487"/>
      <c r="AL196" s="1487"/>
      <c r="AX196" s="41" t="s">
        <v>2197</v>
      </c>
      <c r="BN196" s="30" t="s">
        <v>753</v>
      </c>
      <c r="BT196" t="s">
        <v>115</v>
      </c>
    </row>
    <row r="197" spans="1:73" ht="13.2" customHeight="1">
      <c r="C197" s="29"/>
      <c r="D197" s="41" t="s">
        <v>1885</v>
      </c>
      <c r="T197" s="1098" t="s">
        <v>481</v>
      </c>
      <c r="U197" s="1098"/>
      <c r="AX197" s="5" t="s">
        <v>1149</v>
      </c>
      <c r="BC197" t="s">
        <v>78</v>
      </c>
      <c r="BN197" s="30" t="s">
        <v>754</v>
      </c>
      <c r="BT197" t="s">
        <v>116</v>
      </c>
    </row>
    <row r="198" spans="1:73" ht="13.2" customHeight="1">
      <c r="C198" s="29"/>
      <c r="D198" s="41" t="s">
        <v>1913</v>
      </c>
      <c r="W198" s="1397" t="s">
        <v>481</v>
      </c>
      <c r="X198" s="1098"/>
      <c r="AX198" s="5" t="s">
        <v>1150</v>
      </c>
      <c r="BC198" t="s">
        <v>1101</v>
      </c>
      <c r="BN198" s="30" t="s">
        <v>755</v>
      </c>
      <c r="BT198" t="s">
        <v>801</v>
      </c>
    </row>
    <row r="199" spans="1:73" ht="13.2" customHeight="1">
      <c r="C199" s="29"/>
      <c r="L199" s="309"/>
      <c r="M199" s="309"/>
      <c r="N199" s="309"/>
      <c r="O199" s="309"/>
      <c r="P199" s="309"/>
      <c r="Q199" s="921" t="s">
        <v>2105</v>
      </c>
      <c r="R199" s="1103" t="s">
        <v>2019</v>
      </c>
      <c r="S199" s="1103"/>
      <c r="T199" s="1103"/>
      <c r="U199" s="1103"/>
      <c r="V199" s="1103"/>
      <c r="W199" s="1103"/>
      <c r="X199" s="1103"/>
      <c r="Y199" s="1103"/>
      <c r="Z199" s="1103"/>
      <c r="AA199" s="1103"/>
      <c r="AB199" s="1103"/>
      <c r="AH199" s="1"/>
      <c r="AI199" s="1"/>
      <c r="AX199" s="5" t="s">
        <v>1151</v>
      </c>
      <c r="BC199" s="5" t="s">
        <v>1102</v>
      </c>
      <c r="BN199" s="30" t="s">
        <v>756</v>
      </c>
      <c r="BO199" s="39"/>
      <c r="BP199" s="40"/>
      <c r="BQ199" s="40"/>
      <c r="BR199" s="40"/>
      <c r="BS199" s="40"/>
      <c r="BT199" s="40" t="s">
        <v>802</v>
      </c>
    </row>
    <row r="200" spans="1:73" ht="13.2" customHeight="1">
      <c r="C200" s="29"/>
      <c r="D200" t="s">
        <v>558</v>
      </c>
      <c r="AH200" s="1"/>
      <c r="AI200" s="1"/>
      <c r="AX200" s="41" t="s">
        <v>2288</v>
      </c>
      <c r="BC200" s="41" t="s">
        <v>2054</v>
      </c>
      <c r="BN200" s="266" t="s">
        <v>656</v>
      </c>
      <c r="BO200" s="21"/>
      <c r="BP200" s="40"/>
      <c r="BQ200" s="40"/>
      <c r="BR200" s="40"/>
      <c r="BS200" s="40"/>
      <c r="BT200" s="40" t="s">
        <v>803</v>
      </c>
    </row>
    <row r="201" spans="1:73" ht="13.2" customHeight="1">
      <c r="C201" s="29"/>
      <c r="G201" s="894" t="s">
        <v>2020</v>
      </c>
      <c r="AX201" s="41" t="s">
        <v>2053</v>
      </c>
      <c r="BC201" t="s">
        <v>859</v>
      </c>
      <c r="BN201" s="30" t="s">
        <v>657</v>
      </c>
      <c r="BO201" s="21"/>
      <c r="BP201" s="40"/>
      <c r="BQ201" s="40"/>
      <c r="BR201" s="40"/>
      <c r="BS201" s="40"/>
      <c r="BT201" s="40" t="s">
        <v>804</v>
      </c>
    </row>
    <row r="202" spans="1:73" ht="13.2" customHeight="1">
      <c r="A202" s="3" t="s">
        <v>118</v>
      </c>
      <c r="C202" s="3" t="s">
        <v>1147</v>
      </c>
      <c r="AX202" s="5" t="s">
        <v>1152</v>
      </c>
      <c r="BC202" t="s">
        <v>1434</v>
      </c>
      <c r="BN202" s="30" t="s">
        <v>658</v>
      </c>
      <c r="BT202" s="40" t="s">
        <v>805</v>
      </c>
      <c r="BU202" s="21"/>
    </row>
    <row r="203" spans="1:73" ht="13.2" customHeight="1">
      <c r="D203" s="1260" t="str">
        <f>IF(AND(M25&gt;0,M27&gt;0),"Federal and State","Federal Only")</f>
        <v>Federal and State</v>
      </c>
      <c r="E203" s="1260"/>
      <c r="F203" s="1260"/>
      <c r="G203" s="1260"/>
      <c r="H203" s="1260"/>
      <c r="I203" s="1260"/>
      <c r="J203" s="1260"/>
      <c r="K203" s="1260"/>
      <c r="L203" s="1260"/>
      <c r="M203" s="1260"/>
      <c r="P203" s="1491">
        <f>M25</f>
        <v>2500000</v>
      </c>
      <c r="Q203" s="1491"/>
      <c r="R203" s="1491"/>
      <c r="S203" s="1491"/>
      <c r="T203" s="1491"/>
      <c r="U203" s="1491"/>
      <c r="W203" s="1491">
        <f>M27</f>
        <v>8555188</v>
      </c>
      <c r="X203" s="1491"/>
      <c r="Y203" s="1491"/>
      <c r="Z203" s="1491"/>
      <c r="AA203" s="1491"/>
      <c r="AB203" s="1491"/>
      <c r="AV203" t="s">
        <v>123</v>
      </c>
      <c r="AX203" s="5" t="s">
        <v>562</v>
      </c>
      <c r="BC203" t="s">
        <v>1432</v>
      </c>
      <c r="BN203" s="30" t="s">
        <v>659</v>
      </c>
      <c r="BT203" s="40" t="s">
        <v>806</v>
      </c>
      <c r="BU203" s="21"/>
    </row>
    <row r="204" spans="1:73" ht="13.2" customHeight="1">
      <c r="C204" s="29"/>
      <c r="P204" s="1409" t="s">
        <v>174</v>
      </c>
      <c r="Q204" s="1409"/>
      <c r="R204" s="1409"/>
      <c r="S204" s="1409"/>
      <c r="T204" s="1409"/>
      <c r="U204" s="1409"/>
      <c r="V204" s="36"/>
      <c r="W204" s="1409" t="s">
        <v>175</v>
      </c>
      <c r="X204" s="1409"/>
      <c r="Y204" s="1409"/>
      <c r="Z204" s="1409"/>
      <c r="AA204" s="1409"/>
      <c r="AB204" s="1409"/>
      <c r="AV204" t="s">
        <v>107</v>
      </c>
      <c r="AX204" s="5" t="s">
        <v>662</v>
      </c>
      <c r="BC204" t="s">
        <v>858</v>
      </c>
      <c r="BN204" s="30" t="s">
        <v>660</v>
      </c>
      <c r="BT204" s="40" t="s">
        <v>807</v>
      </c>
      <c r="BU204" s="21"/>
    </row>
    <row r="205" spans="1:73" ht="13.2" customHeight="1" thickBot="1">
      <c r="D205" s="464" t="s">
        <v>176</v>
      </c>
      <c r="E205" s="37"/>
      <c r="F205" s="37"/>
      <c r="G205" s="37"/>
      <c r="H205" s="37"/>
      <c r="I205" s="37"/>
      <c r="J205" s="37"/>
      <c r="K205" s="37"/>
      <c r="L205" s="37"/>
      <c r="M205" s="37"/>
      <c r="N205" s="37"/>
      <c r="O205" s="37"/>
      <c r="P205" s="37"/>
      <c r="AV205" t="s">
        <v>481</v>
      </c>
      <c r="AX205" s="5" t="s">
        <v>1373</v>
      </c>
      <c r="BC205" t="s">
        <v>136</v>
      </c>
      <c r="BN205" s="30" t="s">
        <v>895</v>
      </c>
      <c r="BT205" s="40" t="s">
        <v>843</v>
      </c>
    </row>
    <row r="206" spans="1:73" ht="13.2" customHeight="1">
      <c r="X206" s="799"/>
      <c r="Y206" s="800"/>
      <c r="Z206" s="800"/>
      <c r="AA206" s="800"/>
      <c r="AB206" s="800"/>
      <c r="AC206" s="800"/>
      <c r="AD206" s="800"/>
      <c r="AE206" s="800"/>
      <c r="AF206" s="800"/>
      <c r="AG206" s="800"/>
      <c r="AH206" s="800"/>
      <c r="AI206" s="800"/>
      <c r="AJ206" s="800"/>
      <c r="AK206" s="801"/>
      <c r="BC206" s="180" t="s">
        <v>1435</v>
      </c>
      <c r="BN206" s="30" t="s">
        <v>896</v>
      </c>
      <c r="BT206" s="40" t="s">
        <v>808</v>
      </c>
    </row>
    <row r="207" spans="1:73" ht="13.2" customHeight="1">
      <c r="A207" s="3" t="s">
        <v>121</v>
      </c>
      <c r="C207" s="3" t="s">
        <v>800</v>
      </c>
      <c r="X207" s="802"/>
      <c r="Y207" s="913"/>
      <c r="Z207" s="803"/>
      <c r="AA207" s="803"/>
      <c r="AB207" s="803"/>
      <c r="AC207" s="803"/>
      <c r="AD207" s="803"/>
      <c r="AE207" s="803"/>
      <c r="AF207" s="803"/>
      <c r="AG207" s="803"/>
      <c r="AH207" s="803"/>
      <c r="AI207" s="803"/>
      <c r="AJ207" s="803"/>
      <c r="AK207" s="804"/>
      <c r="BC207" t="s">
        <v>2289</v>
      </c>
      <c r="BN207" s="30" t="s">
        <v>1</v>
      </c>
      <c r="BT207" s="40" t="s">
        <v>809</v>
      </c>
    </row>
    <row r="208" spans="1:73" ht="13.2" customHeight="1">
      <c r="C208" s="29"/>
      <c r="D208" s="1393" t="s">
        <v>2328</v>
      </c>
      <c r="E208" s="1393"/>
      <c r="F208" s="1393"/>
      <c r="G208" s="1393"/>
      <c r="H208" s="1393"/>
      <c r="I208" s="1393"/>
      <c r="J208" s="1393"/>
      <c r="K208" s="1393"/>
      <c r="L208" s="1393"/>
      <c r="M208" s="1393"/>
      <c r="X208" s="802"/>
      <c r="Y208" s="914"/>
      <c r="Z208" s="803"/>
      <c r="AA208" s="803"/>
      <c r="AB208" s="803"/>
      <c r="AC208" s="803"/>
      <c r="AD208" s="803"/>
      <c r="AE208" s="803"/>
      <c r="AF208" s="803"/>
      <c r="AG208" s="803"/>
      <c r="AH208" s="803"/>
      <c r="AI208" s="803"/>
      <c r="AJ208" s="803"/>
      <c r="AK208" s="804"/>
      <c r="BC208" t="s">
        <v>1433</v>
      </c>
      <c r="BN208" s="30" t="s">
        <v>2</v>
      </c>
      <c r="BT208" s="40" t="s">
        <v>810</v>
      </c>
    </row>
    <row r="209" spans="1:72" ht="13.2" customHeight="1">
      <c r="C209" s="12"/>
      <c r="X209" s="802"/>
      <c r="Y209" s="914"/>
      <c r="Z209" s="803"/>
      <c r="AA209" s="803"/>
      <c r="AB209" s="803"/>
      <c r="AC209" s="803"/>
      <c r="AD209" s="803"/>
      <c r="AE209" s="803"/>
      <c r="AF209" s="803"/>
      <c r="AG209" s="803"/>
      <c r="AH209" s="803"/>
      <c r="AI209" s="803"/>
      <c r="AJ209" s="803"/>
      <c r="AK209" s="804"/>
      <c r="BC209" t="s">
        <v>73</v>
      </c>
      <c r="BN209" s="30" t="s">
        <v>3</v>
      </c>
      <c r="BT209" s="40" t="s">
        <v>811</v>
      </c>
    </row>
    <row r="210" spans="1:72" ht="13.2" customHeight="1">
      <c r="A210" s="3" t="s">
        <v>122</v>
      </c>
      <c r="C210" s="3" t="s">
        <v>1146</v>
      </c>
      <c r="X210" s="802"/>
      <c r="Y210" s="914"/>
      <c r="Z210" s="803"/>
      <c r="AA210" s="803"/>
      <c r="AB210" s="803"/>
      <c r="AC210" s="803"/>
      <c r="AD210" s="803"/>
      <c r="AE210" s="803"/>
      <c r="AF210" s="803"/>
      <c r="AG210" s="803"/>
      <c r="AH210" s="803"/>
      <c r="AI210" s="803"/>
      <c r="AJ210" s="803"/>
      <c r="AK210" s="804"/>
      <c r="BN210" s="30" t="s">
        <v>4</v>
      </c>
      <c r="BT210" s="40" t="s">
        <v>812</v>
      </c>
    </row>
    <row r="211" spans="1:72" ht="13.2" customHeight="1">
      <c r="C211" s="29"/>
      <c r="D211" s="1103" t="s">
        <v>2053</v>
      </c>
      <c r="E211" s="1393"/>
      <c r="F211" s="1393"/>
      <c r="G211" s="1393"/>
      <c r="H211" s="1393"/>
      <c r="I211" s="1393"/>
      <c r="J211" s="1393"/>
      <c r="K211" s="1393"/>
      <c r="L211" s="1393"/>
      <c r="M211" s="1393"/>
      <c r="N211" s="1393"/>
      <c r="O211" s="1393"/>
      <c r="P211" s="1393"/>
      <c r="X211" s="802"/>
      <c r="Y211" s="1483" t="s">
        <v>481</v>
      </c>
      <c r="Z211" s="1483"/>
      <c r="AA211" s="803"/>
      <c r="AB211" s="803"/>
      <c r="AC211" s="803"/>
      <c r="AD211" s="803"/>
      <c r="AE211" s="803"/>
      <c r="AF211" s="803"/>
      <c r="AG211" s="803"/>
      <c r="AH211" s="803"/>
      <c r="AI211" s="803"/>
      <c r="AJ211" s="803"/>
      <c r="AK211" s="804"/>
      <c r="BN211" s="30" t="s">
        <v>21</v>
      </c>
      <c r="BT211" s="40" t="s">
        <v>22</v>
      </c>
    </row>
    <row r="212" spans="1:72" ht="13.2" customHeight="1" thickBot="1">
      <c r="X212" s="807"/>
      <c r="Y212" s="805"/>
      <c r="Z212" s="805"/>
      <c r="AA212" s="805"/>
      <c r="AB212" s="805"/>
      <c r="AC212" s="805"/>
      <c r="AD212" s="805"/>
      <c r="AE212" s="805"/>
      <c r="AF212" s="805"/>
      <c r="AG212" s="805"/>
      <c r="AH212" s="805"/>
      <c r="AI212" s="805"/>
      <c r="AJ212" s="805"/>
      <c r="AK212" s="806"/>
      <c r="AX212" t="s">
        <v>78</v>
      </c>
      <c r="BC212" t="s">
        <v>78</v>
      </c>
      <c r="BN212" s="30" t="s">
        <v>5</v>
      </c>
      <c r="BT212" s="40" t="s">
        <v>813</v>
      </c>
    </row>
    <row r="213" spans="1:72" ht="13.2" customHeight="1">
      <c r="A213" s="3" t="s">
        <v>124</v>
      </c>
      <c r="C213" s="3" t="s">
        <v>1423</v>
      </c>
      <c r="AX213" t="s">
        <v>2016</v>
      </c>
      <c r="BC213" t="s">
        <v>624</v>
      </c>
      <c r="BN213" s="30" t="s">
        <v>6</v>
      </c>
      <c r="BT213" s="40" t="s">
        <v>814</v>
      </c>
    </row>
    <row r="214" spans="1:72" ht="13.2" customHeight="1">
      <c r="C214" s="29"/>
      <c r="D214" s="1393" t="s">
        <v>661</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2017</v>
      </c>
      <c r="BC214" t="s">
        <v>628</v>
      </c>
      <c r="BN214" s="30" t="s">
        <v>442</v>
      </c>
      <c r="BT214" s="40" t="s">
        <v>815</v>
      </c>
    </row>
    <row r="215" spans="1:72" ht="13.2" customHeight="1">
      <c r="D215" s="35"/>
      <c r="E215" s="41" t="s">
        <v>2100</v>
      </c>
      <c r="AC215" s="1489"/>
      <c r="AD215" s="1489"/>
      <c r="AF215" s="1486">
        <f>IFERROR(AC215/AG433,"")</f>
        <v>0</v>
      </c>
      <c r="AG215" s="1486"/>
      <c r="AX215" t="s">
        <v>2018</v>
      </c>
      <c r="BC215" t="s">
        <v>625</v>
      </c>
    </row>
    <row r="216" spans="1:72" ht="13.2" customHeight="1">
      <c r="D216" s="35"/>
      <c r="E216" s="937" t="s">
        <v>1430</v>
      </c>
      <c r="AX216" t="s">
        <v>2019</v>
      </c>
      <c r="BC216" t="s">
        <v>742</v>
      </c>
    </row>
    <row r="217" spans="1:72" ht="13.2" customHeight="1">
      <c r="E217" s="1406" t="s">
        <v>123</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2021</v>
      </c>
      <c r="BC217" t="s">
        <v>626</v>
      </c>
    </row>
    <row r="218" spans="1:72" ht="13.2" customHeight="1">
      <c r="E218" s="41" t="s">
        <v>1957</v>
      </c>
      <c r="AA218" s="49"/>
      <c r="AC218" s="1362"/>
      <c r="AD218" s="1362"/>
      <c r="AE218" s="1362"/>
      <c r="AF218" s="1362"/>
      <c r="AG218" s="1362"/>
      <c r="AH218" s="1362"/>
      <c r="AI218" s="1362"/>
      <c r="AJ218" s="1362"/>
      <c r="AK218" s="1362"/>
      <c r="AL218" s="1362"/>
      <c r="AM218" s="1362"/>
      <c r="BC218" t="s">
        <v>627</v>
      </c>
      <c r="BI218" s="39"/>
    </row>
    <row r="219" spans="1:72" ht="13.2" customHeight="1">
      <c r="E219" s="41" t="s">
        <v>1958</v>
      </c>
      <c r="AA219" s="49"/>
      <c r="AC219" s="1362"/>
      <c r="AD219" s="1362"/>
      <c r="AE219" s="1362"/>
      <c r="AF219" s="1362"/>
      <c r="AG219" s="1362"/>
      <c r="AH219" s="1362"/>
      <c r="AI219" s="1362"/>
      <c r="AJ219" s="1362"/>
      <c r="AK219" s="1362"/>
      <c r="AL219" s="1362"/>
      <c r="AM219" s="1362"/>
      <c r="BC219" t="s">
        <v>493</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2" customHeight="1">
      <c r="A221" s="3" t="s">
        <v>366</v>
      </c>
      <c r="C221" s="3" t="s">
        <v>1755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103" t="s">
        <v>1433</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3.2" customHeight="1">
      <c r="AJ224" s="5"/>
    </row>
    <row r="225" spans="1:59" ht="13.2" customHeight="1">
      <c r="D225" t="s">
        <v>555</v>
      </c>
      <c r="O225" s="1098">
        <v>4</v>
      </c>
      <c r="P225" s="1098"/>
    </row>
    <row r="226" spans="1:59" ht="13.2" customHeight="1">
      <c r="D226" t="s">
        <v>556</v>
      </c>
      <c r="O226" s="1098">
        <v>4</v>
      </c>
      <c r="P226" s="1098"/>
      <c r="BB226" s="5" t="s">
        <v>636</v>
      </c>
      <c r="BG226" s="409">
        <f>IF(AND(AND($M$251="for profit",$M$259="for profit",$M$267="nonprofit")),2,0)</f>
        <v>0</v>
      </c>
    </row>
    <row r="227" spans="1:59" ht="13.2" customHeight="1">
      <c r="D227" t="s">
        <v>557</v>
      </c>
      <c r="O227" s="1098">
        <v>3</v>
      </c>
      <c r="P227" s="1098"/>
      <c r="BB227" s="5" t="s">
        <v>636</v>
      </c>
      <c r="BG227" s="409">
        <f>IF(AND(AND($M$251="for profit",$M$259="nonprofit",$M$267="for profit")),2,0)</f>
        <v>0</v>
      </c>
    </row>
    <row r="228" spans="1:59" ht="13.2" customHeight="1">
      <c r="D228" t="s">
        <v>558</v>
      </c>
      <c r="BB228" t="s">
        <v>636</v>
      </c>
      <c r="BG228" s="409">
        <f>IF(AND(AND($M$251="nonprofit",$M$259="for profit",$M$267="for profit")),2,0)</f>
        <v>0</v>
      </c>
    </row>
    <row r="229" spans="1:59" ht="13.2" customHeight="1">
      <c r="D229" s="360" t="s">
        <v>1176</v>
      </c>
      <c r="U229" s="360" t="s">
        <v>1177</v>
      </c>
      <c r="BB229" t="s">
        <v>636</v>
      </c>
      <c r="BG229" s="409">
        <f>IF(AND(AND($M$251="for profit",$M$259="nonprofit",$M$267="(select one)")),2,0)</f>
        <v>0</v>
      </c>
    </row>
    <row r="230" spans="1:59" ht="13.2" customHeight="1">
      <c r="BB230" t="s">
        <v>636</v>
      </c>
      <c r="BG230" s="410">
        <f>IF(AND(AND($M$251="nonprofit",$M$259="for profit",$M$267="(select one)")),2,0)</f>
        <v>0</v>
      </c>
    </row>
    <row r="231" spans="1:59" ht="13.2" customHeight="1">
      <c r="A231" s="1083" t="s">
        <v>494</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3.2"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636</v>
      </c>
      <c r="BC232" s="3"/>
      <c r="BD232" s="3"/>
      <c r="BE232" s="3"/>
      <c r="BF232" s="3"/>
      <c r="BG232" s="193">
        <f>IF(AND(AND($M$251="nonprofit",$M$259="nonprofit",$M$267="for profit")),2,0)</f>
        <v>0</v>
      </c>
    </row>
    <row r="233" spans="1:59" ht="13.2"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3">
        <f>IF(AND(AND($M$251="nonprofit",$M$259="for profit",$M$267="nonprofit")),2,0)</f>
        <v>0</v>
      </c>
    </row>
    <row r="234" spans="1:59" ht="13.2"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2" customHeight="1">
      <c r="D235" s="5" t="s">
        <v>370</v>
      </c>
      <c r="E235" s="5"/>
      <c r="F235" s="5"/>
      <c r="G235" s="5"/>
      <c r="H235" s="5"/>
      <c r="I235" s="5"/>
      <c r="J235" s="5"/>
      <c r="K235" s="5"/>
      <c r="M235" s="1408" t="str">
        <f>H15</f>
        <v>MidPen Housing Corporation</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3.2" customHeight="1">
      <c r="D236" s="5" t="s">
        <v>371</v>
      </c>
      <c r="E236" s="5"/>
      <c r="F236" s="5"/>
      <c r="G236" s="5"/>
      <c r="H236" s="5"/>
      <c r="I236" s="5"/>
      <c r="J236" s="5"/>
      <c r="K236" s="5"/>
      <c r="M236" s="1393" t="s">
        <v>2329</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635</v>
      </c>
      <c r="BG236" s="409">
        <f>IF(AND(AND($M$251="nonprofit",$M$259="nonprofit",$M$267="nonprofit")),1,0)</f>
        <v>0</v>
      </c>
    </row>
    <row r="237" spans="1:59" ht="13.2" customHeight="1">
      <c r="D237" s="5" t="s">
        <v>429</v>
      </c>
      <c r="E237" s="5"/>
      <c r="M237" s="1393" t="s">
        <v>2321</v>
      </c>
      <c r="N237" s="1393"/>
      <c r="O237" s="1393"/>
      <c r="P237" s="1393"/>
      <c r="Q237" s="1393"/>
      <c r="R237" s="1393"/>
      <c r="S237" s="1393"/>
      <c r="T237" s="1393"/>
      <c r="V237" s="42" t="s">
        <v>372</v>
      </c>
      <c r="W237" s="1352" t="s">
        <v>2330</v>
      </c>
      <c r="X237" s="1259"/>
      <c r="Y237" s="5" t="s">
        <v>432</v>
      </c>
      <c r="AC237" s="1393">
        <v>94404</v>
      </c>
      <c r="AD237" s="1393"/>
      <c r="AE237" s="1393"/>
      <c r="AN237" s="41"/>
      <c r="BB237" t="s">
        <v>635</v>
      </c>
      <c r="BG237" s="409">
        <f>IF(AND(AND($M$251="nonprofit",$M$259="nonprofit",$M$267="(select one)")),1,0)</f>
        <v>0</v>
      </c>
    </row>
    <row r="238" spans="1:59" ht="13.2" customHeight="1">
      <c r="D238" s="5" t="s">
        <v>373</v>
      </c>
      <c r="E238" s="5"/>
      <c r="F238" s="5"/>
      <c r="G238" s="5"/>
      <c r="H238" s="5"/>
      <c r="I238" s="5"/>
      <c r="J238" s="5"/>
      <c r="K238" s="28"/>
      <c r="M238" s="1393" t="s">
        <v>2322</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635</v>
      </c>
      <c r="BG238" s="409">
        <f>IF(AND(AND($M$251="nonprofit",$M$259="(select one)",$M$267="(select one)")),1,0)</f>
        <v>1</v>
      </c>
    </row>
    <row r="239" spans="1:59" ht="13.2" customHeight="1">
      <c r="D239" s="5" t="s">
        <v>374</v>
      </c>
      <c r="E239" s="5"/>
      <c r="F239" s="5"/>
      <c r="M239" s="1264" t="s">
        <v>2331</v>
      </c>
      <c r="N239" s="1264"/>
      <c r="O239" s="1264"/>
      <c r="P239" s="1264"/>
      <c r="Q239" s="1264"/>
      <c r="R239" s="1264"/>
      <c r="S239" s="5" t="s">
        <v>816</v>
      </c>
      <c r="T239" s="5"/>
      <c r="U239" s="1259"/>
      <c r="V239" s="1259"/>
      <c r="W239" s="1259"/>
      <c r="X239" s="5" t="s">
        <v>375</v>
      </c>
      <c r="Z239" s="1264"/>
      <c r="AA239" s="1264"/>
      <c r="AB239" s="1264"/>
      <c r="AC239" s="1264"/>
      <c r="AD239" s="1264"/>
      <c r="AE239" s="1264"/>
      <c r="AM239" s="41"/>
      <c r="AN239" s="41"/>
      <c r="BB239" t="s">
        <v>1007</v>
      </c>
      <c r="BG239" s="409">
        <f>IF(AND(AND($M$251="for profit",$M$259="for profit",$M$267="for profit")),3,0)</f>
        <v>0</v>
      </c>
    </row>
    <row r="240" spans="1:59" ht="13.2" customHeight="1">
      <c r="D240" s="5" t="s">
        <v>376</v>
      </c>
      <c r="E240" s="5"/>
      <c r="F240" s="5"/>
      <c r="M240" s="1474" t="s">
        <v>2332</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1007</v>
      </c>
      <c r="BG240" s="410">
        <f>IF(AND(AND($M$251="for profit",$M$259="for profit",$M$267="(select one)")),3,0)</f>
        <v>0</v>
      </c>
    </row>
    <row r="241" spans="1:67" ht="13.2" customHeight="1">
      <c r="A241" s="3" t="s">
        <v>8</v>
      </c>
      <c r="C241" s="3" t="s">
        <v>623</v>
      </c>
      <c r="M241" s="1258" t="s">
        <v>493</v>
      </c>
      <c r="N241" s="1258"/>
      <c r="O241" s="1258"/>
      <c r="P241" s="1258"/>
      <c r="Q241" s="1258"/>
      <c r="R241" s="1258"/>
      <c r="S241" s="1258"/>
      <c r="T241" s="1258"/>
      <c r="U241" s="5" t="s">
        <v>1142</v>
      </c>
      <c r="AA241" s="1404" t="s">
        <v>2319</v>
      </c>
      <c r="AB241" s="1405"/>
      <c r="AC241" s="1405"/>
      <c r="AD241" s="1405"/>
      <c r="AE241" s="1405"/>
      <c r="AF241" s="1405"/>
      <c r="AG241" s="1405"/>
      <c r="AH241" s="1405"/>
      <c r="AI241" s="1405"/>
      <c r="AJ241" s="1405"/>
      <c r="AK241" s="1405"/>
      <c r="AL241" s="41"/>
      <c r="AM241" s="5"/>
      <c r="AN241" s="41"/>
      <c r="AO241" s="41"/>
      <c r="BB241" t="s">
        <v>1007</v>
      </c>
      <c r="BG241" s="410">
        <f>IF(AND(AND($M$251="for profit",$M$259="(select one)",$M$267="(select one)")),3,0)</f>
        <v>0</v>
      </c>
    </row>
    <row r="242" spans="1:67" ht="13.2" customHeight="1">
      <c r="D242" t="s">
        <v>629</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8" t="str">
        <f>IF(AND(M241="other",M242=""),"!","")</f>
        <v/>
      </c>
      <c r="AG242" s="938"/>
      <c r="AH242" s="5"/>
      <c r="AI242" s="5"/>
      <c r="AJ242" s="5"/>
      <c r="AK242" s="41"/>
      <c r="AL242" s="41"/>
    </row>
    <row r="243" spans="1:67" ht="13.2" customHeight="1">
      <c r="D243" s="5"/>
      <c r="AM243" s="5"/>
    </row>
    <row r="244" spans="1:67" ht="13.2" customHeight="1">
      <c r="A244" s="3" t="s">
        <v>118</v>
      </c>
      <c r="C244" s="3" t="s">
        <v>631</v>
      </c>
      <c r="D244" s="5"/>
      <c r="L244" s="12"/>
      <c r="M244" s="12"/>
      <c r="N244" s="12"/>
      <c r="AN244" s="41"/>
      <c r="BB244" t="s">
        <v>78</v>
      </c>
      <c r="BH244">
        <v>1</v>
      </c>
      <c r="BI244" t="s">
        <v>632</v>
      </c>
    </row>
    <row r="245" spans="1:67" ht="13.2" customHeight="1">
      <c r="A245" s="28"/>
      <c r="C245" s="62" t="s">
        <v>1466</v>
      </c>
      <c r="D245" s="5" t="s">
        <v>630</v>
      </c>
      <c r="E245" s="5"/>
      <c r="F245" s="5"/>
      <c r="G245" s="5"/>
      <c r="H245" s="5"/>
      <c r="I245" s="5"/>
      <c r="J245" s="5"/>
      <c r="K245" s="5"/>
      <c r="L245" s="5"/>
      <c r="M245" s="1400" t="s">
        <v>2333</v>
      </c>
      <c r="N245" s="1400"/>
      <c r="O245" s="1400"/>
      <c r="P245" s="1400"/>
      <c r="Q245" s="1400"/>
      <c r="R245" s="1400"/>
      <c r="S245" s="1400"/>
      <c r="T245" s="1400"/>
      <c r="U245" s="1400"/>
      <c r="V245" s="1400"/>
      <c r="W245" s="1400"/>
      <c r="X245" s="1400"/>
      <c r="Y245" s="1400"/>
      <c r="Z245" s="1400"/>
      <c r="AA245" s="1400"/>
      <c r="AB245" s="1400"/>
      <c r="AC245" s="1400"/>
      <c r="AD245" s="1400"/>
      <c r="AE245" s="1400"/>
      <c r="AF245" s="1473" t="s">
        <v>2334</v>
      </c>
      <c r="AG245" s="1473"/>
      <c r="AH245" s="1473"/>
      <c r="AI245" s="1473"/>
      <c r="AJ245" s="1473"/>
      <c r="AK245" s="1473"/>
      <c r="AM245" s="5"/>
      <c r="AN245" s="41"/>
      <c r="BB245" s="5" t="s">
        <v>890</v>
      </c>
      <c r="BH245">
        <v>2</v>
      </c>
      <c r="BI245" t="s">
        <v>742</v>
      </c>
      <c r="BO245" s="411" t="str">
        <f>IFERROR(VLOOKUP(AZ260,BH244:BI246,2,FALSE),"")</f>
        <v>Nonprofit</v>
      </c>
    </row>
    <row r="246" spans="1:67" ht="13.2" customHeight="1">
      <c r="A246" s="28"/>
      <c r="B246" s="5"/>
      <c r="C246" s="5"/>
      <c r="D246" s="5" t="s">
        <v>371</v>
      </c>
      <c r="E246" s="5"/>
      <c r="F246" s="5"/>
      <c r="G246" s="5"/>
      <c r="H246" s="5"/>
      <c r="I246" s="5"/>
      <c r="J246" s="5"/>
      <c r="K246" s="5"/>
      <c r="L246" s="5"/>
      <c r="M246" s="1393" t="s">
        <v>2329</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453</v>
      </c>
      <c r="BH246">
        <v>3</v>
      </c>
      <c r="BI246" t="s">
        <v>634</v>
      </c>
    </row>
    <row r="247" spans="1:67" ht="13.2" customHeight="1">
      <c r="A247" s="28"/>
      <c r="B247" s="5"/>
      <c r="C247" s="5"/>
      <c r="D247" s="5" t="s">
        <v>429</v>
      </c>
      <c r="E247" s="5"/>
      <c r="M247" s="1393" t="s">
        <v>2321</v>
      </c>
      <c r="N247" s="1393"/>
      <c r="O247" s="1393"/>
      <c r="P247" s="1393"/>
      <c r="Q247" s="1393"/>
      <c r="R247" s="1393"/>
      <c r="S247" s="1393"/>
      <c r="T247" s="1393"/>
      <c r="V247" s="42" t="s">
        <v>372</v>
      </c>
      <c r="W247" s="1352" t="s">
        <v>2330</v>
      </c>
      <c r="X247" s="1259"/>
      <c r="Y247" s="5" t="s">
        <v>432</v>
      </c>
      <c r="AC247" s="1393">
        <v>94404</v>
      </c>
      <c r="AD247" s="1393"/>
      <c r="AE247" s="1393"/>
      <c r="AN247" s="41"/>
    </row>
    <row r="248" spans="1:67" ht="13.2" customHeight="1">
      <c r="A248" s="28"/>
      <c r="B248" s="5"/>
      <c r="C248" s="5"/>
      <c r="D248" s="5" t="s">
        <v>373</v>
      </c>
      <c r="E248" s="5"/>
      <c r="F248" s="5"/>
      <c r="G248" s="5"/>
      <c r="H248" s="5"/>
      <c r="I248" s="5"/>
      <c r="J248" s="5"/>
      <c r="K248" s="5"/>
      <c r="L248" s="28"/>
      <c r="M248" s="1393" t="s">
        <v>2322</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2" customHeight="1">
      <c r="A249" s="28"/>
      <c r="B249" s="5"/>
      <c r="C249" s="5"/>
      <c r="D249" s="5" t="s">
        <v>374</v>
      </c>
      <c r="E249" s="5"/>
      <c r="F249" s="5"/>
      <c r="M249" s="1264" t="s">
        <v>2331</v>
      </c>
      <c r="N249" s="1264"/>
      <c r="O249" s="1264"/>
      <c r="P249" s="1264"/>
      <c r="Q249" s="1264"/>
      <c r="R249" s="1264"/>
      <c r="S249" s="5" t="s">
        <v>816</v>
      </c>
      <c r="T249" s="5"/>
      <c r="U249" s="1259"/>
      <c r="V249" s="1259"/>
      <c r="W249" s="1259"/>
      <c r="X249" s="5" t="s">
        <v>375</v>
      </c>
      <c r="Z249" s="1264"/>
      <c r="AA249" s="1264"/>
      <c r="AB249" s="1264"/>
      <c r="AC249" s="1264"/>
      <c r="AD249" s="1264"/>
      <c r="AE249" s="1264"/>
      <c r="AM249" s="5"/>
      <c r="AN249" s="41"/>
    </row>
    <row r="250" spans="1:67" ht="13.2" customHeight="1">
      <c r="A250" s="28"/>
      <c r="B250" s="5"/>
      <c r="C250" s="5"/>
      <c r="D250" s="5" t="s">
        <v>376</v>
      </c>
      <c r="E250" s="5"/>
      <c r="F250" s="5"/>
      <c r="M250" s="1474" t="s">
        <v>2332</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3.2" customHeight="1">
      <c r="A251" s="18"/>
      <c r="B251" s="5"/>
      <c r="C251" s="62"/>
      <c r="D251" s="5" t="s">
        <v>633</v>
      </c>
      <c r="E251" s="5"/>
      <c r="F251" s="5"/>
      <c r="G251" s="5"/>
      <c r="H251" s="5"/>
      <c r="I251" s="5"/>
      <c r="J251" s="5"/>
      <c r="K251" s="5"/>
      <c r="L251" s="5"/>
      <c r="M251" s="1258" t="s">
        <v>632</v>
      </c>
      <c r="N251" s="1258"/>
      <c r="O251" s="1258"/>
      <c r="P251" s="1258"/>
      <c r="Q251" s="1258"/>
      <c r="R251" s="1258"/>
      <c r="S251" s="1258"/>
      <c r="T251" s="1258"/>
      <c r="U251" s="5" t="s">
        <v>1142</v>
      </c>
      <c r="AA251" s="1404" t="s">
        <v>2319</v>
      </c>
      <c r="AB251" s="1405"/>
      <c r="AC251" s="1405"/>
      <c r="AD251" s="1405"/>
      <c r="AE251" s="1405"/>
      <c r="AF251" s="1405"/>
      <c r="AG251" s="1405"/>
      <c r="AH251" s="1405"/>
      <c r="AI251" s="1405"/>
      <c r="AJ251" s="1405"/>
      <c r="AK251" s="1405"/>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1467</v>
      </c>
      <c r="D253" s="5" t="s">
        <v>1210</v>
      </c>
      <c r="E253" s="5"/>
      <c r="F253" s="5"/>
      <c r="G253" s="5"/>
      <c r="H253" s="5"/>
      <c r="I253" s="5"/>
      <c r="J253" s="5"/>
      <c r="K253" s="5"/>
      <c r="L253" s="5"/>
      <c r="M253" s="1400" t="s">
        <v>2335</v>
      </c>
      <c r="N253" s="1400"/>
      <c r="O253" s="1400"/>
      <c r="P253" s="1400"/>
      <c r="Q253" s="1400"/>
      <c r="R253" s="1400"/>
      <c r="S253" s="1400"/>
      <c r="T253" s="1400"/>
      <c r="U253" s="1400"/>
      <c r="V253" s="1400"/>
      <c r="W253" s="1400"/>
      <c r="X253" s="1400"/>
      <c r="Y253" s="1400"/>
      <c r="Z253" s="1400"/>
      <c r="AA253" s="1400"/>
      <c r="AB253" s="1400"/>
      <c r="AC253" s="1400"/>
      <c r="AD253" s="1400"/>
      <c r="AE253" s="1400"/>
      <c r="AF253" s="1473" t="s">
        <v>78</v>
      </c>
      <c r="AG253" s="1473"/>
      <c r="AH253" s="1473"/>
      <c r="AI253" s="1473"/>
      <c r="AJ253" s="1473"/>
      <c r="AK253" s="1473"/>
      <c r="AM253" s="5"/>
    </row>
    <row r="254" spans="1:67" ht="13.2" customHeight="1">
      <c r="A254" s="28"/>
      <c r="B254" s="5"/>
      <c r="C254" s="5"/>
      <c r="D254" s="5" t="s">
        <v>371</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2" customHeight="1">
      <c r="A255" s="28"/>
      <c r="B255" s="5"/>
      <c r="C255" s="5"/>
      <c r="D255" s="5" t="s">
        <v>429</v>
      </c>
      <c r="E255" s="5"/>
      <c r="M255" s="1393"/>
      <c r="N255" s="1393"/>
      <c r="O255" s="1393"/>
      <c r="P255" s="1393"/>
      <c r="Q255" s="1393"/>
      <c r="R255" s="1393"/>
      <c r="S255" s="1393"/>
      <c r="T255" s="1393"/>
      <c r="V255" s="42" t="s">
        <v>372</v>
      </c>
      <c r="W255" s="1259"/>
      <c r="X255" s="1259"/>
      <c r="Y255" s="5" t="s">
        <v>432</v>
      </c>
      <c r="AC255" s="1393"/>
      <c r="AD255" s="1393"/>
      <c r="AE255" s="1393"/>
    </row>
    <row r="256" spans="1:67" ht="13.2" customHeight="1">
      <c r="A256" s="28"/>
      <c r="B256" s="5"/>
      <c r="C256" s="5"/>
      <c r="D256" s="5" t="s">
        <v>373</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2" customHeight="1">
      <c r="A257" s="28"/>
      <c r="B257" s="5"/>
      <c r="C257" s="5"/>
      <c r="D257" s="5" t="s">
        <v>374</v>
      </c>
      <c r="E257" s="5"/>
      <c r="F257" s="5"/>
      <c r="M257" s="1264"/>
      <c r="N257" s="1264"/>
      <c r="O257" s="1264"/>
      <c r="P257" s="1264"/>
      <c r="Q257" s="1264"/>
      <c r="R257" s="1264"/>
      <c r="S257" s="5" t="s">
        <v>816</v>
      </c>
      <c r="T257" s="5"/>
      <c r="U257" s="1259"/>
      <c r="V257" s="1259"/>
      <c r="W257" s="1259"/>
      <c r="X257" s="5" t="s">
        <v>375</v>
      </c>
      <c r="Z257" s="1264"/>
      <c r="AA257" s="1264"/>
      <c r="AB257" s="1264"/>
      <c r="AC257" s="1264"/>
      <c r="AD257" s="1264"/>
      <c r="AE257" s="1264"/>
      <c r="BA257" s="43"/>
    </row>
    <row r="258" spans="1:53" ht="13.2" customHeight="1">
      <c r="A258" s="28"/>
      <c r="B258" s="5"/>
      <c r="C258" s="5"/>
      <c r="D258" s="5" t="s">
        <v>376</v>
      </c>
      <c r="E258" s="5"/>
      <c r="F258" s="5"/>
      <c r="M258" s="1474"/>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3.2" customHeight="1">
      <c r="A259" s="18"/>
      <c r="B259" s="5"/>
      <c r="C259" s="62"/>
      <c r="D259" s="5" t="s">
        <v>633</v>
      </c>
      <c r="E259" s="5"/>
      <c r="F259" s="5"/>
      <c r="G259" s="5"/>
      <c r="H259" s="5"/>
      <c r="I259" s="5"/>
      <c r="J259" s="5"/>
      <c r="K259" s="5"/>
      <c r="L259" s="5"/>
      <c r="M259" s="1258" t="s">
        <v>78</v>
      </c>
      <c r="N259" s="1258"/>
      <c r="O259" s="1258"/>
      <c r="P259" s="1258"/>
      <c r="Q259" s="1258"/>
      <c r="R259" s="1258"/>
      <c r="S259" s="1258"/>
      <c r="T259" s="1258"/>
      <c r="U259" s="5" t="s">
        <v>1142</v>
      </c>
      <c r="AA259" s="1405"/>
      <c r="AB259" s="1405"/>
      <c r="AC259" s="1405"/>
      <c r="AD259" s="1405"/>
      <c r="AE259" s="1405"/>
      <c r="AF259" s="1405"/>
      <c r="AG259" s="1405"/>
      <c r="AH259" s="1405"/>
      <c r="AI259" s="1405"/>
      <c r="AJ259" s="1405"/>
      <c r="AK259" s="1405"/>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2" customHeight="1">
      <c r="A261" s="18"/>
      <c r="B261" s="5"/>
      <c r="C261" s="62" t="s">
        <v>1883</v>
      </c>
      <c r="D261" s="5" t="s">
        <v>630</v>
      </c>
      <c r="E261" s="5"/>
      <c r="F261" s="5"/>
      <c r="G261" s="5"/>
      <c r="H261" s="5"/>
      <c r="I261" s="5"/>
      <c r="J261" s="5"/>
      <c r="K261" s="5"/>
      <c r="L261" s="5"/>
      <c r="M261" s="1400" t="s">
        <v>2335</v>
      </c>
      <c r="N261" s="1473"/>
      <c r="O261" s="1473"/>
      <c r="P261" s="1473"/>
      <c r="Q261" s="1473"/>
      <c r="R261" s="1473"/>
      <c r="S261" s="1473"/>
      <c r="T261" s="1473"/>
      <c r="U261" s="1473"/>
      <c r="V261" s="1473"/>
      <c r="W261" s="1473"/>
      <c r="X261" s="1473"/>
      <c r="Y261" s="1473"/>
      <c r="Z261" s="1473"/>
      <c r="AA261" s="1473"/>
      <c r="AB261" s="1473"/>
      <c r="AC261" s="1473"/>
      <c r="AD261" s="1473"/>
      <c r="AE261" s="1473"/>
      <c r="AF261" s="1473" t="s">
        <v>78</v>
      </c>
      <c r="AG261" s="1473"/>
      <c r="AH261" s="1473"/>
      <c r="AI261" s="1473"/>
      <c r="AJ261" s="1473"/>
      <c r="AK261" s="1473"/>
      <c r="AL261" s="41"/>
    </row>
    <row r="262" spans="1:53" ht="13.2" customHeight="1">
      <c r="A262" s="18"/>
      <c r="B262" s="5"/>
      <c r="C262" s="5"/>
      <c r="D262" s="5" t="s">
        <v>371</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2" customHeight="1">
      <c r="A263" s="18"/>
      <c r="B263" s="5"/>
      <c r="C263" s="5"/>
      <c r="D263" s="5" t="s">
        <v>429</v>
      </c>
      <c r="E263" s="5"/>
      <c r="M263" s="1393"/>
      <c r="N263" s="1393"/>
      <c r="O263" s="1393"/>
      <c r="P263" s="1393"/>
      <c r="Q263" s="1393"/>
      <c r="R263" s="1393"/>
      <c r="S263" s="1393"/>
      <c r="T263" s="1393"/>
      <c r="V263" s="42" t="s">
        <v>372</v>
      </c>
      <c r="W263" s="1259"/>
      <c r="X263" s="1259"/>
      <c r="Y263" s="5" t="s">
        <v>432</v>
      </c>
      <c r="AC263" s="1393"/>
      <c r="AD263" s="1393"/>
      <c r="AE263" s="1393"/>
      <c r="AL263" s="41"/>
      <c r="BA263" s="43"/>
    </row>
    <row r="264" spans="1:53" ht="13.2" customHeight="1">
      <c r="A264" s="18"/>
      <c r="B264" s="5"/>
      <c r="C264" s="5"/>
      <c r="D264" s="5" t="s">
        <v>373</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2" customHeight="1">
      <c r="A265" s="18"/>
      <c r="B265" s="5"/>
      <c r="C265" s="5"/>
      <c r="D265" s="5" t="s">
        <v>374</v>
      </c>
      <c r="E265" s="5"/>
      <c r="F265" s="5"/>
      <c r="M265" s="1264"/>
      <c r="N265" s="1264"/>
      <c r="O265" s="1264"/>
      <c r="P265" s="1264"/>
      <c r="Q265" s="1264"/>
      <c r="R265" s="1264"/>
      <c r="S265" s="5" t="s">
        <v>816</v>
      </c>
      <c r="T265" s="5"/>
      <c r="U265" s="1259"/>
      <c r="V265" s="1259"/>
      <c r="W265" s="1259"/>
      <c r="X265" s="5" t="s">
        <v>375</v>
      </c>
      <c r="Z265" s="1264"/>
      <c r="AA265" s="1264"/>
      <c r="AB265" s="1264"/>
      <c r="AC265" s="1264"/>
      <c r="AD265" s="1264"/>
      <c r="AE265" s="1264"/>
      <c r="AL265" s="41"/>
      <c r="BA265" s="43"/>
    </row>
    <row r="266" spans="1:53" ht="13.2" customHeight="1">
      <c r="A266" s="18"/>
      <c r="B266" s="5"/>
      <c r="C266" s="5"/>
      <c r="D266" s="5" t="s">
        <v>376</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3.2" customHeight="1">
      <c r="A267" s="18"/>
      <c r="B267" s="5"/>
      <c r="C267" s="62"/>
      <c r="D267" s="5" t="s">
        <v>633</v>
      </c>
      <c r="E267" s="5"/>
      <c r="F267" s="5"/>
      <c r="G267" s="5"/>
      <c r="H267" s="5"/>
      <c r="I267" s="5"/>
      <c r="J267" s="5"/>
      <c r="K267" s="5"/>
      <c r="L267" s="5"/>
      <c r="M267" s="1258" t="s">
        <v>78</v>
      </c>
      <c r="N267" s="1258"/>
      <c r="O267" s="1258"/>
      <c r="P267" s="1258"/>
      <c r="Q267" s="1258"/>
      <c r="R267" s="1258"/>
      <c r="S267" s="1258"/>
      <c r="T267" s="1258"/>
      <c r="U267" s="5" t="s">
        <v>1142</v>
      </c>
      <c r="AA267" s="1405"/>
      <c r="AB267" s="1405"/>
      <c r="AC267" s="1405"/>
      <c r="AD267" s="1405"/>
      <c r="AE267" s="1405"/>
      <c r="AF267" s="1405"/>
      <c r="AG267" s="1405"/>
      <c r="AH267" s="1405"/>
      <c r="AI267" s="1405"/>
      <c r="AJ267" s="1405"/>
      <c r="AK267" s="1405"/>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121</v>
      </c>
      <c r="B269" s="5"/>
      <c r="C269" s="3" t="s">
        <v>266</v>
      </c>
      <c r="D269" s="5"/>
      <c r="E269" s="5"/>
      <c r="F269" s="5"/>
      <c r="G269" s="5"/>
      <c r="H269" s="5"/>
      <c r="I269" s="5"/>
      <c r="J269" s="5"/>
      <c r="K269" s="5"/>
      <c r="L269" s="5"/>
      <c r="M269" s="44"/>
      <c r="N269" s="44"/>
      <c r="O269" s="44"/>
      <c r="P269" s="44"/>
      <c r="Q269" s="44"/>
      <c r="T269" s="1579" t="str">
        <f>BO245</f>
        <v>Nonprofit</v>
      </c>
      <c r="U269" s="1579"/>
      <c r="V269" s="1579"/>
      <c r="W269" s="1579"/>
      <c r="X269" s="1579"/>
      <c r="Z269" s="473" t="s">
        <v>1211</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74" t="s">
        <v>1208</v>
      </c>
      <c r="AF270" s="5"/>
      <c r="AG270" s="5"/>
      <c r="AH270" s="5"/>
      <c r="AI270" s="5"/>
      <c r="AJ270" s="5"/>
      <c r="AL270" s="71"/>
      <c r="BA270" s="43"/>
    </row>
    <row r="271" spans="1:53" ht="13.2"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5" t="s">
        <v>1209</v>
      </c>
      <c r="AA271" s="54"/>
      <c r="AB271" s="54"/>
      <c r="AC271" s="54"/>
      <c r="AD271" s="193"/>
      <c r="AE271" s="193"/>
      <c r="AF271" s="193"/>
      <c r="AG271" s="193"/>
      <c r="AH271" s="193"/>
      <c r="AI271" s="193"/>
      <c r="AJ271" s="193"/>
      <c r="AK271" s="409"/>
      <c r="AL271" s="476"/>
    </row>
    <row r="272" spans="1:53" ht="13.2" customHeight="1">
      <c r="A272" s="5"/>
      <c r="B272" s="45">
        <v>0</v>
      </c>
      <c r="D272" s="1393" t="s">
        <v>890</v>
      </c>
      <c r="E272" s="1393"/>
      <c r="F272" s="1393"/>
      <c r="G272" s="1393"/>
      <c r="H272" s="1393"/>
      <c r="J272" t="s">
        <v>889</v>
      </c>
      <c r="X272" s="1475"/>
      <c r="Y272" s="1475"/>
      <c r="Z272" s="1475"/>
      <c r="AA272" s="1475"/>
      <c r="AB272" s="1475"/>
      <c r="AC272" s="1475"/>
      <c r="BA272" s="43"/>
    </row>
    <row r="273" spans="1:53" ht="13.2"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2" customHeight="1">
      <c r="D276" s="5" t="s">
        <v>267</v>
      </c>
      <c r="E276" s="5"/>
      <c r="F276" s="5"/>
      <c r="G276" s="5"/>
      <c r="H276" s="5"/>
      <c r="I276" s="5"/>
      <c r="J276" s="5"/>
      <c r="K276" s="5"/>
      <c r="L276" s="1473" t="s">
        <v>2319</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3.2" customHeight="1">
      <c r="D277" s="5" t="s">
        <v>371</v>
      </c>
      <c r="E277" s="5"/>
      <c r="F277" s="5"/>
      <c r="G277" s="5"/>
      <c r="H277" s="5"/>
      <c r="I277" s="5"/>
      <c r="J277" s="5"/>
      <c r="K277" s="5"/>
      <c r="L277" s="1393" t="s">
        <v>2329</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2" customHeight="1">
      <c r="D278" s="5" t="s">
        <v>429</v>
      </c>
      <c r="E278" s="5"/>
      <c r="L278" s="1393" t="s">
        <v>2321</v>
      </c>
      <c r="M278" s="1393"/>
      <c r="N278" s="1393"/>
      <c r="O278" s="1393"/>
      <c r="P278" s="1393"/>
      <c r="Q278" s="1393"/>
      <c r="R278" s="1393"/>
      <c r="S278" s="1393"/>
      <c r="U278" s="42" t="s">
        <v>372</v>
      </c>
      <c r="V278" s="1259" t="s">
        <v>2330</v>
      </c>
      <c r="W278" s="1259"/>
      <c r="X278" s="5" t="s">
        <v>432</v>
      </c>
      <c r="AB278" s="1393">
        <v>94404</v>
      </c>
      <c r="AC278" s="1393"/>
      <c r="AD278" s="1393"/>
      <c r="AK278" s="41"/>
      <c r="AL278" s="41"/>
      <c r="BA278" s="43"/>
    </row>
    <row r="279" spans="1:53" ht="13.2" customHeight="1">
      <c r="D279" s="5" t="s">
        <v>373</v>
      </c>
      <c r="E279" s="5"/>
      <c r="F279" s="5"/>
      <c r="G279" s="5"/>
      <c r="H279" s="5"/>
      <c r="I279" s="5"/>
      <c r="J279" s="5"/>
      <c r="K279" s="28"/>
      <c r="L279" s="1393" t="s">
        <v>2336</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2" customHeight="1">
      <c r="D280" s="5" t="s">
        <v>374</v>
      </c>
      <c r="E280" s="5"/>
      <c r="F280" s="5"/>
      <c r="L280" s="1264" t="s">
        <v>2337</v>
      </c>
      <c r="M280" s="1264"/>
      <c r="N280" s="1264"/>
      <c r="O280" s="1264"/>
      <c r="P280" s="1264"/>
      <c r="Q280" s="1264"/>
      <c r="R280" s="5" t="s">
        <v>816</v>
      </c>
      <c r="S280" s="5"/>
      <c r="T280" s="1259"/>
      <c r="U280" s="1259"/>
      <c r="V280" s="1259"/>
      <c r="W280" s="5" t="s">
        <v>375</v>
      </c>
      <c r="Y280" s="1264"/>
      <c r="Z280" s="1264"/>
      <c r="AA280" s="1264"/>
      <c r="AB280" s="1264"/>
      <c r="AC280" s="1264"/>
      <c r="AD280" s="1264"/>
      <c r="BA280" s="43"/>
    </row>
    <row r="281" spans="1:53" ht="13.2" customHeight="1">
      <c r="D281" s="5" t="s">
        <v>376</v>
      </c>
      <c r="E281" s="5"/>
      <c r="F281" s="5"/>
      <c r="L281" s="1474" t="s">
        <v>2338</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3.2" customHeight="1">
      <c r="D282" s="41" t="s">
        <v>185</v>
      </c>
      <c r="E282" s="41"/>
      <c r="F282" s="41"/>
      <c r="G282" s="41"/>
      <c r="H282" s="41"/>
      <c r="I282" s="41"/>
      <c r="L282" s="1352" t="s">
        <v>2339</v>
      </c>
      <c r="M282" s="1352"/>
      <c r="N282" s="1352"/>
      <c r="O282" s="1352"/>
      <c r="P282" s="1352"/>
      <c r="Q282" s="1352"/>
      <c r="R282" s="1352"/>
      <c r="S282" s="1352"/>
      <c r="T282" s="1352"/>
      <c r="U282" s="1352"/>
      <c r="V282" s="1352"/>
      <c r="W282" s="1352"/>
      <c r="X282" s="1352"/>
      <c r="Y282" s="1352"/>
      <c r="Z282" s="1352"/>
      <c r="AA282" s="1352"/>
      <c r="AB282" s="1352"/>
      <c r="AC282" s="1352"/>
      <c r="AD282" s="1352"/>
      <c r="AK282" s="41"/>
      <c r="AL282" s="41"/>
      <c r="BA282" s="43"/>
    </row>
    <row r="283" spans="1:53" ht="13.2" customHeight="1">
      <c r="L283" s="4" t="s">
        <v>186</v>
      </c>
      <c r="BA283" s="43"/>
    </row>
    <row r="284" spans="1:53" ht="13.2" customHeight="1">
      <c r="A284" s="1083" t="s">
        <v>495</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3.2"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3.2"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188</v>
      </c>
      <c r="C289" s="41"/>
      <c r="D289" s="41"/>
      <c r="E289" s="41"/>
      <c r="F289" s="41"/>
      <c r="H289" s="1107" t="s">
        <v>2319</v>
      </c>
      <c r="I289" s="1107"/>
      <c r="J289" s="1107"/>
      <c r="K289" s="1107"/>
      <c r="L289" s="1107"/>
      <c r="M289" s="1107"/>
      <c r="N289" s="1107"/>
      <c r="O289" s="1107"/>
      <c r="P289" s="1107"/>
      <c r="Q289" s="1107"/>
      <c r="R289" s="1107"/>
      <c r="T289" s="41" t="s">
        <v>743</v>
      </c>
      <c r="V289" s="41"/>
      <c r="W289" s="41"/>
      <c r="X289" s="41"/>
      <c r="Y289" s="41"/>
      <c r="AA289" s="1107" t="s">
        <v>2342</v>
      </c>
      <c r="AB289" s="1107"/>
      <c r="AC289" s="1107"/>
      <c r="AD289" s="1107"/>
      <c r="AE289" s="1107"/>
      <c r="AF289" s="1107"/>
      <c r="AG289" s="1107"/>
      <c r="AH289" s="1107"/>
      <c r="AI289" s="1107"/>
      <c r="AJ289" s="1107"/>
      <c r="AK289" s="1107"/>
      <c r="BA289" s="43"/>
    </row>
    <row r="290" spans="2:53" ht="13.2" customHeight="1">
      <c r="B290" s="41" t="s">
        <v>697</v>
      </c>
      <c r="C290" s="41"/>
      <c r="D290" s="41"/>
      <c r="E290" s="41"/>
      <c r="F290" s="41"/>
      <c r="H290" s="1258" t="s">
        <v>2340</v>
      </c>
      <c r="I290" s="1258"/>
      <c r="J290" s="1258"/>
      <c r="K290" s="1258"/>
      <c r="L290" s="1258"/>
      <c r="M290" s="1258"/>
      <c r="N290" s="1258"/>
      <c r="O290" s="1258"/>
      <c r="P290" s="1258"/>
      <c r="Q290" s="1258"/>
      <c r="R290" s="1258"/>
      <c r="T290" s="41" t="s">
        <v>697</v>
      </c>
      <c r="V290" s="41"/>
      <c r="W290" s="41"/>
      <c r="X290" s="41"/>
      <c r="Y290" s="41"/>
      <c r="AA290" s="1258" t="s">
        <v>2343</v>
      </c>
      <c r="AB290" s="1258"/>
      <c r="AC290" s="1258"/>
      <c r="AD290" s="1258"/>
      <c r="AE290" s="1258"/>
      <c r="AF290" s="1258"/>
      <c r="AG290" s="1258"/>
      <c r="AH290" s="1258"/>
      <c r="AI290" s="1258"/>
      <c r="AJ290" s="1258"/>
      <c r="AK290" s="1258"/>
      <c r="BA290" s="43"/>
    </row>
    <row r="291" spans="2:53" ht="13.2" customHeight="1">
      <c r="B291" s="41" t="s">
        <v>699</v>
      </c>
      <c r="C291" s="41"/>
      <c r="D291" s="41"/>
      <c r="E291" s="41"/>
      <c r="F291" s="41"/>
      <c r="H291" s="1258" t="s">
        <v>2341</v>
      </c>
      <c r="I291" s="1258"/>
      <c r="J291" s="1258"/>
      <c r="K291" s="1258"/>
      <c r="L291" s="1258"/>
      <c r="M291" s="1258"/>
      <c r="N291" s="1258"/>
      <c r="O291" s="1258"/>
      <c r="P291" s="1258"/>
      <c r="Q291" s="1258"/>
      <c r="R291" s="1258"/>
      <c r="T291" s="41" t="s">
        <v>698</v>
      </c>
      <c r="V291" s="41"/>
      <c r="W291" s="41"/>
      <c r="X291" s="41"/>
      <c r="Y291" s="41"/>
      <c r="AA291" s="1258" t="s">
        <v>2344</v>
      </c>
      <c r="AB291" s="1258"/>
      <c r="AC291" s="1258"/>
      <c r="AD291" s="1258"/>
      <c r="AE291" s="1258"/>
      <c r="AF291" s="1258"/>
      <c r="AG291" s="1258"/>
      <c r="AH291" s="1258"/>
      <c r="AI291" s="1258"/>
      <c r="AJ291" s="1258"/>
      <c r="AK291" s="1258"/>
      <c r="BA291" s="43"/>
    </row>
    <row r="292" spans="2:53" ht="13.2" customHeight="1">
      <c r="B292" s="41" t="s">
        <v>373</v>
      </c>
      <c r="C292" s="41"/>
      <c r="D292" s="41"/>
      <c r="E292" s="41"/>
      <c r="F292" s="41"/>
      <c r="H292" s="1258" t="s">
        <v>2322</v>
      </c>
      <c r="I292" s="1258"/>
      <c r="J292" s="1258"/>
      <c r="K292" s="1258"/>
      <c r="L292" s="1258"/>
      <c r="M292" s="1258"/>
      <c r="N292" s="1258"/>
      <c r="O292" s="1258"/>
      <c r="P292" s="1258"/>
      <c r="Q292" s="1258"/>
      <c r="R292" s="1258"/>
      <c r="T292" s="41" t="s">
        <v>373</v>
      </c>
      <c r="V292" s="41"/>
      <c r="W292" s="41"/>
      <c r="X292" s="41"/>
      <c r="Y292" s="41"/>
      <c r="AA292" s="1258" t="s">
        <v>2345</v>
      </c>
      <c r="AB292" s="1258"/>
      <c r="AC292" s="1258"/>
      <c r="AD292" s="1258"/>
      <c r="AE292" s="1258"/>
      <c r="AF292" s="1258"/>
      <c r="AG292" s="1258"/>
      <c r="AH292" s="1258"/>
      <c r="AI292" s="1258"/>
      <c r="AJ292" s="1258"/>
      <c r="AK292" s="1258"/>
      <c r="BA292" s="43"/>
    </row>
    <row r="293" spans="2:53" ht="13.2" customHeight="1">
      <c r="B293" s="41" t="s">
        <v>374</v>
      </c>
      <c r="C293" s="41"/>
      <c r="D293" s="41"/>
      <c r="E293" s="41"/>
      <c r="F293" s="41"/>
      <c r="G293" s="41"/>
      <c r="H293" s="1405" t="s">
        <v>2331</v>
      </c>
      <c r="I293" s="1405"/>
      <c r="J293" s="1405"/>
      <c r="K293" s="1405"/>
      <c r="L293" s="1405"/>
      <c r="M293" s="1405"/>
      <c r="N293" s="5" t="s">
        <v>816</v>
      </c>
      <c r="O293" s="5"/>
      <c r="P293" s="1393"/>
      <c r="Q293" s="1393"/>
      <c r="R293" s="1393"/>
      <c r="S293" s="41"/>
      <c r="T293" s="41" t="s">
        <v>374</v>
      </c>
      <c r="V293" s="41"/>
      <c r="W293" s="41"/>
      <c r="X293" s="41"/>
      <c r="Y293" s="41"/>
      <c r="AA293" s="1405" t="s">
        <v>2346</v>
      </c>
      <c r="AB293" s="1405"/>
      <c r="AC293" s="1405"/>
      <c r="AD293" s="1405"/>
      <c r="AE293" s="1405"/>
      <c r="AF293" s="1405"/>
      <c r="AG293" s="5" t="s">
        <v>816</v>
      </c>
      <c r="AH293" s="5"/>
      <c r="AI293" s="1393"/>
      <c r="AJ293" s="1393"/>
      <c r="AK293" s="1393"/>
      <c r="BA293" s="43"/>
    </row>
    <row r="294" spans="2:53" ht="13.2" customHeight="1">
      <c r="B294" s="41" t="s">
        <v>375</v>
      </c>
      <c r="C294" s="41"/>
      <c r="D294" s="41"/>
      <c r="E294" s="41"/>
      <c r="F294" s="41"/>
      <c r="G294" s="41"/>
      <c r="H294" s="1264"/>
      <c r="I294" s="1264"/>
      <c r="J294" s="1264"/>
      <c r="K294" s="1264"/>
      <c r="L294" s="1264"/>
      <c r="M294" s="1264"/>
      <c r="N294" s="5"/>
      <c r="O294" s="5"/>
      <c r="P294" s="44"/>
      <c r="Q294" s="44"/>
      <c r="R294" s="44"/>
      <c r="S294" s="41"/>
      <c r="T294" s="41" t="s">
        <v>375</v>
      </c>
      <c r="V294" s="41"/>
      <c r="W294" s="41"/>
      <c r="X294" s="41"/>
      <c r="Y294" s="41"/>
      <c r="AA294" s="1264"/>
      <c r="AB294" s="1264"/>
      <c r="AC294" s="1264"/>
      <c r="AD294" s="1264"/>
      <c r="AE294" s="1264"/>
      <c r="AF294" s="1264"/>
      <c r="AG294" s="5"/>
      <c r="AH294" s="5"/>
      <c r="AI294" s="44"/>
      <c r="AJ294" s="44"/>
      <c r="AK294" s="44"/>
      <c r="BA294" s="43"/>
    </row>
    <row r="295" spans="2:53" ht="13.2" customHeight="1">
      <c r="B295" s="41" t="s">
        <v>700</v>
      </c>
      <c r="C295" s="41"/>
      <c r="D295" s="41"/>
      <c r="E295" s="41"/>
      <c r="F295" s="41"/>
      <c r="G295" s="41"/>
      <c r="H295" s="1258" t="s">
        <v>2332</v>
      </c>
      <c r="I295" s="1258"/>
      <c r="J295" s="1258"/>
      <c r="K295" s="1258"/>
      <c r="L295" s="1258"/>
      <c r="M295" s="1258"/>
      <c r="N295" s="1107"/>
      <c r="O295" s="1107"/>
      <c r="P295" s="1107"/>
      <c r="Q295" s="1107"/>
      <c r="R295" s="1107"/>
      <c r="S295" s="41"/>
      <c r="T295" s="41" t="s">
        <v>700</v>
      </c>
      <c r="V295" s="41"/>
      <c r="W295" s="41"/>
      <c r="X295" s="41"/>
      <c r="Y295" s="41"/>
      <c r="AA295" s="1258" t="s">
        <v>2347</v>
      </c>
      <c r="AB295" s="1258"/>
      <c r="AC295" s="1258"/>
      <c r="AD295" s="1258"/>
      <c r="AE295" s="1258"/>
      <c r="AF295" s="1258"/>
      <c r="AG295" s="1107"/>
      <c r="AH295" s="1107"/>
      <c r="AI295" s="1107"/>
      <c r="AJ295" s="1107"/>
      <c r="AK295" s="1107"/>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438</v>
      </c>
      <c r="C297" s="41"/>
      <c r="D297" s="41"/>
      <c r="E297" s="41"/>
      <c r="F297" s="41"/>
      <c r="H297" s="1107" t="s">
        <v>2348</v>
      </c>
      <c r="I297" s="1107"/>
      <c r="J297" s="1107"/>
      <c r="K297" s="1107"/>
      <c r="L297" s="1107"/>
      <c r="M297" s="1107"/>
      <c r="N297" s="1107"/>
      <c r="O297" s="1107"/>
      <c r="P297" s="1107"/>
      <c r="Q297" s="1107"/>
      <c r="R297" s="1107"/>
      <c r="T297" s="41" t="s">
        <v>35</v>
      </c>
      <c r="V297" s="41"/>
      <c r="W297" s="41"/>
      <c r="X297" s="41"/>
      <c r="Y297" s="41"/>
      <c r="AA297" s="1107" t="s">
        <v>2354</v>
      </c>
      <c r="AB297" s="1107"/>
      <c r="AC297" s="1107"/>
      <c r="AD297" s="1107"/>
      <c r="AE297" s="1107"/>
      <c r="AF297" s="1107"/>
      <c r="AG297" s="1107"/>
      <c r="AH297" s="1107"/>
      <c r="AI297" s="1107"/>
      <c r="AJ297" s="1107"/>
      <c r="AK297" s="1107"/>
      <c r="BA297" s="43"/>
    </row>
    <row r="298" spans="2:53" ht="13.2" customHeight="1">
      <c r="B298" s="41" t="s">
        <v>697</v>
      </c>
      <c r="C298" s="41"/>
      <c r="D298" s="41"/>
      <c r="E298" s="41"/>
      <c r="F298" s="41"/>
      <c r="H298" s="1258" t="s">
        <v>2349</v>
      </c>
      <c r="I298" s="1258"/>
      <c r="J298" s="1258"/>
      <c r="K298" s="1258"/>
      <c r="L298" s="1258"/>
      <c r="M298" s="1258"/>
      <c r="N298" s="1258"/>
      <c r="O298" s="1258"/>
      <c r="P298" s="1258"/>
      <c r="Q298" s="1258"/>
      <c r="R298" s="1258"/>
      <c r="T298" s="41" t="s">
        <v>697</v>
      </c>
      <c r="V298" s="41"/>
      <c r="W298" s="41"/>
      <c r="X298" s="41"/>
      <c r="Y298" s="41"/>
      <c r="AA298" s="1352" t="s">
        <v>2355</v>
      </c>
      <c r="AB298" s="1258"/>
      <c r="AC298" s="1258"/>
      <c r="AD298" s="1258"/>
      <c r="AE298" s="1258"/>
      <c r="AF298" s="1258"/>
      <c r="AG298" s="1258"/>
      <c r="AH298" s="1258"/>
      <c r="AI298" s="1258"/>
      <c r="AJ298" s="1258"/>
      <c r="AK298" s="1258"/>
      <c r="BA298" s="43"/>
    </row>
    <row r="299" spans="2:53" ht="13.2" customHeight="1">
      <c r="B299" s="41" t="s">
        <v>699</v>
      </c>
      <c r="C299" s="41"/>
      <c r="D299" s="41"/>
      <c r="E299" s="41"/>
      <c r="F299" s="41"/>
      <c r="H299" s="1258" t="s">
        <v>2350</v>
      </c>
      <c r="I299" s="1258"/>
      <c r="J299" s="1258"/>
      <c r="K299" s="1258"/>
      <c r="L299" s="1258"/>
      <c r="M299" s="1258"/>
      <c r="N299" s="1258"/>
      <c r="O299" s="1258"/>
      <c r="P299" s="1258"/>
      <c r="Q299" s="1258"/>
      <c r="R299" s="1258"/>
      <c r="T299" s="41" t="s">
        <v>698</v>
      </c>
      <c r="V299" s="41"/>
      <c r="W299" s="41"/>
      <c r="X299" s="41"/>
      <c r="Y299" s="41"/>
      <c r="AA299" s="1352" t="s">
        <v>2356</v>
      </c>
      <c r="AB299" s="1258"/>
      <c r="AC299" s="1258"/>
      <c r="AD299" s="1258"/>
      <c r="AE299" s="1258"/>
      <c r="AF299" s="1258"/>
      <c r="AG299" s="1258"/>
      <c r="AH299" s="1258"/>
      <c r="AI299" s="1258"/>
      <c r="AJ299" s="1258"/>
      <c r="AK299" s="1258"/>
      <c r="BA299" s="43"/>
    </row>
    <row r="300" spans="2:53" ht="13.2" customHeight="1">
      <c r="B300" s="41" t="s">
        <v>373</v>
      </c>
      <c r="C300" s="41"/>
      <c r="D300" s="41"/>
      <c r="E300" s="41"/>
      <c r="F300" s="41"/>
      <c r="H300" s="1258" t="s">
        <v>2351</v>
      </c>
      <c r="I300" s="1258"/>
      <c r="J300" s="1258"/>
      <c r="K300" s="1258"/>
      <c r="L300" s="1258"/>
      <c r="M300" s="1258"/>
      <c r="N300" s="1258"/>
      <c r="O300" s="1258"/>
      <c r="P300" s="1258"/>
      <c r="Q300" s="1258"/>
      <c r="R300" s="1258"/>
      <c r="T300" s="41" t="s">
        <v>373</v>
      </c>
      <c r="V300" s="41"/>
      <c r="W300" s="41"/>
      <c r="X300" s="41"/>
      <c r="Y300" s="41"/>
      <c r="AA300" s="1352" t="s">
        <v>2357</v>
      </c>
      <c r="AB300" s="1258"/>
      <c r="AC300" s="1258"/>
      <c r="AD300" s="1258"/>
      <c r="AE300" s="1258"/>
      <c r="AF300" s="1258"/>
      <c r="AG300" s="1258"/>
      <c r="AH300" s="1258"/>
      <c r="AI300" s="1258"/>
      <c r="AJ300" s="1258"/>
      <c r="AK300" s="1258"/>
      <c r="BA300" s="43"/>
    </row>
    <row r="301" spans="2:53" ht="13.2" customHeight="1">
      <c r="B301" s="41" t="s">
        <v>374</v>
      </c>
      <c r="C301" s="41"/>
      <c r="D301" s="41"/>
      <c r="E301" s="41"/>
      <c r="F301" s="41"/>
      <c r="G301" s="41"/>
      <c r="H301" s="1405" t="s">
        <v>2352</v>
      </c>
      <c r="I301" s="1405"/>
      <c r="J301" s="1405"/>
      <c r="K301" s="1405"/>
      <c r="L301" s="1405"/>
      <c r="M301" s="1405"/>
      <c r="N301" s="5" t="s">
        <v>816</v>
      </c>
      <c r="O301" s="5"/>
      <c r="P301" s="1393">
        <v>6</v>
      </c>
      <c r="Q301" s="1393"/>
      <c r="R301" s="1393"/>
      <c r="S301" s="41"/>
      <c r="T301" s="41" t="s">
        <v>374</v>
      </c>
      <c r="V301" s="41"/>
      <c r="W301" s="41"/>
      <c r="X301" s="41"/>
      <c r="Y301" s="41"/>
      <c r="AA301" s="1404" t="s">
        <v>2358</v>
      </c>
      <c r="AB301" s="1405"/>
      <c r="AC301" s="1405"/>
      <c r="AD301" s="1405"/>
      <c r="AE301" s="1405"/>
      <c r="AF301" s="1405"/>
      <c r="AG301" s="5" t="s">
        <v>816</v>
      </c>
      <c r="AH301" s="5"/>
      <c r="AI301" s="1393"/>
      <c r="AJ301" s="1393"/>
      <c r="AK301" s="1393"/>
      <c r="BA301" s="43"/>
    </row>
    <row r="302" spans="2:53" ht="13.2" customHeight="1">
      <c r="B302" s="41" t="s">
        <v>375</v>
      </c>
      <c r="C302" s="41"/>
      <c r="D302" s="41"/>
      <c r="E302" s="41"/>
      <c r="F302" s="41"/>
      <c r="G302" s="41"/>
      <c r="H302" s="1264"/>
      <c r="I302" s="1264"/>
      <c r="J302" s="1264"/>
      <c r="K302" s="1264"/>
      <c r="L302" s="1264"/>
      <c r="M302" s="1264"/>
      <c r="N302" s="5"/>
      <c r="O302" s="5"/>
      <c r="P302" s="44"/>
      <c r="Q302" s="44"/>
      <c r="R302" s="44"/>
      <c r="S302" s="41"/>
      <c r="T302" s="41" t="s">
        <v>375</v>
      </c>
      <c r="V302" s="41"/>
      <c r="W302" s="41"/>
      <c r="X302" s="41"/>
      <c r="Y302" s="41"/>
      <c r="AA302" s="1264"/>
      <c r="AB302" s="1264"/>
      <c r="AC302" s="1264"/>
      <c r="AD302" s="1264"/>
      <c r="AE302" s="1264"/>
      <c r="AF302" s="1264"/>
      <c r="AG302" s="5"/>
      <c r="AH302" s="5"/>
      <c r="AI302" s="44"/>
      <c r="AJ302" s="44"/>
      <c r="AK302" s="44"/>
      <c r="BA302" s="43"/>
    </row>
    <row r="303" spans="2:53" ht="13.2" customHeight="1">
      <c r="B303" s="41" t="s">
        <v>700</v>
      </c>
      <c r="C303" s="41"/>
      <c r="D303" s="41"/>
      <c r="E303" s="41"/>
      <c r="F303" s="41"/>
      <c r="G303" s="41"/>
      <c r="H303" s="1258" t="s">
        <v>2353</v>
      </c>
      <c r="I303" s="1258"/>
      <c r="J303" s="1258"/>
      <c r="K303" s="1258"/>
      <c r="L303" s="1258"/>
      <c r="M303" s="1258"/>
      <c r="N303" s="1107"/>
      <c r="O303" s="1107"/>
      <c r="P303" s="1107"/>
      <c r="Q303" s="1107"/>
      <c r="R303" s="1107"/>
      <c r="S303" s="41"/>
      <c r="T303" s="41" t="s">
        <v>700</v>
      </c>
      <c r="V303" s="41"/>
      <c r="W303" s="41"/>
      <c r="X303" s="41"/>
      <c r="Y303" s="41"/>
      <c r="AA303" s="1352" t="s">
        <v>2359</v>
      </c>
      <c r="AB303" s="1258"/>
      <c r="AC303" s="1258"/>
      <c r="AD303" s="1258"/>
      <c r="AE303" s="1258"/>
      <c r="AF303" s="1258"/>
      <c r="AG303" s="1107"/>
      <c r="AH303" s="1107"/>
      <c r="AI303" s="1107"/>
      <c r="AJ303" s="1107"/>
      <c r="AK303" s="1107"/>
      <c r="BA303" s="43"/>
    </row>
    <row r="304" spans="2:53" ht="13.2" customHeight="1">
      <c r="BA304" s="43"/>
    </row>
    <row r="305" spans="2:53" ht="13.2" customHeight="1">
      <c r="B305" s="41" t="s">
        <v>701</v>
      </c>
      <c r="C305" s="41"/>
      <c r="D305" s="41"/>
      <c r="E305" s="41"/>
      <c r="F305" s="41"/>
      <c r="H305" s="1107" t="s">
        <v>2348</v>
      </c>
      <c r="I305" s="1107"/>
      <c r="J305" s="1107"/>
      <c r="K305" s="1107"/>
      <c r="L305" s="1107"/>
      <c r="M305" s="1107"/>
      <c r="N305" s="1107"/>
      <c r="O305" s="1107"/>
      <c r="P305" s="1107"/>
      <c r="Q305" s="1107"/>
      <c r="R305" s="1107"/>
      <c r="T305" s="5" t="s">
        <v>1103</v>
      </c>
      <c r="V305" s="41"/>
      <c r="W305" s="41"/>
      <c r="X305" s="41"/>
      <c r="Y305" s="41"/>
      <c r="AA305" s="1103" t="s">
        <v>2360</v>
      </c>
      <c r="AB305" s="1107"/>
      <c r="AC305" s="1107"/>
      <c r="AD305" s="1107"/>
      <c r="AE305" s="1107"/>
      <c r="AF305" s="1107"/>
      <c r="AG305" s="1107"/>
      <c r="AH305" s="1107"/>
      <c r="AI305" s="1107"/>
      <c r="AJ305" s="1107"/>
      <c r="AK305" s="1107"/>
      <c r="BA305" s="43"/>
    </row>
    <row r="306" spans="2:53" ht="13.2" customHeight="1">
      <c r="B306" s="41" t="s">
        <v>697</v>
      </c>
      <c r="C306" s="41"/>
      <c r="D306" s="41"/>
      <c r="E306" s="41"/>
      <c r="F306" s="41"/>
      <c r="H306" s="1258" t="s">
        <v>2349</v>
      </c>
      <c r="I306" s="1258"/>
      <c r="J306" s="1258"/>
      <c r="K306" s="1258"/>
      <c r="L306" s="1258"/>
      <c r="M306" s="1258"/>
      <c r="N306" s="1258"/>
      <c r="O306" s="1258"/>
      <c r="P306" s="1258"/>
      <c r="Q306" s="1258"/>
      <c r="R306" s="1258"/>
      <c r="T306" s="41" t="s">
        <v>697</v>
      </c>
      <c r="V306" s="41"/>
      <c r="W306" s="41"/>
      <c r="X306" s="41"/>
      <c r="Y306" s="41"/>
      <c r="AA306" s="1352" t="s">
        <v>2363</v>
      </c>
      <c r="AB306" s="1258"/>
      <c r="AC306" s="1258"/>
      <c r="AD306" s="1258"/>
      <c r="AE306" s="1258"/>
      <c r="AF306" s="1258"/>
      <c r="AG306" s="1258"/>
      <c r="AH306" s="1258"/>
      <c r="AI306" s="1258"/>
      <c r="AJ306" s="1258"/>
      <c r="AK306" s="1258"/>
      <c r="BA306" s="43"/>
    </row>
    <row r="307" spans="2:53" ht="13.2" customHeight="1">
      <c r="B307" s="41" t="s">
        <v>699</v>
      </c>
      <c r="C307" s="41"/>
      <c r="D307" s="41"/>
      <c r="E307" s="41"/>
      <c r="F307" s="41"/>
      <c r="H307" s="1258" t="s">
        <v>2350</v>
      </c>
      <c r="I307" s="1258"/>
      <c r="J307" s="1258"/>
      <c r="K307" s="1258"/>
      <c r="L307" s="1258"/>
      <c r="M307" s="1258"/>
      <c r="N307" s="1258"/>
      <c r="O307" s="1258"/>
      <c r="P307" s="1258"/>
      <c r="Q307" s="1258"/>
      <c r="R307" s="1258"/>
      <c r="T307" s="41" t="s">
        <v>698</v>
      </c>
      <c r="V307" s="41"/>
      <c r="W307" s="41"/>
      <c r="X307" s="41"/>
      <c r="Y307" s="41"/>
      <c r="AA307" s="1352" t="s">
        <v>2362</v>
      </c>
      <c r="AB307" s="1258"/>
      <c r="AC307" s="1258"/>
      <c r="AD307" s="1258"/>
      <c r="AE307" s="1258"/>
      <c r="AF307" s="1258"/>
      <c r="AG307" s="1258"/>
      <c r="AH307" s="1258"/>
      <c r="AI307" s="1258"/>
      <c r="AJ307" s="1258"/>
      <c r="AK307" s="1258"/>
      <c r="BA307" s="43"/>
    </row>
    <row r="308" spans="2:53" ht="13.2" customHeight="1">
      <c r="B308" s="41" t="s">
        <v>373</v>
      </c>
      <c r="C308" s="41"/>
      <c r="D308" s="41"/>
      <c r="E308" s="41"/>
      <c r="F308" s="41"/>
      <c r="H308" s="1258" t="s">
        <v>2351</v>
      </c>
      <c r="I308" s="1258"/>
      <c r="J308" s="1258"/>
      <c r="K308" s="1258"/>
      <c r="L308" s="1258"/>
      <c r="M308" s="1258"/>
      <c r="N308" s="1258"/>
      <c r="O308" s="1258"/>
      <c r="P308" s="1258"/>
      <c r="Q308" s="1258"/>
      <c r="R308" s="1258"/>
      <c r="T308" s="41" t="s">
        <v>373</v>
      </c>
      <c r="V308" s="41"/>
      <c r="W308" s="41"/>
      <c r="X308" s="41"/>
      <c r="Y308" s="41"/>
      <c r="AA308" s="1352" t="s">
        <v>2361</v>
      </c>
      <c r="AB308" s="1258"/>
      <c r="AC308" s="1258"/>
      <c r="AD308" s="1258"/>
      <c r="AE308" s="1258"/>
      <c r="AF308" s="1258"/>
      <c r="AG308" s="1258"/>
      <c r="AH308" s="1258"/>
      <c r="AI308" s="1258"/>
      <c r="AJ308" s="1258"/>
      <c r="AK308" s="1258"/>
      <c r="BA308" s="43"/>
    </row>
    <row r="309" spans="2:53" ht="13.2" customHeight="1">
      <c r="B309" s="41" t="s">
        <v>374</v>
      </c>
      <c r="C309" s="41"/>
      <c r="D309" s="41"/>
      <c r="E309" s="41"/>
      <c r="F309" s="41"/>
      <c r="G309" s="41"/>
      <c r="H309" s="1405" t="s">
        <v>2352</v>
      </c>
      <c r="I309" s="1405"/>
      <c r="J309" s="1405"/>
      <c r="K309" s="1405"/>
      <c r="L309" s="1405"/>
      <c r="M309" s="1405"/>
      <c r="N309" s="5" t="s">
        <v>816</v>
      </c>
      <c r="O309" s="5"/>
      <c r="P309" s="1393">
        <v>6</v>
      </c>
      <c r="Q309" s="1393"/>
      <c r="R309" s="1393"/>
      <c r="S309" s="41"/>
      <c r="T309" s="41" t="s">
        <v>374</v>
      </c>
      <c r="V309" s="41"/>
      <c r="W309" s="41"/>
      <c r="X309" s="41"/>
      <c r="Y309" s="41"/>
      <c r="AA309" s="1404" t="s">
        <v>2364</v>
      </c>
      <c r="AB309" s="1405"/>
      <c r="AC309" s="1405"/>
      <c r="AD309" s="1405"/>
      <c r="AE309" s="1405"/>
      <c r="AF309" s="1405"/>
      <c r="AG309" s="5" t="s">
        <v>816</v>
      </c>
      <c r="AH309" s="5"/>
      <c r="AI309" s="1393">
        <v>1009</v>
      </c>
      <c r="AJ309" s="1393"/>
      <c r="AK309" s="1393"/>
      <c r="BA309" s="43"/>
    </row>
    <row r="310" spans="2:53" ht="13.2" customHeight="1">
      <c r="B310" s="41" t="s">
        <v>375</v>
      </c>
      <c r="C310" s="41"/>
      <c r="D310" s="41"/>
      <c r="E310" s="41"/>
      <c r="F310" s="41"/>
      <c r="G310" s="41"/>
      <c r="H310" s="1264"/>
      <c r="I310" s="1264"/>
      <c r="J310" s="1264"/>
      <c r="K310" s="1264"/>
      <c r="L310" s="1264"/>
      <c r="M310" s="1264"/>
      <c r="N310" s="5"/>
      <c r="O310" s="5"/>
      <c r="P310" s="44"/>
      <c r="Q310" s="44"/>
      <c r="R310" s="44"/>
      <c r="S310" s="41"/>
      <c r="T310" s="41" t="s">
        <v>375</v>
      </c>
      <c r="V310" s="41"/>
      <c r="W310" s="41"/>
      <c r="X310" s="41"/>
      <c r="Y310" s="41"/>
      <c r="AA310" s="1264"/>
      <c r="AB310" s="1264"/>
      <c r="AC310" s="1264"/>
      <c r="AD310" s="1264"/>
      <c r="AE310" s="1264"/>
      <c r="AF310" s="1264"/>
      <c r="AG310" s="5"/>
      <c r="AH310" s="5"/>
      <c r="AI310" s="44"/>
      <c r="AJ310" s="44"/>
      <c r="AK310" s="44"/>
      <c r="BA310" s="43"/>
    </row>
    <row r="311" spans="2:53" ht="13.2" customHeight="1">
      <c r="B311" s="41" t="s">
        <v>700</v>
      </c>
      <c r="C311" s="41"/>
      <c r="D311" s="41"/>
      <c r="E311" s="41"/>
      <c r="F311" s="41"/>
      <c r="G311" s="41"/>
      <c r="H311" s="1258" t="s">
        <v>2353</v>
      </c>
      <c r="I311" s="1258"/>
      <c r="J311" s="1258"/>
      <c r="K311" s="1258"/>
      <c r="L311" s="1258"/>
      <c r="M311" s="1258"/>
      <c r="N311" s="1107"/>
      <c r="O311" s="1107"/>
      <c r="P311" s="1107"/>
      <c r="Q311" s="1107"/>
      <c r="R311" s="1107"/>
      <c r="S311" s="41"/>
      <c r="T311" s="41" t="s">
        <v>700</v>
      </c>
      <c r="V311" s="41"/>
      <c r="W311" s="41"/>
      <c r="X311" s="41"/>
      <c r="Y311" s="41"/>
      <c r="AA311" s="1352" t="s">
        <v>2365</v>
      </c>
      <c r="AB311" s="1258"/>
      <c r="AC311" s="1258"/>
      <c r="AD311" s="1258"/>
      <c r="AE311" s="1258"/>
      <c r="AF311" s="1258"/>
      <c r="AG311" s="1107"/>
      <c r="AH311" s="1107"/>
      <c r="AI311" s="1107"/>
      <c r="AJ311" s="1107"/>
      <c r="AK311" s="1107"/>
      <c r="BA311" s="43"/>
    </row>
    <row r="312" spans="2:53" ht="13.2" customHeight="1">
      <c r="BA312" s="43"/>
    </row>
    <row r="313" spans="2:53" ht="13.2" customHeight="1">
      <c r="B313" s="5" t="s">
        <v>1144</v>
      </c>
      <c r="C313" s="41"/>
      <c r="D313" s="41"/>
      <c r="E313" s="41"/>
      <c r="F313" s="41"/>
      <c r="H313" s="1107" t="s">
        <v>2366</v>
      </c>
      <c r="I313" s="1107"/>
      <c r="J313" s="1107"/>
      <c r="K313" s="1107"/>
      <c r="L313" s="1107"/>
      <c r="M313" s="1107"/>
      <c r="N313" s="1107"/>
      <c r="O313" s="1107"/>
      <c r="P313" s="1107"/>
      <c r="Q313" s="1107"/>
      <c r="R313" s="1107"/>
      <c r="T313" s="41" t="s">
        <v>36</v>
      </c>
      <c r="V313" s="41"/>
      <c r="W313" s="41"/>
      <c r="X313" s="41"/>
      <c r="Y313" s="41"/>
      <c r="AA313" s="1103" t="s">
        <v>2377</v>
      </c>
      <c r="AB313" s="1107"/>
      <c r="AC313" s="1107"/>
      <c r="AD313" s="1107"/>
      <c r="AE313" s="1107"/>
      <c r="AF313" s="1107"/>
      <c r="AG313" s="1107"/>
      <c r="AH313" s="1107"/>
      <c r="AI313" s="1107"/>
      <c r="AJ313" s="1107"/>
      <c r="AK313" s="1107"/>
      <c r="BA313" s="43"/>
    </row>
    <row r="314" spans="2:53" ht="13.2" customHeight="1">
      <c r="B314" s="41" t="s">
        <v>697</v>
      </c>
      <c r="C314" s="41"/>
      <c r="D314" s="41"/>
      <c r="E314" s="41"/>
      <c r="F314" s="41"/>
      <c r="H314" s="1352" t="s">
        <v>2367</v>
      </c>
      <c r="I314" s="1258"/>
      <c r="J314" s="1258"/>
      <c r="K314" s="1258"/>
      <c r="L314" s="1258"/>
      <c r="M314" s="1258"/>
      <c r="N314" s="1258"/>
      <c r="O314" s="1258"/>
      <c r="P314" s="1258"/>
      <c r="Q314" s="1258"/>
      <c r="R314" s="1258"/>
      <c r="T314" s="41" t="s">
        <v>697</v>
      </c>
      <c r="V314" s="41"/>
      <c r="W314" s="41"/>
      <c r="X314" s="41"/>
      <c r="Y314" s="41"/>
      <c r="AA314" s="1258"/>
      <c r="AB314" s="1258"/>
      <c r="AC314" s="1258"/>
      <c r="AD314" s="1258"/>
      <c r="AE314" s="1258"/>
      <c r="AF314" s="1258"/>
      <c r="AG314" s="1258"/>
      <c r="AH314" s="1258"/>
      <c r="AI314" s="1258"/>
      <c r="AJ314" s="1258"/>
      <c r="AK314" s="1258"/>
      <c r="BA314" s="43"/>
    </row>
    <row r="315" spans="2:53" ht="13.2" customHeight="1">
      <c r="B315" s="41" t="s">
        <v>699</v>
      </c>
      <c r="C315" s="41"/>
      <c r="D315" s="41"/>
      <c r="E315" s="41"/>
      <c r="F315" s="41"/>
      <c r="H315" s="1258" t="s">
        <v>2368</v>
      </c>
      <c r="I315" s="1258"/>
      <c r="J315" s="1258"/>
      <c r="K315" s="1258"/>
      <c r="L315" s="1258"/>
      <c r="M315" s="1258"/>
      <c r="N315" s="1258"/>
      <c r="O315" s="1258"/>
      <c r="P315" s="1258"/>
      <c r="Q315" s="1258"/>
      <c r="R315" s="1258"/>
      <c r="T315" s="41" t="s">
        <v>698</v>
      </c>
      <c r="V315" s="41"/>
      <c r="W315" s="41"/>
      <c r="X315" s="41"/>
      <c r="Y315" s="41"/>
      <c r="AA315" s="1258"/>
      <c r="AB315" s="1258"/>
      <c r="AC315" s="1258"/>
      <c r="AD315" s="1258"/>
      <c r="AE315" s="1258"/>
      <c r="AF315" s="1258"/>
      <c r="AG315" s="1258"/>
      <c r="AH315" s="1258"/>
      <c r="AI315" s="1258"/>
      <c r="AJ315" s="1258"/>
      <c r="AK315" s="1258"/>
      <c r="BA315" s="43"/>
    </row>
    <row r="316" spans="2:53" ht="13.2" customHeight="1">
      <c r="B316" s="41" t="s">
        <v>373</v>
      </c>
      <c r="C316" s="41"/>
      <c r="D316" s="41"/>
      <c r="E316" s="41"/>
      <c r="F316" s="41"/>
      <c r="H316" s="1258" t="s">
        <v>2369</v>
      </c>
      <c r="I316" s="1258"/>
      <c r="J316" s="1258"/>
      <c r="K316" s="1258"/>
      <c r="L316" s="1258"/>
      <c r="M316" s="1258"/>
      <c r="N316" s="1258"/>
      <c r="O316" s="1258"/>
      <c r="P316" s="1258"/>
      <c r="Q316" s="1258"/>
      <c r="R316" s="1258"/>
      <c r="T316" s="41" t="s">
        <v>373</v>
      </c>
      <c r="V316" s="41"/>
      <c r="W316" s="41"/>
      <c r="X316" s="41"/>
      <c r="Y316" s="41"/>
      <c r="AA316" s="1258"/>
      <c r="AB316" s="1258"/>
      <c r="AC316" s="1258"/>
      <c r="AD316" s="1258"/>
      <c r="AE316" s="1258"/>
      <c r="AF316" s="1258"/>
      <c r="AG316" s="1258"/>
      <c r="AH316" s="1258"/>
      <c r="AI316" s="1258"/>
      <c r="AJ316" s="1258"/>
      <c r="AK316" s="1258"/>
      <c r="BA316" s="43"/>
    </row>
    <row r="317" spans="2:53" ht="13.2" customHeight="1">
      <c r="B317" s="41" t="s">
        <v>374</v>
      </c>
      <c r="C317" s="41"/>
      <c r="D317" s="41"/>
      <c r="E317" s="41"/>
      <c r="F317" s="41"/>
      <c r="G317" s="41"/>
      <c r="H317" s="1405" t="s">
        <v>2370</v>
      </c>
      <c r="I317" s="1405"/>
      <c r="J317" s="1405"/>
      <c r="K317" s="1405"/>
      <c r="L317" s="1405"/>
      <c r="M317" s="1405"/>
      <c r="N317" s="5" t="s">
        <v>816</v>
      </c>
      <c r="O317" s="5"/>
      <c r="P317" s="1393"/>
      <c r="Q317" s="1393"/>
      <c r="R317" s="1393"/>
      <c r="S317" s="41"/>
      <c r="T317" s="41" t="s">
        <v>374</v>
      </c>
      <c r="V317" s="41"/>
      <c r="W317" s="41"/>
      <c r="X317" s="41"/>
      <c r="Y317" s="41"/>
      <c r="AA317" s="1405"/>
      <c r="AB317" s="1405"/>
      <c r="AC317" s="1405"/>
      <c r="AD317" s="1405"/>
      <c r="AE317" s="1405"/>
      <c r="AF317" s="1405"/>
      <c r="AG317" s="5" t="s">
        <v>816</v>
      </c>
      <c r="AH317" s="5"/>
      <c r="AI317" s="1393"/>
      <c r="AJ317" s="1393"/>
      <c r="AK317" s="1393"/>
      <c r="BA317" s="43"/>
    </row>
    <row r="318" spans="2:53" ht="13.2" customHeight="1">
      <c r="B318" s="41" t="s">
        <v>375</v>
      </c>
      <c r="C318" s="41"/>
      <c r="D318" s="41"/>
      <c r="E318" s="41"/>
      <c r="F318" s="41"/>
      <c r="G318" s="41"/>
      <c r="H318" s="1264"/>
      <c r="I318" s="1264"/>
      <c r="J318" s="1264"/>
      <c r="K318" s="1264"/>
      <c r="L318" s="1264"/>
      <c r="M318" s="1264"/>
      <c r="N318" s="5"/>
      <c r="O318" s="5"/>
      <c r="P318" s="44"/>
      <c r="Q318" s="44"/>
      <c r="R318" s="44"/>
      <c r="S318" s="41"/>
      <c r="T318" s="41" t="s">
        <v>375</v>
      </c>
      <c r="V318" s="41"/>
      <c r="W318" s="41"/>
      <c r="X318" s="41"/>
      <c r="Y318" s="41"/>
      <c r="AA318" s="1264"/>
      <c r="AB318" s="1264"/>
      <c r="AC318" s="1264"/>
      <c r="AD318" s="1264"/>
      <c r="AE318" s="1264"/>
      <c r="AF318" s="1264"/>
      <c r="AG318" s="5"/>
      <c r="AH318" s="5"/>
      <c r="AI318" s="44"/>
      <c r="AJ318" s="44"/>
      <c r="AK318" s="44"/>
      <c r="BA318" s="43"/>
    </row>
    <row r="319" spans="2:53" ht="13.2" customHeight="1">
      <c r="B319" s="41" t="s">
        <v>700</v>
      </c>
      <c r="C319" s="41"/>
      <c r="D319" s="41"/>
      <c r="E319" s="41"/>
      <c r="F319" s="41"/>
      <c r="G319" s="41"/>
      <c r="H319" s="1258" t="s">
        <v>2371</v>
      </c>
      <c r="I319" s="1258"/>
      <c r="J319" s="1258"/>
      <c r="K319" s="1258"/>
      <c r="L319" s="1258"/>
      <c r="M319" s="1258"/>
      <c r="N319" s="1107"/>
      <c r="O319" s="1107"/>
      <c r="P319" s="1107"/>
      <c r="Q319" s="1107"/>
      <c r="R319" s="1107"/>
      <c r="S319" s="41"/>
      <c r="T319" s="41" t="s">
        <v>700</v>
      </c>
      <c r="V319" s="41"/>
      <c r="W319" s="41"/>
      <c r="X319" s="41"/>
      <c r="Y319" s="41"/>
      <c r="AA319" s="1258"/>
      <c r="AB319" s="1258"/>
      <c r="AC319" s="1258"/>
      <c r="AD319" s="1258"/>
      <c r="AE319" s="1258"/>
      <c r="AF319" s="1258"/>
      <c r="AG319" s="1107"/>
      <c r="AH319" s="1107"/>
      <c r="AI319" s="1107"/>
      <c r="AJ319" s="1107"/>
      <c r="AK319" s="1107"/>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1145</v>
      </c>
      <c r="C321" s="41"/>
      <c r="D321" s="41"/>
      <c r="E321" s="41"/>
      <c r="F321" s="41"/>
      <c r="H321" s="1107" t="s">
        <v>2372</v>
      </c>
      <c r="I321" s="1107"/>
      <c r="J321" s="1107"/>
      <c r="K321" s="1107"/>
      <c r="L321" s="1107"/>
      <c r="M321" s="1107"/>
      <c r="N321" s="1107"/>
      <c r="O321" s="1107"/>
      <c r="P321" s="1107"/>
      <c r="Q321" s="1107"/>
      <c r="R321" s="1107"/>
      <c r="T321" s="41" t="s">
        <v>37</v>
      </c>
      <c r="V321" s="41"/>
      <c r="W321" s="41"/>
      <c r="X321" s="41"/>
      <c r="Y321" s="41"/>
      <c r="AA321" s="1107" t="s">
        <v>2378</v>
      </c>
      <c r="AB321" s="1107"/>
      <c r="AC321" s="1107"/>
      <c r="AD321" s="1107"/>
      <c r="AE321" s="1107"/>
      <c r="AF321" s="1107"/>
      <c r="AG321" s="1107"/>
      <c r="AH321" s="1107"/>
      <c r="AI321" s="1107"/>
      <c r="AJ321" s="1107"/>
      <c r="AK321" s="1107"/>
      <c r="BA321" s="43"/>
    </row>
    <row r="322" spans="2:53" ht="13.2" customHeight="1">
      <c r="B322" s="41" t="s">
        <v>697</v>
      </c>
      <c r="C322" s="41"/>
      <c r="D322" s="41"/>
      <c r="E322" s="41"/>
      <c r="F322" s="41"/>
      <c r="H322" s="1258" t="s">
        <v>2373</v>
      </c>
      <c r="I322" s="1258"/>
      <c r="J322" s="1258"/>
      <c r="K322" s="1258"/>
      <c r="L322" s="1258"/>
      <c r="M322" s="1258"/>
      <c r="N322" s="1258"/>
      <c r="O322" s="1258"/>
      <c r="P322" s="1258"/>
      <c r="Q322" s="1258"/>
      <c r="R322" s="1258"/>
      <c r="T322" s="41" t="s">
        <v>697</v>
      </c>
      <c r="V322" s="41"/>
      <c r="W322" s="41"/>
      <c r="X322" s="41"/>
      <c r="Y322" s="41"/>
      <c r="AA322" s="1258" t="s">
        <v>2379</v>
      </c>
      <c r="AB322" s="1258"/>
      <c r="AC322" s="1258"/>
      <c r="AD322" s="1258"/>
      <c r="AE322" s="1258"/>
      <c r="AF322" s="1258"/>
      <c r="AG322" s="1258"/>
      <c r="AH322" s="1258"/>
      <c r="AI322" s="1258"/>
      <c r="AJ322" s="1258"/>
      <c r="AK322" s="1258"/>
      <c r="BA322" s="43"/>
    </row>
    <row r="323" spans="2:53" ht="13.2" customHeight="1">
      <c r="B323" s="41" t="s">
        <v>699</v>
      </c>
      <c r="C323" s="41"/>
      <c r="D323" s="41"/>
      <c r="E323" s="41"/>
      <c r="F323" s="41"/>
      <c r="H323" s="1258" t="s">
        <v>2344</v>
      </c>
      <c r="I323" s="1258"/>
      <c r="J323" s="1258"/>
      <c r="K323" s="1258"/>
      <c r="L323" s="1258"/>
      <c r="M323" s="1258"/>
      <c r="N323" s="1258"/>
      <c r="O323" s="1258"/>
      <c r="P323" s="1258"/>
      <c r="Q323" s="1258"/>
      <c r="R323" s="1258"/>
      <c r="T323" s="41" t="s">
        <v>698</v>
      </c>
      <c r="V323" s="41"/>
      <c r="W323" s="41"/>
      <c r="X323" s="41"/>
      <c r="Y323" s="41"/>
      <c r="AA323" s="1258" t="s">
        <v>2380</v>
      </c>
      <c r="AB323" s="1258"/>
      <c r="AC323" s="1258"/>
      <c r="AD323" s="1258"/>
      <c r="AE323" s="1258"/>
      <c r="AF323" s="1258"/>
      <c r="AG323" s="1258"/>
      <c r="AH323" s="1258"/>
      <c r="AI323" s="1258"/>
      <c r="AJ323" s="1258"/>
      <c r="AK323" s="1258"/>
      <c r="BA323" s="43"/>
    </row>
    <row r="324" spans="2:53" ht="13.2" customHeight="1">
      <c r="B324" s="41" t="s">
        <v>373</v>
      </c>
      <c r="C324" s="41"/>
      <c r="D324" s="41"/>
      <c r="E324" s="41"/>
      <c r="F324" s="41"/>
      <c r="H324" s="1258" t="s">
        <v>2374</v>
      </c>
      <c r="I324" s="1258"/>
      <c r="J324" s="1258"/>
      <c r="K324" s="1258"/>
      <c r="L324" s="1258"/>
      <c r="M324" s="1258"/>
      <c r="N324" s="1258"/>
      <c r="O324" s="1258"/>
      <c r="P324" s="1258"/>
      <c r="Q324" s="1258"/>
      <c r="R324" s="1258"/>
      <c r="T324" s="41" t="s">
        <v>373</v>
      </c>
      <c r="V324" s="41"/>
      <c r="W324" s="41"/>
      <c r="X324" s="41"/>
      <c r="Y324" s="41"/>
      <c r="AA324" s="1258" t="s">
        <v>2381</v>
      </c>
      <c r="AB324" s="1258"/>
      <c r="AC324" s="1258"/>
      <c r="AD324" s="1258"/>
      <c r="AE324" s="1258"/>
      <c r="AF324" s="1258"/>
      <c r="AG324" s="1258"/>
      <c r="AH324" s="1258"/>
      <c r="AI324" s="1258"/>
      <c r="AJ324" s="1258"/>
      <c r="AK324" s="1258"/>
      <c r="BA324" s="43"/>
    </row>
    <row r="325" spans="2:53" ht="13.2" customHeight="1">
      <c r="B325" s="41" t="s">
        <v>374</v>
      </c>
      <c r="C325" s="41"/>
      <c r="D325" s="41"/>
      <c r="E325" s="41"/>
      <c r="F325" s="41"/>
      <c r="G325" s="41"/>
      <c r="H325" s="1405" t="s">
        <v>2375</v>
      </c>
      <c r="I325" s="1405"/>
      <c r="J325" s="1405"/>
      <c r="K325" s="1405"/>
      <c r="L325" s="1405"/>
      <c r="M325" s="1405"/>
      <c r="N325" s="5" t="s">
        <v>816</v>
      </c>
      <c r="O325" s="5"/>
      <c r="P325" s="1393"/>
      <c r="Q325" s="1393"/>
      <c r="R325" s="1393"/>
      <c r="S325" s="41"/>
      <c r="T325" s="41" t="s">
        <v>374</v>
      </c>
      <c r="V325" s="41"/>
      <c r="W325" s="41"/>
      <c r="X325" s="41"/>
      <c r="Y325" s="41"/>
      <c r="AA325" s="1405" t="s">
        <v>2382</v>
      </c>
      <c r="AB325" s="1405"/>
      <c r="AC325" s="1405"/>
      <c r="AD325" s="1405"/>
      <c r="AE325" s="1405"/>
      <c r="AF325" s="1405"/>
      <c r="AG325" s="5" t="s">
        <v>816</v>
      </c>
      <c r="AH325" s="5"/>
      <c r="AI325" s="1393"/>
      <c r="AJ325" s="1393"/>
      <c r="AK325" s="1393"/>
      <c r="BA325" s="43"/>
    </row>
    <row r="326" spans="2:53" ht="13.2" customHeight="1">
      <c r="B326" s="41" t="s">
        <v>375</v>
      </c>
      <c r="C326" s="41"/>
      <c r="D326" s="41"/>
      <c r="E326" s="41"/>
      <c r="F326" s="41"/>
      <c r="G326" s="41"/>
      <c r="H326" s="1264"/>
      <c r="I326" s="1264"/>
      <c r="J326" s="1264"/>
      <c r="K326" s="1264"/>
      <c r="L326" s="1264"/>
      <c r="M326" s="1264"/>
      <c r="N326" s="5"/>
      <c r="O326" s="5"/>
      <c r="P326" s="44"/>
      <c r="Q326" s="44"/>
      <c r="R326" s="44"/>
      <c r="S326" s="41"/>
      <c r="T326" s="41" t="s">
        <v>375</v>
      </c>
      <c r="V326" s="41"/>
      <c r="W326" s="41"/>
      <c r="X326" s="41"/>
      <c r="Y326" s="41"/>
      <c r="AA326" s="1264"/>
      <c r="AB326" s="1264"/>
      <c r="AC326" s="1264"/>
      <c r="AD326" s="1264"/>
      <c r="AE326" s="1264"/>
      <c r="AF326" s="1264"/>
      <c r="AG326" s="5"/>
      <c r="AH326" s="5"/>
      <c r="AI326" s="44"/>
      <c r="AJ326" s="44"/>
      <c r="AK326" s="44"/>
      <c r="BA326" s="43"/>
    </row>
    <row r="327" spans="2:53" ht="13.2" customHeight="1">
      <c r="B327" s="41" t="s">
        <v>700</v>
      </c>
      <c r="C327" s="41"/>
      <c r="D327" s="41"/>
      <c r="E327" s="41"/>
      <c r="F327" s="41"/>
      <c r="G327" s="41"/>
      <c r="H327" s="1258" t="s">
        <v>2376</v>
      </c>
      <c r="I327" s="1258"/>
      <c r="J327" s="1258"/>
      <c r="K327" s="1258"/>
      <c r="L327" s="1258"/>
      <c r="M327" s="1258"/>
      <c r="N327" s="1107"/>
      <c r="O327" s="1107"/>
      <c r="P327" s="1107"/>
      <c r="Q327" s="1107"/>
      <c r="R327" s="1107"/>
      <c r="S327" s="41"/>
      <c r="T327" s="41" t="s">
        <v>700</v>
      </c>
      <c r="V327" s="41"/>
      <c r="W327" s="41"/>
      <c r="X327" s="41"/>
      <c r="Y327" s="41"/>
      <c r="AA327" s="1258" t="s">
        <v>2383</v>
      </c>
      <c r="AB327" s="1258"/>
      <c r="AC327" s="1258"/>
      <c r="AD327" s="1258"/>
      <c r="AE327" s="1258"/>
      <c r="AF327" s="1258"/>
      <c r="AG327" s="1107"/>
      <c r="AH327" s="1107"/>
      <c r="AI327" s="1107"/>
      <c r="AJ327" s="1107"/>
      <c r="AK327" s="1107"/>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38</v>
      </c>
      <c r="C329" s="41"/>
      <c r="D329" s="41"/>
      <c r="E329" s="41"/>
      <c r="F329" s="41"/>
      <c r="H329" s="1103" t="s">
        <v>2384</v>
      </c>
      <c r="I329" s="1107"/>
      <c r="J329" s="1107"/>
      <c r="K329" s="1107"/>
      <c r="L329" s="1107"/>
      <c r="M329" s="1107"/>
      <c r="N329" s="1107"/>
      <c r="O329" s="1107"/>
      <c r="P329" s="1107"/>
      <c r="Q329" s="1107"/>
      <c r="R329" s="1107"/>
      <c r="T329" s="5" t="s">
        <v>1104</v>
      </c>
      <c r="V329" s="41"/>
      <c r="W329" s="41"/>
      <c r="X329" s="41"/>
      <c r="Y329" s="41"/>
      <c r="AA329" s="1107" t="s">
        <v>2389</v>
      </c>
      <c r="AB329" s="1107"/>
      <c r="AC329" s="1107"/>
      <c r="AD329" s="1107"/>
      <c r="AE329" s="1107"/>
      <c r="AF329" s="1107"/>
      <c r="AG329" s="1107"/>
      <c r="AH329" s="1107"/>
      <c r="AI329" s="1107"/>
      <c r="AJ329" s="1107"/>
      <c r="AK329" s="1107"/>
      <c r="BA329" s="43"/>
    </row>
    <row r="330" spans="2:53" ht="13.2" customHeight="1">
      <c r="B330" s="41" t="s">
        <v>697</v>
      </c>
      <c r="C330" s="41"/>
      <c r="D330" s="41"/>
      <c r="E330" s="41"/>
      <c r="F330" s="41"/>
      <c r="H330" s="1352" t="s">
        <v>2385</v>
      </c>
      <c r="I330" s="1258"/>
      <c r="J330" s="1258"/>
      <c r="K330" s="1258"/>
      <c r="L330" s="1258"/>
      <c r="M330" s="1258"/>
      <c r="N330" s="1258"/>
      <c r="O330" s="1258"/>
      <c r="P330" s="1258"/>
      <c r="Q330" s="1258"/>
      <c r="R330" s="1258"/>
      <c r="T330" s="41" t="s">
        <v>697</v>
      </c>
      <c r="V330" s="41"/>
      <c r="W330" s="41"/>
      <c r="X330" s="41"/>
      <c r="Y330" s="41"/>
      <c r="AA330" s="1258" t="s">
        <v>2329</v>
      </c>
      <c r="AB330" s="1258"/>
      <c r="AC330" s="1258"/>
      <c r="AD330" s="1258"/>
      <c r="AE330" s="1258"/>
      <c r="AF330" s="1258"/>
      <c r="AG330" s="1258"/>
      <c r="AH330" s="1258"/>
      <c r="AI330" s="1258"/>
      <c r="AJ330" s="1258"/>
      <c r="AK330" s="1258"/>
      <c r="BA330" s="43"/>
    </row>
    <row r="331" spans="2:53" ht="13.2" customHeight="1">
      <c r="B331" s="41" t="s">
        <v>699</v>
      </c>
      <c r="C331" s="41"/>
      <c r="D331" s="41"/>
      <c r="E331" s="41"/>
      <c r="F331" s="41"/>
      <c r="G331" s="41"/>
      <c r="H331" s="1352" t="s">
        <v>2386</v>
      </c>
      <c r="I331" s="1258"/>
      <c r="J331" s="1258"/>
      <c r="K331" s="1258"/>
      <c r="L331" s="1258"/>
      <c r="M331" s="1258"/>
      <c r="N331" s="1258"/>
      <c r="O331" s="1258"/>
      <c r="P331" s="1258"/>
      <c r="Q331" s="1258"/>
      <c r="R331" s="1258"/>
      <c r="T331" s="41" t="s">
        <v>698</v>
      </c>
      <c r="V331" s="41"/>
      <c r="W331" s="41"/>
      <c r="X331" s="41"/>
      <c r="Y331" s="41"/>
      <c r="AA331" s="1258" t="s">
        <v>2341</v>
      </c>
      <c r="AB331" s="1258"/>
      <c r="AC331" s="1258"/>
      <c r="AD331" s="1258"/>
      <c r="AE331" s="1258"/>
      <c r="AF331" s="1258"/>
      <c r="AG331" s="1258"/>
      <c r="AH331" s="1258"/>
      <c r="AI331" s="1258"/>
      <c r="AJ331" s="1258"/>
      <c r="AK331" s="1258"/>
      <c r="BA331" s="43"/>
    </row>
    <row r="332" spans="2:53" ht="13.2" customHeight="1">
      <c r="B332" s="41" t="s">
        <v>373</v>
      </c>
      <c r="C332" s="41"/>
      <c r="D332" s="41"/>
      <c r="E332" s="41"/>
      <c r="F332" s="41"/>
      <c r="H332" s="1352" t="s">
        <v>2388</v>
      </c>
      <c r="I332" s="1258"/>
      <c r="J332" s="1258"/>
      <c r="K332" s="1258"/>
      <c r="L332" s="1258"/>
      <c r="M332" s="1258"/>
      <c r="N332" s="1258"/>
      <c r="O332" s="1258"/>
      <c r="P332" s="1258"/>
      <c r="Q332" s="1258"/>
      <c r="R332" s="1258"/>
      <c r="T332" s="41" t="s">
        <v>373</v>
      </c>
      <c r="V332" s="41"/>
      <c r="W332" s="41"/>
      <c r="X332" s="41"/>
      <c r="Y332" s="41"/>
      <c r="AA332" s="1258" t="s">
        <v>2390</v>
      </c>
      <c r="AB332" s="1258"/>
      <c r="AC332" s="1258"/>
      <c r="AD332" s="1258"/>
      <c r="AE332" s="1258"/>
      <c r="AF332" s="1258"/>
      <c r="AG332" s="1258"/>
      <c r="AH332" s="1258"/>
      <c r="AI332" s="1258"/>
      <c r="AJ332" s="1258"/>
      <c r="AK332" s="1258"/>
      <c r="BA332" s="43"/>
    </row>
    <row r="333" spans="2:53" ht="13.2" customHeight="1">
      <c r="B333" s="41" t="s">
        <v>374</v>
      </c>
      <c r="C333" s="41"/>
      <c r="D333" s="41"/>
      <c r="E333" s="41"/>
      <c r="F333" s="41"/>
      <c r="G333" s="41"/>
      <c r="H333" s="1404" t="s">
        <v>2387</v>
      </c>
      <c r="I333" s="1405"/>
      <c r="J333" s="1405"/>
      <c r="K333" s="1405"/>
      <c r="L333" s="1405"/>
      <c r="M333" s="1405"/>
      <c r="N333" s="5" t="s">
        <v>816</v>
      </c>
      <c r="O333" s="5"/>
      <c r="P333" s="1393"/>
      <c r="Q333" s="1393"/>
      <c r="R333" s="1393"/>
      <c r="T333" s="41" t="s">
        <v>374</v>
      </c>
      <c r="V333" s="41"/>
      <c r="W333" s="41"/>
      <c r="X333" s="41"/>
      <c r="Y333" s="41"/>
      <c r="AA333" s="1405" t="s">
        <v>2391</v>
      </c>
      <c r="AB333" s="1405"/>
      <c r="AC333" s="1405"/>
      <c r="AD333" s="1405"/>
      <c r="AE333" s="1405"/>
      <c r="AF333" s="1405"/>
      <c r="AG333" s="5" t="s">
        <v>816</v>
      </c>
      <c r="AH333" s="5"/>
      <c r="AI333" s="1393"/>
      <c r="AJ333" s="1393"/>
      <c r="AK333" s="1393"/>
      <c r="BA333" s="43"/>
    </row>
    <row r="334" spans="2:53" ht="13.2" customHeight="1">
      <c r="B334" s="41" t="s">
        <v>375</v>
      </c>
      <c r="C334" s="41"/>
      <c r="D334" s="41"/>
      <c r="E334" s="41"/>
      <c r="F334" s="41"/>
      <c r="G334" s="41"/>
      <c r="H334" s="1264"/>
      <c r="I334" s="1264"/>
      <c r="J334" s="1264"/>
      <c r="K334" s="1264"/>
      <c r="L334" s="1264"/>
      <c r="M334" s="1264"/>
      <c r="N334" s="5"/>
      <c r="O334" s="5"/>
      <c r="P334" s="44"/>
      <c r="Q334" s="44"/>
      <c r="R334" s="44"/>
      <c r="T334" s="41" t="s">
        <v>375</v>
      </c>
      <c r="V334" s="41"/>
      <c r="W334" s="41"/>
      <c r="X334" s="41"/>
      <c r="Y334" s="41"/>
      <c r="AA334" s="1264"/>
      <c r="AB334" s="1264"/>
      <c r="AC334" s="1264"/>
      <c r="AD334" s="1264"/>
      <c r="AE334" s="1264"/>
      <c r="AF334" s="1264"/>
      <c r="AG334" s="5"/>
      <c r="AH334" s="5"/>
      <c r="AI334" s="44"/>
      <c r="AJ334" s="44"/>
      <c r="AK334" s="44"/>
      <c r="BA334" s="43"/>
    </row>
    <row r="335" spans="2:53" ht="13.2" customHeight="1">
      <c r="B335" s="41" t="s">
        <v>700</v>
      </c>
      <c r="C335" s="41"/>
      <c r="D335" s="41"/>
      <c r="E335" s="41"/>
      <c r="F335" s="41"/>
      <c r="G335" s="41"/>
      <c r="H335" s="1352" t="s">
        <v>2394</v>
      </c>
      <c r="I335" s="1258"/>
      <c r="J335" s="1258"/>
      <c r="K335" s="1258"/>
      <c r="L335" s="1258"/>
      <c r="M335" s="1258"/>
      <c r="N335" s="1107"/>
      <c r="O335" s="1107"/>
      <c r="P335" s="1107"/>
      <c r="Q335" s="1107"/>
      <c r="R335" s="1107"/>
      <c r="T335" s="41" t="s">
        <v>700</v>
      </c>
      <c r="V335" s="41"/>
      <c r="W335" s="41"/>
      <c r="X335" s="41"/>
      <c r="Y335" s="41"/>
      <c r="AA335" s="1258" t="s">
        <v>2392</v>
      </c>
      <c r="AB335" s="1258"/>
      <c r="AC335" s="1258"/>
      <c r="AD335" s="1258"/>
      <c r="AE335" s="1258"/>
      <c r="AF335" s="1258"/>
      <c r="AG335" s="1107"/>
      <c r="AH335" s="1107"/>
      <c r="AI335" s="1107"/>
      <c r="AJ335" s="1107"/>
      <c r="AK335" s="1107"/>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39</v>
      </c>
      <c r="C337" s="361"/>
      <c r="D337" s="361"/>
      <c r="E337" s="361"/>
      <c r="F337" s="361"/>
      <c r="G337" s="361"/>
      <c r="H337" s="1103" t="s">
        <v>2335</v>
      </c>
      <c r="I337" s="1107"/>
      <c r="J337" s="1107"/>
      <c r="K337" s="1107"/>
      <c r="L337" s="1107"/>
      <c r="M337" s="1107"/>
      <c r="N337" s="1107"/>
      <c r="O337" s="1107"/>
      <c r="P337" s="1107"/>
      <c r="Q337" s="1107"/>
      <c r="R337" s="1107"/>
      <c r="T337" s="361" t="s">
        <v>1143</v>
      </c>
      <c r="AA337" s="1103" t="s">
        <v>2335</v>
      </c>
      <c r="AB337" s="1107"/>
      <c r="AC337" s="1107"/>
      <c r="AD337" s="1107"/>
      <c r="AE337" s="1107"/>
      <c r="AF337" s="1107"/>
      <c r="AG337" s="1107"/>
      <c r="AH337" s="1107"/>
      <c r="AI337" s="1107"/>
      <c r="AJ337" s="1107"/>
      <c r="AK337" s="1107"/>
      <c r="BA337" s="43"/>
    </row>
    <row r="338" spans="1:53" ht="13.2" customHeight="1">
      <c r="B338" s="361" t="s">
        <v>697</v>
      </c>
      <c r="C338" s="361"/>
      <c r="D338" s="361"/>
      <c r="E338" s="361"/>
      <c r="F338" s="361"/>
      <c r="G338" s="361"/>
      <c r="H338" s="1258"/>
      <c r="I338" s="1258"/>
      <c r="J338" s="1258"/>
      <c r="K338" s="1258"/>
      <c r="L338" s="1258"/>
      <c r="M338" s="1258"/>
      <c r="N338" s="1258"/>
      <c r="O338" s="1258"/>
      <c r="P338" s="1258"/>
      <c r="Q338" s="1258"/>
      <c r="R338" s="1258"/>
      <c r="T338" s="41" t="s">
        <v>697</v>
      </c>
      <c r="AA338" s="1258"/>
      <c r="AB338" s="1258"/>
      <c r="AC338" s="1258"/>
      <c r="AD338" s="1258"/>
      <c r="AE338" s="1258"/>
      <c r="AF338" s="1258"/>
      <c r="AG338" s="1258"/>
      <c r="AH338" s="1258"/>
      <c r="AI338" s="1258"/>
      <c r="AJ338" s="1258"/>
      <c r="AK338" s="1258"/>
      <c r="BA338" s="43"/>
    </row>
    <row r="339" spans="1:53" ht="13.2" customHeight="1">
      <c r="B339" s="361" t="s">
        <v>699</v>
      </c>
      <c r="C339" s="361"/>
      <c r="D339" s="361"/>
      <c r="E339" s="361"/>
      <c r="F339" s="361"/>
      <c r="G339" s="361"/>
      <c r="H339" s="1258"/>
      <c r="I339" s="1258"/>
      <c r="J339" s="1258"/>
      <c r="K339" s="1258"/>
      <c r="L339" s="1258"/>
      <c r="M339" s="1258"/>
      <c r="N339" s="1258"/>
      <c r="O339" s="1258"/>
      <c r="P339" s="1258"/>
      <c r="Q339" s="1258"/>
      <c r="R339" s="1258"/>
      <c r="T339" s="41" t="s">
        <v>698</v>
      </c>
      <c r="AA339" s="1258"/>
      <c r="AB339" s="1258"/>
      <c r="AC339" s="1258"/>
      <c r="AD339" s="1258"/>
      <c r="AE339" s="1258"/>
      <c r="AF339" s="1258"/>
      <c r="AG339" s="1258"/>
      <c r="AH339" s="1258"/>
      <c r="AI339" s="1258"/>
      <c r="AJ339" s="1258"/>
      <c r="AK339" s="1258"/>
    </row>
    <row r="340" spans="1:53" ht="13.2" customHeight="1">
      <c r="B340" s="361" t="s">
        <v>373</v>
      </c>
      <c r="C340" s="361"/>
      <c r="D340" s="361"/>
      <c r="E340" s="361"/>
      <c r="F340" s="361"/>
      <c r="G340" s="361"/>
      <c r="H340" s="1258"/>
      <c r="I340" s="1258"/>
      <c r="J340" s="1258"/>
      <c r="K340" s="1258"/>
      <c r="L340" s="1258"/>
      <c r="M340" s="1258"/>
      <c r="N340" s="1258"/>
      <c r="O340" s="1258"/>
      <c r="P340" s="1258"/>
      <c r="Q340" s="1258"/>
      <c r="R340" s="1258"/>
      <c r="T340" s="41" t="s">
        <v>373</v>
      </c>
      <c r="AA340" s="1258"/>
      <c r="AB340" s="1258"/>
      <c r="AC340" s="1258"/>
      <c r="AD340" s="1258"/>
      <c r="AE340" s="1258"/>
      <c r="AF340" s="1258"/>
      <c r="AG340" s="1258"/>
      <c r="AH340" s="1258"/>
      <c r="AI340" s="1258"/>
      <c r="AJ340" s="1258"/>
      <c r="AK340" s="1258"/>
    </row>
    <row r="341" spans="1:53" ht="13.2" customHeight="1">
      <c r="B341" s="361" t="s">
        <v>374</v>
      </c>
      <c r="C341" s="361"/>
      <c r="D341" s="361"/>
      <c r="E341" s="361"/>
      <c r="F341" s="361"/>
      <c r="G341" s="361"/>
      <c r="H341" s="1405"/>
      <c r="I341" s="1405"/>
      <c r="J341" s="1405"/>
      <c r="K341" s="1405"/>
      <c r="L341" s="1405"/>
      <c r="M341" s="1405"/>
      <c r="N341" s="5" t="s">
        <v>816</v>
      </c>
      <c r="O341" s="5"/>
      <c r="P341" s="1393"/>
      <c r="Q341" s="1393"/>
      <c r="R341" s="1393"/>
      <c r="T341" s="41" t="s">
        <v>374</v>
      </c>
      <c r="AA341" s="1405"/>
      <c r="AB341" s="1405"/>
      <c r="AC341" s="1405"/>
      <c r="AD341" s="1405"/>
      <c r="AE341" s="1405"/>
      <c r="AF341" s="1405"/>
      <c r="AG341" s="5" t="s">
        <v>816</v>
      </c>
      <c r="AH341" s="5"/>
      <c r="AI341" s="1393"/>
      <c r="AJ341" s="1393"/>
      <c r="AK341" s="1393"/>
    </row>
    <row r="342" spans="1:53" ht="13.2" customHeight="1">
      <c r="B342" s="361" t="s">
        <v>375</v>
      </c>
      <c r="C342" s="361"/>
      <c r="D342" s="361"/>
      <c r="E342" s="361"/>
      <c r="F342" s="361"/>
      <c r="G342" s="361"/>
      <c r="H342" s="1264"/>
      <c r="I342" s="1264"/>
      <c r="J342" s="1264"/>
      <c r="K342" s="1264"/>
      <c r="L342" s="1264"/>
      <c r="M342" s="1264"/>
      <c r="N342" s="5"/>
      <c r="O342" s="5"/>
      <c r="P342" s="44"/>
      <c r="Q342" s="44"/>
      <c r="R342" s="44"/>
      <c r="T342" s="41" t="s">
        <v>375</v>
      </c>
      <c r="AA342" s="1264"/>
      <c r="AB342" s="1264"/>
      <c r="AC342" s="1264"/>
      <c r="AD342" s="1264"/>
      <c r="AE342" s="1264"/>
      <c r="AF342" s="1264"/>
      <c r="AG342" s="5"/>
      <c r="AH342" s="5"/>
      <c r="AI342" s="44"/>
      <c r="AJ342" s="44"/>
      <c r="AK342" s="44"/>
    </row>
    <row r="343" spans="1:53" ht="13.2" customHeight="1">
      <c r="B343" s="361" t="s">
        <v>700</v>
      </c>
      <c r="C343" s="361"/>
      <c r="D343" s="361"/>
      <c r="E343" s="361"/>
      <c r="F343" s="361"/>
      <c r="G343" s="361"/>
      <c r="H343" s="1258"/>
      <c r="I343" s="1258"/>
      <c r="J343" s="1258"/>
      <c r="K343" s="1258"/>
      <c r="L343" s="1258"/>
      <c r="M343" s="1258"/>
      <c r="N343" s="1107"/>
      <c r="O343" s="1107"/>
      <c r="P343" s="1107"/>
      <c r="Q343" s="1107"/>
      <c r="R343" s="1107"/>
      <c r="T343" s="41" t="s">
        <v>700</v>
      </c>
      <c r="AA343" s="1258"/>
      <c r="AB343" s="1258"/>
      <c r="AC343" s="1258"/>
      <c r="AD343" s="1258"/>
      <c r="AE343" s="1258"/>
      <c r="AF343" s="1258"/>
      <c r="AG343" s="1107"/>
      <c r="AH343" s="1107"/>
      <c r="AI343" s="1107"/>
      <c r="AJ343" s="1107"/>
      <c r="AK343" s="1107"/>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083" t="s">
        <v>496</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3.2"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3.2"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651</v>
      </c>
      <c r="B348" s="3"/>
      <c r="C348" s="3" t="s">
        <v>530</v>
      </c>
    </row>
    <row r="349" spans="1:53" ht="13.2" customHeight="1">
      <c r="D349" t="s">
        <v>40</v>
      </c>
      <c r="M349" s="1098" t="s">
        <v>107</v>
      </c>
      <c r="N349" s="1098"/>
      <c r="P349" t="s">
        <v>1959</v>
      </c>
      <c r="AJ349" s="1098" t="s">
        <v>123</v>
      </c>
      <c r="AK349" s="1098"/>
    </row>
    <row r="350" spans="1:53" ht="13.2" customHeight="1">
      <c r="D350" s="41" t="s">
        <v>1886</v>
      </c>
      <c r="M350" s="1098" t="s">
        <v>123</v>
      </c>
      <c r="N350" s="1098"/>
      <c r="P350" s="41" t="s">
        <v>1960</v>
      </c>
      <c r="AJ350" s="1327"/>
      <c r="AK350" s="1327"/>
    </row>
    <row r="351" spans="1:53" ht="13.2" customHeight="1">
      <c r="D351" t="s">
        <v>312</v>
      </c>
      <c r="M351" s="1098" t="s">
        <v>123</v>
      </c>
      <c r="N351" s="1098"/>
      <c r="P351" t="s">
        <v>1961</v>
      </c>
      <c r="AJ351" s="1098" t="s">
        <v>123</v>
      </c>
      <c r="AK351" s="1098"/>
    </row>
    <row r="352" spans="1:53" ht="13.2" customHeight="1">
      <c r="D352" t="s">
        <v>313</v>
      </c>
      <c r="M352" s="1098" t="s">
        <v>123</v>
      </c>
      <c r="N352" s="1098"/>
      <c r="Q352" s="41"/>
    </row>
    <row r="353" spans="1:57" ht="13.2" customHeight="1">
      <c r="P353" s="361"/>
      <c r="Q353" s="361"/>
      <c r="R353" s="361"/>
    </row>
    <row r="354" spans="1:57" ht="13.2" customHeight="1"/>
    <row r="355" spans="1:57" ht="13.2" customHeight="1">
      <c r="A355" s="3" t="s">
        <v>8</v>
      </c>
      <c r="B355" s="3"/>
      <c r="C355" s="3" t="s">
        <v>879</v>
      </c>
      <c r="D355" s="3"/>
    </row>
    <row r="356" spans="1:57" ht="13.2" customHeight="1">
      <c r="D356" s="48" t="s">
        <v>891</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892</v>
      </c>
      <c r="E357" s="49"/>
      <c r="F357" s="49"/>
      <c r="G357" s="49"/>
      <c r="H357" s="49"/>
      <c r="I357" s="49"/>
      <c r="J357" s="49"/>
      <c r="K357" s="49"/>
      <c r="L357" s="49"/>
      <c r="M357" s="49"/>
      <c r="N357" s="1098" t="s">
        <v>123</v>
      </c>
      <c r="O357" s="1098"/>
      <c r="P357" s="49"/>
      <c r="Q357" s="49"/>
      <c r="R357" s="49"/>
      <c r="S357" s="49"/>
      <c r="T357" s="49"/>
      <c r="U357" s="49"/>
      <c r="V357" s="49"/>
      <c r="W357" s="49"/>
      <c r="X357" s="49"/>
      <c r="Y357" s="49"/>
      <c r="Z357" s="49"/>
      <c r="AC357" s="49"/>
      <c r="AD357" s="49"/>
      <c r="AE357" s="49"/>
    </row>
    <row r="358" spans="1:57" ht="13.2" customHeight="1">
      <c r="E358" t="s">
        <v>731</v>
      </c>
      <c r="Y358" s="1098" t="s">
        <v>123</v>
      </c>
      <c r="Z358" s="1098"/>
    </row>
    <row r="359" spans="1:57" ht="13.2" customHeight="1">
      <c r="D359" t="s">
        <v>893</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894</v>
      </c>
      <c r="E360" s="49"/>
      <c r="F360" s="49"/>
      <c r="G360" s="49"/>
      <c r="H360" s="49"/>
      <c r="I360" s="49"/>
      <c r="J360" s="1098" t="s">
        <v>123</v>
      </c>
      <c r="K360" s="1098"/>
      <c r="L360" s="49"/>
      <c r="M360" s="49"/>
      <c r="N360" s="49"/>
      <c r="O360" s="49"/>
      <c r="P360" s="49"/>
      <c r="Q360" s="49"/>
      <c r="R360" s="49"/>
      <c r="S360" s="49"/>
      <c r="T360" s="49"/>
      <c r="U360" s="49"/>
      <c r="V360" s="49"/>
      <c r="W360" s="49"/>
      <c r="X360" s="49"/>
      <c r="Y360" s="49"/>
      <c r="Z360" s="49"/>
      <c r="AC360" s="49"/>
      <c r="AD360" s="49"/>
      <c r="AE360" s="49"/>
    </row>
    <row r="361" spans="1:57" ht="13.2" customHeight="1">
      <c r="E361" s="975" t="s">
        <v>314</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123</v>
      </c>
    </row>
    <row r="362" spans="1:57" ht="13.2"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481</v>
      </c>
    </row>
    <row r="363" spans="1:57" ht="13.2" customHeight="1">
      <c r="E363" s="5" t="s">
        <v>588</v>
      </c>
      <c r="F363" s="5"/>
      <c r="G363" s="5"/>
      <c r="H363" s="5"/>
      <c r="I363" s="5"/>
      <c r="J363" s="5"/>
      <c r="K363" s="5"/>
      <c r="L363" s="5"/>
      <c r="N363" s="1101"/>
      <c r="O363" s="1101"/>
      <c r="P363" s="1101"/>
      <c r="Q363" s="1101"/>
      <c r="R363" s="5"/>
      <c r="U363" s="5" t="s">
        <v>589</v>
      </c>
      <c r="V363" s="5"/>
      <c r="W363" s="5"/>
      <c r="X363" s="5"/>
      <c r="Y363" s="5"/>
      <c r="Z363" s="5"/>
      <c r="AA363" s="5"/>
      <c r="AB363" s="5"/>
      <c r="AC363" s="1101"/>
      <c r="AD363" s="1101"/>
      <c r="AE363" s="1101"/>
      <c r="AF363" s="1101"/>
      <c r="BE363" t="s">
        <v>107</v>
      </c>
    </row>
    <row r="364" spans="1:57" ht="13.2" customHeight="1">
      <c r="E364" s="5" t="s">
        <v>590</v>
      </c>
      <c r="F364" s="5"/>
      <c r="G364" s="5"/>
      <c r="H364" s="5"/>
      <c r="I364" s="5"/>
      <c r="J364" s="5"/>
      <c r="K364" s="5"/>
      <c r="L364" s="5"/>
      <c r="N364" s="1101"/>
      <c r="O364" s="1101"/>
      <c r="P364" s="1101"/>
      <c r="Q364" s="1101"/>
      <c r="R364" s="5"/>
      <c r="U364" s="5" t="s">
        <v>591</v>
      </c>
      <c r="V364" s="5"/>
      <c r="W364" s="5"/>
      <c r="X364" s="5"/>
      <c r="Y364" s="5"/>
      <c r="Z364" s="5"/>
      <c r="AA364" s="5"/>
      <c r="AB364" s="5"/>
      <c r="AC364" s="1101"/>
      <c r="AD364" s="1101"/>
      <c r="AE364" s="1101"/>
      <c r="AF364" s="1101"/>
    </row>
    <row r="365" spans="1:57" ht="13.2" customHeight="1">
      <c r="E365" s="5" t="s">
        <v>63</v>
      </c>
      <c r="F365" s="5"/>
      <c r="G365" s="5"/>
      <c r="H365" s="5"/>
      <c r="I365" s="5"/>
      <c r="J365" s="5"/>
      <c r="K365" s="5"/>
      <c r="L365" s="5"/>
      <c r="N365" s="1101"/>
      <c r="O365" s="1101"/>
      <c r="P365" s="1101"/>
      <c r="Q365" s="1101"/>
      <c r="R365" s="5"/>
      <c r="V365" s="5"/>
      <c r="W365" s="5"/>
      <c r="X365" s="5"/>
      <c r="Y365" s="5"/>
      <c r="Z365" s="5"/>
      <c r="AA365" s="5"/>
      <c r="AB365" s="5"/>
    </row>
    <row r="366" spans="1:57" ht="13.2" customHeight="1">
      <c r="E366" s="5" t="s">
        <v>64</v>
      </c>
      <c r="F366" s="5"/>
      <c r="G366" s="5"/>
      <c r="H366" s="5"/>
      <c r="I366" s="5"/>
      <c r="J366" s="5"/>
      <c r="K366" s="5"/>
      <c r="L366" s="5"/>
      <c r="N366" s="1471"/>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3.2"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3.2" customHeight="1">
      <c r="E368" s="5"/>
      <c r="F368" s="5"/>
      <c r="G368" s="5"/>
      <c r="H368" s="5"/>
      <c r="I368" s="5"/>
      <c r="J368" s="5"/>
      <c r="K368" s="5"/>
      <c r="L368" s="5"/>
    </row>
    <row r="369" spans="1:36" ht="13.2" customHeight="1">
      <c r="D369" s="373" t="s">
        <v>1232</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2" customHeight="1">
      <c r="D370" s="361"/>
      <c r="E370" s="361" t="s">
        <v>2106</v>
      </c>
      <c r="F370" s="361"/>
      <c r="G370" s="361"/>
      <c r="H370" s="361"/>
      <c r="I370" s="361"/>
      <c r="J370" s="361"/>
      <c r="K370" s="361"/>
      <c r="L370" s="361"/>
      <c r="M370" s="361"/>
      <c r="O370" s="361"/>
      <c r="P370" s="939" t="s">
        <v>2102</v>
      </c>
      <c r="Q370" s="361" t="s">
        <v>230</v>
      </c>
      <c r="R370" s="361"/>
      <c r="S370" s="1306"/>
      <c r="T370" s="1306"/>
      <c r="U370" s="370" t="s">
        <v>231</v>
      </c>
      <c r="V370" s="1306"/>
      <c r="W370" s="1306"/>
      <c r="X370" s="361"/>
      <c r="Z370" s="361"/>
      <c r="AA370" s="939" t="s">
        <v>2102</v>
      </c>
      <c r="AB370" s="361" t="s">
        <v>230</v>
      </c>
      <c r="AC370" s="361"/>
      <c r="AD370" s="1306"/>
      <c r="AE370" s="1306"/>
      <c r="AF370" s="370" t="s">
        <v>231</v>
      </c>
      <c r="AG370" s="1306"/>
      <c r="AH370" s="1306"/>
    </row>
    <row r="371" spans="1:36" ht="13.2" customHeight="1">
      <c r="D371" s="361"/>
      <c r="E371" s="361" t="s">
        <v>1233</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3.2" customHeight="1">
      <c r="D372" s="361"/>
      <c r="E372" s="361" t="s">
        <v>2107</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123</v>
      </c>
      <c r="AH372" s="1330"/>
    </row>
    <row r="373" spans="1:36" ht="13.2" customHeight="1">
      <c r="D373" s="361"/>
      <c r="E373" s="361"/>
      <c r="F373" s="361"/>
      <c r="G373" s="361" t="s">
        <v>2108</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123</v>
      </c>
      <c r="AH373" s="1330"/>
    </row>
    <row r="374" spans="1:36" ht="13.2" customHeight="1">
      <c r="D374" s="361"/>
      <c r="E374" s="361"/>
      <c r="F374" s="361"/>
      <c r="G374" s="504" t="s">
        <v>1283</v>
      </c>
      <c r="H374" s="361"/>
      <c r="I374" s="361"/>
      <c r="J374" s="361"/>
      <c r="K374" s="361"/>
      <c r="L374" s="361"/>
      <c r="M374" s="361"/>
      <c r="N374" s="361"/>
      <c r="O374" s="361"/>
      <c r="P374" s="361"/>
      <c r="Q374" s="361"/>
      <c r="R374" s="361"/>
      <c r="S374" s="361"/>
      <c r="T374" s="361"/>
      <c r="U374" s="361"/>
      <c r="V374" s="1330" t="s">
        <v>123</v>
      </c>
      <c r="W374" s="1330"/>
      <c r="X374" s="361"/>
      <c r="Y374" s="450" t="s">
        <v>1234</v>
      </c>
      <c r="Z374" s="361"/>
      <c r="AA374" s="361"/>
      <c r="AB374" s="361"/>
      <c r="AC374" s="361"/>
      <c r="AD374" s="361"/>
      <c r="AE374" s="361"/>
      <c r="AF374" s="361"/>
      <c r="AG374" s="361"/>
      <c r="AH374" s="361"/>
    </row>
    <row r="375" spans="1:36" ht="13.2" customHeight="1">
      <c r="D375" s="361"/>
      <c r="E375" s="361" t="s">
        <v>1235</v>
      </c>
      <c r="F375" s="361"/>
      <c r="G375" s="361"/>
      <c r="H375" s="361"/>
      <c r="I375" s="361"/>
      <c r="J375" s="361"/>
      <c r="K375" s="361"/>
      <c r="L375" s="361"/>
      <c r="M375" s="361"/>
      <c r="N375" s="361"/>
      <c r="O375" s="361"/>
      <c r="P375" s="361"/>
      <c r="Q375" s="361"/>
      <c r="R375" s="361"/>
      <c r="S375" s="361"/>
      <c r="T375" s="361"/>
      <c r="U375" s="361"/>
      <c r="V375" s="1330" t="s">
        <v>123</v>
      </c>
      <c r="W375" s="1330"/>
      <c r="X375" s="361"/>
      <c r="Y375" s="361" t="s">
        <v>1236</v>
      </c>
      <c r="Z375" s="361"/>
      <c r="AA375" s="361"/>
      <c r="AB375" s="361"/>
      <c r="AC375" s="361"/>
      <c r="AD375" s="361"/>
      <c r="AE375" s="361"/>
      <c r="AF375" s="361"/>
      <c r="AG375" s="361"/>
      <c r="AH375" s="361"/>
    </row>
    <row r="376" spans="1:36" ht="13.2"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2" customHeight="1">
      <c r="A377" s="3" t="s">
        <v>118</v>
      </c>
      <c r="B377" s="3"/>
      <c r="C377" s="3" t="s">
        <v>65</v>
      </c>
    </row>
    <row r="378" spans="1:36" ht="13.2" customHeight="1">
      <c r="D378" t="s">
        <v>274</v>
      </c>
      <c r="J378" s="1103" t="s">
        <v>2393</v>
      </c>
      <c r="K378" s="1107"/>
      <c r="L378" s="1107"/>
      <c r="M378" s="1107"/>
      <c r="N378" s="1107"/>
      <c r="O378" s="1107"/>
      <c r="P378" s="1107"/>
      <c r="Q378" s="1107"/>
      <c r="R378" s="1107"/>
      <c r="S378" s="1107"/>
      <c r="T378" s="1107"/>
      <c r="U378" s="1107"/>
      <c r="V378" s="12" t="s">
        <v>708</v>
      </c>
      <c r="W378" s="12"/>
      <c r="X378" s="12"/>
      <c r="Y378" s="12"/>
      <c r="Z378" s="12"/>
      <c r="AA378" s="12"/>
      <c r="AB378" s="12"/>
      <c r="AC378" s="1103" t="s">
        <v>2395</v>
      </c>
      <c r="AD378" s="1107"/>
      <c r="AE378" s="1107"/>
      <c r="AF378" s="1107"/>
      <c r="AG378" s="1107"/>
      <c r="AH378" s="1107"/>
      <c r="AI378" s="1107"/>
      <c r="AJ378" s="1107"/>
    </row>
    <row r="379" spans="1:36" ht="13.2" customHeight="1">
      <c r="D379" s="41" t="s">
        <v>1962</v>
      </c>
      <c r="J379" s="1352" t="s">
        <v>2395</v>
      </c>
      <c r="K379" s="1258"/>
      <c r="L379" s="1258"/>
      <c r="M379" s="1258"/>
      <c r="N379" s="1258"/>
      <c r="O379" s="1258"/>
      <c r="P379" s="1258"/>
      <c r="Q379" s="1258"/>
      <c r="R379" s="1258"/>
      <c r="S379" s="1258"/>
      <c r="T379" s="1258"/>
      <c r="U379" s="1258"/>
      <c r="V379" s="41" t="s">
        <v>1962</v>
      </c>
      <c r="W379" s="12"/>
      <c r="X379" s="12"/>
      <c r="Y379" s="12"/>
      <c r="Z379" s="12"/>
      <c r="AA379" s="12"/>
      <c r="AB379" s="12"/>
      <c r="AC379" s="1107"/>
      <c r="AD379" s="1107"/>
      <c r="AE379" s="1107"/>
      <c r="AF379" s="1107"/>
      <c r="AG379" s="1107"/>
      <c r="AH379" s="1107"/>
      <c r="AI379" s="1107"/>
      <c r="AJ379" s="1107"/>
    </row>
    <row r="380" spans="1:36" ht="13.2" customHeight="1">
      <c r="D380" s="41" t="s">
        <v>543</v>
      </c>
      <c r="J380" s="1352" t="s">
        <v>2396</v>
      </c>
      <c r="K380" s="1258"/>
      <c r="L380" s="1258"/>
      <c r="M380" s="1258"/>
      <c r="N380" s="1258"/>
      <c r="O380" s="1258"/>
      <c r="P380" s="1258"/>
      <c r="Q380" s="1258"/>
      <c r="R380" s="1258"/>
      <c r="S380" s="1258"/>
      <c r="T380" s="1258"/>
      <c r="U380" s="1258"/>
      <c r="V380" s="41" t="s">
        <v>543</v>
      </c>
      <c r="W380" s="12"/>
      <c r="X380" s="12"/>
      <c r="Y380" s="12"/>
      <c r="Z380" s="12"/>
      <c r="AA380" s="12"/>
      <c r="AB380" s="12"/>
      <c r="AC380" s="1103" t="s">
        <v>2397</v>
      </c>
      <c r="AD380" s="1107"/>
      <c r="AE380" s="1107"/>
      <c r="AF380" s="1107"/>
      <c r="AG380" s="1107"/>
      <c r="AH380" s="1107"/>
      <c r="AI380" s="1107"/>
      <c r="AJ380" s="1107"/>
    </row>
    <row r="381" spans="1:36" ht="13.2" customHeight="1">
      <c r="D381" t="s">
        <v>1963</v>
      </c>
      <c r="J381" s="1056" t="s">
        <v>2444</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3.2" customHeight="1">
      <c r="D382" t="s">
        <v>552</v>
      </c>
      <c r="Q382" s="1364">
        <v>44609</v>
      </c>
      <c r="R382" s="1364"/>
      <c r="S382" s="1364"/>
      <c r="T382" s="1364"/>
      <c r="U382" s="1364"/>
      <c r="V382" t="s">
        <v>167</v>
      </c>
      <c r="AI382" s="1098" t="s">
        <v>481</v>
      </c>
      <c r="AJ382" s="1098"/>
    </row>
    <row r="383" spans="1:36" ht="13.2" customHeight="1">
      <c r="D383" t="s">
        <v>553</v>
      </c>
      <c r="Q383" s="1364" t="s">
        <v>123</v>
      </c>
      <c r="R383" s="1186"/>
      <c r="S383" s="1186"/>
      <c r="T383" s="1186"/>
      <c r="U383" s="1186"/>
      <c r="W383" s="29" t="s">
        <v>20</v>
      </c>
      <c r="AG383" s="1354"/>
      <c r="AH383" s="1354"/>
      <c r="AI383" s="1354"/>
      <c r="AJ383" s="1354"/>
    </row>
    <row r="384" spans="1:36" ht="13.2" customHeight="1">
      <c r="D384" t="s">
        <v>273</v>
      </c>
      <c r="Q384" s="1450">
        <v>4250000</v>
      </c>
      <c r="R384" s="1450"/>
      <c r="S384" s="1450"/>
      <c r="T384" s="1450"/>
      <c r="U384" s="1450"/>
      <c r="V384" s="41" t="s">
        <v>1964</v>
      </c>
      <c r="AG384" s="1507"/>
      <c r="AH384" s="1507"/>
      <c r="AI384" s="1507"/>
      <c r="AJ384" s="1507"/>
    </row>
    <row r="385" spans="4:36" ht="13.2" customHeight="1">
      <c r="D385" t="s">
        <v>374</v>
      </c>
      <c r="I385" s="1404"/>
      <c r="J385" s="1404"/>
      <c r="K385" s="1404"/>
      <c r="L385" s="1404"/>
      <c r="M385" s="1404"/>
      <c r="N385" s="1404"/>
      <c r="Q385" s="41" t="s">
        <v>816</v>
      </c>
      <c r="S385" s="1527"/>
      <c r="T385" s="1527"/>
      <c r="U385" s="1527"/>
      <c r="V385" t="s">
        <v>19</v>
      </c>
      <c r="AI385" s="1098" t="s">
        <v>481</v>
      </c>
      <c r="AJ385" s="1098"/>
    </row>
    <row r="386" spans="4:36" ht="13.2" customHeight="1">
      <c r="D386" t="s">
        <v>168</v>
      </c>
      <c r="Q386" s="1059"/>
      <c r="R386" s="1059"/>
      <c r="S386" s="1059"/>
      <c r="T386" s="1059"/>
      <c r="U386" s="1059"/>
      <c r="V386" t="s">
        <v>169</v>
      </c>
      <c r="AG386" s="1354">
        <v>200311</v>
      </c>
      <c r="AH386" s="1354"/>
      <c r="AI386" s="1354"/>
      <c r="AJ386" s="1354"/>
    </row>
    <row r="387" spans="4:36" ht="13.2" customHeight="1">
      <c r="D387" t="s">
        <v>25</v>
      </c>
      <c r="Q387" s="1411">
        <v>1.1258000000000001E-2</v>
      </c>
      <c r="R387" s="1411"/>
      <c r="S387" s="1411"/>
      <c r="T387" s="1411"/>
      <c r="U387" s="1411"/>
      <c r="V387" t="s">
        <v>1680</v>
      </c>
      <c r="AG387" s="1354"/>
      <c r="AH387" s="1354"/>
      <c r="AI387" s="1354"/>
      <c r="AJ387" s="1354"/>
    </row>
    <row r="388" spans="4:36" ht="13.2" customHeight="1">
      <c r="D388" t="s">
        <v>1965</v>
      </c>
      <c r="AG388" s="1354"/>
      <c r="AH388" s="1354"/>
      <c r="AI388" s="1354"/>
      <c r="AJ388" s="1354"/>
    </row>
    <row r="389" spans="4:36" ht="13.2" customHeight="1">
      <c r="AG389" s="831"/>
      <c r="AH389" s="831"/>
      <c r="AI389" s="831"/>
      <c r="AJ389" s="831"/>
    </row>
    <row r="390" spans="4:36" ht="13.2" customHeight="1">
      <c r="D390" s="41" t="s">
        <v>2204</v>
      </c>
      <c r="AG390" s="831"/>
      <c r="AH390" s="831"/>
      <c r="AI390" s="1098" t="s">
        <v>107</v>
      </c>
      <c r="AJ390" s="1098"/>
    </row>
    <row r="391" spans="4:36" ht="13.2" customHeight="1">
      <c r="D391" s="41" t="s">
        <v>1966</v>
      </c>
      <c r="T391" s="1294" t="s">
        <v>2487</v>
      </c>
      <c r="U391" s="1294"/>
      <c r="V391" s="1294"/>
      <c r="W391" s="1294"/>
      <c r="X391" s="1294"/>
      <c r="Y391" s="1294"/>
      <c r="Z391" s="1294"/>
      <c r="AA391" s="1294"/>
      <c r="AB391" s="1294"/>
      <c r="AC391" s="1294"/>
      <c r="AD391" s="1294"/>
      <c r="AE391" s="1294"/>
      <c r="AF391" s="1294"/>
      <c r="AG391" s="1294"/>
      <c r="AH391" s="1294"/>
      <c r="AI391" s="1294"/>
      <c r="AJ391" s="1294"/>
    </row>
    <row r="392" spans="4:36" ht="13.2" customHeight="1">
      <c r="D392" s="41" t="s">
        <v>1967</v>
      </c>
      <c r="T392" s="1294" t="s">
        <v>123</v>
      </c>
      <c r="U392" s="1294"/>
      <c r="V392" s="1294"/>
      <c r="W392" s="1294"/>
      <c r="X392" s="1294"/>
      <c r="Y392" s="1294"/>
      <c r="Z392" s="1294"/>
      <c r="AA392" s="1294"/>
      <c r="AB392" s="1294"/>
      <c r="AC392" s="1294"/>
      <c r="AD392" s="1294"/>
      <c r="AE392" s="1294"/>
      <c r="AF392" s="1294"/>
      <c r="AG392" s="1294"/>
      <c r="AH392" s="1294"/>
      <c r="AI392" s="1294"/>
      <c r="AJ392" s="1294"/>
    </row>
    <row r="393" spans="4:36" ht="13.2" customHeight="1">
      <c r="AG393" s="831"/>
      <c r="AH393" s="831"/>
      <c r="AI393" s="831"/>
      <c r="AJ393" s="831"/>
    </row>
    <row r="394" spans="4:36" ht="13.2" customHeight="1">
      <c r="D394" s="41" t="s">
        <v>1968</v>
      </c>
      <c r="S394" s="1294" t="s">
        <v>481</v>
      </c>
      <c r="T394" s="1294"/>
      <c r="U394" s="1294"/>
      <c r="V394" t="s">
        <v>1969</v>
      </c>
      <c r="AG394" s="1363"/>
      <c r="AH394" s="1363"/>
      <c r="AI394" s="1363"/>
      <c r="AJ394" s="1363"/>
    </row>
    <row r="395" spans="4:36" ht="13.2" customHeight="1">
      <c r="D395" s="41" t="s">
        <v>1970</v>
      </c>
      <c r="S395" s="1294" t="s">
        <v>123</v>
      </c>
      <c r="T395" s="1294"/>
      <c r="U395" s="1294"/>
      <c r="V395" t="s">
        <v>1971</v>
      </c>
      <c r="AE395" s="1566"/>
      <c r="AF395" s="1566"/>
      <c r="AG395" s="1566"/>
      <c r="AH395" s="1566"/>
      <c r="AI395" s="1566"/>
      <c r="AJ395" s="1566"/>
    </row>
    <row r="396" spans="4:36" ht="13.2" customHeight="1">
      <c r="D396" s="41" t="s">
        <v>1972</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2" customHeight="1">
      <c r="D397" s="41" t="s">
        <v>1973</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2" customHeight="1">
      <c r="D398" s="41" t="s">
        <v>1974</v>
      </c>
      <c r="E398" s="812"/>
      <c r="F398" s="812"/>
      <c r="G398" s="812"/>
      <c r="H398" s="812"/>
      <c r="I398" s="812"/>
      <c r="J398" s="812"/>
      <c r="K398" s="812"/>
      <c r="L398" s="812"/>
      <c r="M398" s="812"/>
      <c r="N398" s="812"/>
      <c r="O398" s="812"/>
      <c r="P398" s="812"/>
      <c r="Q398" s="812"/>
      <c r="R398" s="812"/>
      <c r="S398" s="1365" t="s">
        <v>2398</v>
      </c>
      <c r="T398" s="1365"/>
      <c r="U398" s="1365"/>
      <c r="V398" s="1365"/>
      <c r="W398" s="1365"/>
      <c r="X398" s="1365"/>
      <c r="Y398" s="1365"/>
      <c r="Z398" s="1365"/>
      <c r="AA398" s="1365"/>
      <c r="AB398" s="1365"/>
      <c r="AC398" s="1365"/>
      <c r="AD398" s="1365"/>
      <c r="AE398" s="1365"/>
      <c r="AF398" s="1365"/>
      <c r="AG398" s="1365"/>
      <c r="AH398" s="1365"/>
      <c r="AI398" s="1365"/>
      <c r="AJ398" s="1365"/>
    </row>
    <row r="399" spans="4:36" ht="13.2" customHeight="1">
      <c r="D399" s="972" t="s">
        <v>1976</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3.2"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3.2" customHeight="1">
      <c r="AG401" s="831"/>
      <c r="AH401" s="831"/>
      <c r="AI401" s="831"/>
      <c r="AJ401" s="831"/>
    </row>
    <row r="402" spans="1:36" ht="13.2" customHeight="1">
      <c r="A402" s="3" t="s">
        <v>121</v>
      </c>
      <c r="B402" s="3"/>
      <c r="C402" s="3" t="s">
        <v>897</v>
      </c>
    </row>
    <row r="403" spans="1:36" ht="13.2" customHeight="1">
      <c r="D403" s="3" t="s">
        <v>1733</v>
      </c>
      <c r="I403" s="1103" t="s">
        <v>2399</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3.2" customHeight="1">
      <c r="E404" t="s">
        <v>853</v>
      </c>
      <c r="R404" s="1098" t="s">
        <v>123</v>
      </c>
      <c r="S404" s="1098"/>
      <c r="T404" t="s">
        <v>290</v>
      </c>
      <c r="AD404" s="1101">
        <v>0</v>
      </c>
      <c r="AE404" s="1101"/>
    </row>
    <row r="405" spans="1:36" ht="13.2" customHeight="1">
      <c r="E405" t="s">
        <v>854</v>
      </c>
      <c r="R405" s="1098" t="s">
        <v>107</v>
      </c>
      <c r="S405" s="1098"/>
      <c r="T405" t="s">
        <v>290</v>
      </c>
      <c r="AD405" s="1101">
        <v>3</v>
      </c>
      <c r="AE405" s="1101"/>
    </row>
    <row r="406" spans="1:36" ht="13.2" customHeight="1">
      <c r="E406" t="s">
        <v>855</v>
      </c>
      <c r="S406" s="1098" t="s">
        <v>123</v>
      </c>
      <c r="T406" s="1098"/>
    </row>
    <row r="407" spans="1:36" ht="13.2" customHeight="1">
      <c r="E407" t="s">
        <v>282</v>
      </c>
      <c r="H407" s="1099" t="s">
        <v>2400</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3.2"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3.2" customHeight="1"/>
    <row r="410" spans="1:36" ht="13.2" customHeight="1">
      <c r="A410" s="3" t="s">
        <v>122</v>
      </c>
      <c r="B410" s="3"/>
      <c r="C410" s="3"/>
      <c r="D410" s="3" t="s">
        <v>900</v>
      </c>
      <c r="AE410" s="5"/>
      <c r="AF410" s="3" t="s">
        <v>1212</v>
      </c>
    </row>
    <row r="411" spans="1:36" ht="13.2" customHeight="1">
      <c r="E411" s="1309"/>
      <c r="F411" s="1309"/>
      <c r="G411" s="1309"/>
      <c r="H411" s="18" t="s">
        <v>901</v>
      </c>
      <c r="I411" s="1309"/>
      <c r="J411" s="1309"/>
      <c r="K411" s="1309"/>
      <c r="L411" t="s">
        <v>902</v>
      </c>
      <c r="N411" s="34" t="s">
        <v>849</v>
      </c>
      <c r="P411" s="1398">
        <v>3.33</v>
      </c>
      <c r="Q411" s="1398"/>
      <c r="R411" s="1398"/>
      <c r="S411" t="s">
        <v>903</v>
      </c>
      <c r="W411" s="1399">
        <f>IF(E411&gt;0,(E411*I411),(P411*43560))</f>
        <v>145054.80000000002</v>
      </c>
      <c r="X411" s="1399"/>
      <c r="Y411" s="1399"/>
      <c r="Z411" t="s">
        <v>904</v>
      </c>
      <c r="AF411" s="1310" cm="1">
        <f t="array" ref="AF411">_xlfn.IFS(P411&gt;0,(AG430/P411),W411&gt;0,(AG430/(W411/43560)),TRUE,0)</f>
        <v>21.621621621621621</v>
      </c>
      <c r="AG411" s="1310"/>
      <c r="AH411" s="1310"/>
    </row>
    <row r="412" spans="1:36" ht="13.2" customHeight="1">
      <c r="E412" t="s">
        <v>202</v>
      </c>
    </row>
    <row r="413" spans="1:36" ht="13.2"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2" customHeight="1">
      <c r="E414" s="270" t="s">
        <v>1977</v>
      </c>
      <c r="F414" s="29"/>
      <c r="G414" s="29"/>
      <c r="H414" s="29"/>
      <c r="I414" s="1357">
        <v>3.33</v>
      </c>
      <c r="J414" s="1357"/>
      <c r="K414" s="1357"/>
      <c r="L414" s="29"/>
      <c r="M414" s="270"/>
      <c r="N414" s="29"/>
      <c r="O414" s="29"/>
      <c r="P414" s="1308">
        <f>(CQ628+CS633+CQ647)/I414</f>
        <v>38.738738738738739</v>
      </c>
      <c r="Q414" s="1308"/>
      <c r="R414" s="1308"/>
      <c r="S414" s="270" t="s">
        <v>1978</v>
      </c>
      <c r="T414" s="29"/>
      <c r="U414" s="29"/>
      <c r="V414" s="29"/>
      <c r="W414" s="29"/>
      <c r="X414" s="29"/>
      <c r="Y414" s="878"/>
      <c r="Z414" s="878"/>
      <c r="AA414" s="878"/>
      <c r="AB414" s="878"/>
      <c r="AC414" s="878"/>
      <c r="AD414" s="878"/>
      <c r="AE414" s="878"/>
      <c r="AF414" s="878"/>
      <c r="AG414" s="878"/>
      <c r="AH414" s="878"/>
      <c r="AI414" s="878"/>
      <c r="AJ414" s="878"/>
    </row>
    <row r="415" spans="1:36" ht="13.2" customHeight="1"/>
    <row r="416" spans="1:36" ht="13.2" customHeight="1">
      <c r="A416" s="3" t="s">
        <v>124</v>
      </c>
      <c r="B416" s="3"/>
      <c r="C416" s="3"/>
      <c r="D416" s="3" t="s">
        <v>906</v>
      </c>
    </row>
    <row r="417" spans="1:36" ht="13.2" customHeight="1">
      <c r="E417" t="s">
        <v>450</v>
      </c>
      <c r="P417" s="1098">
        <v>7</v>
      </c>
      <c r="Q417" s="1098"/>
      <c r="S417" t="s">
        <v>133</v>
      </c>
      <c r="AE417" s="1098">
        <v>6</v>
      </c>
      <c r="AF417" s="1098"/>
    </row>
    <row r="418" spans="1:36" ht="13.2" customHeight="1">
      <c r="E418" t="s">
        <v>134</v>
      </c>
      <c r="P418" s="1098">
        <v>1</v>
      </c>
      <c r="Q418" s="1098"/>
      <c r="S418" t="s">
        <v>724</v>
      </c>
      <c r="AE418" s="1098" t="s">
        <v>123</v>
      </c>
      <c r="AF418" s="1098"/>
    </row>
    <row r="419" spans="1:36" ht="13.2" customHeight="1">
      <c r="F419" s="36" t="s">
        <v>220</v>
      </c>
    </row>
    <row r="420" spans="1:36" ht="13.2"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3.2"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3.2" customHeight="1">
      <c r="E422" t="s">
        <v>856</v>
      </c>
      <c r="P422" s="1"/>
      <c r="Q422" s="1098" t="s">
        <v>107</v>
      </c>
      <c r="R422" s="1098"/>
      <c r="AE422" s="1"/>
      <c r="AF422" s="1"/>
    </row>
    <row r="423" spans="1:36" ht="13.2" customHeight="1">
      <c r="F423" t="s">
        <v>857</v>
      </c>
      <c r="P423" s="1"/>
      <c r="Q423" s="1"/>
      <c r="AE423" s="1098" t="s">
        <v>123</v>
      </c>
      <c r="AF423" s="1394"/>
    </row>
    <row r="424" spans="1:36" ht="13.2" customHeight="1"/>
    <row r="425" spans="1:36" ht="13.2" customHeight="1">
      <c r="A425" s="3"/>
      <c r="B425" s="3"/>
      <c r="C425" s="3"/>
      <c r="E425" s="5" t="s">
        <v>79</v>
      </c>
      <c r="Z425" s="1098" t="s">
        <v>481</v>
      </c>
      <c r="AA425" s="1098"/>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42</v>
      </c>
      <c r="G427" s="49"/>
      <c r="I427" s="49"/>
      <c r="J427" s="49"/>
      <c r="K427" s="49"/>
      <c r="L427" s="49"/>
      <c r="M427" s="49"/>
      <c r="N427" s="49"/>
      <c r="Q427" s="41"/>
      <c r="R427" s="49"/>
      <c r="S427" s="49"/>
      <c r="T427" s="49"/>
      <c r="U427" s="49"/>
      <c r="V427" s="49"/>
      <c r="W427" s="49"/>
      <c r="Z427" s="1098" t="s">
        <v>123</v>
      </c>
      <c r="AA427" s="1098"/>
    </row>
    <row r="428" spans="1:36" ht="13.2" customHeight="1"/>
    <row r="429" spans="1:36" ht="13.2" customHeight="1">
      <c r="A429" s="3" t="s">
        <v>366</v>
      </c>
      <c r="B429" s="3"/>
      <c r="C429" s="3"/>
      <c r="D429" s="3" t="s">
        <v>171</v>
      </c>
      <c r="AF429" s="54"/>
    </row>
    <row r="430" spans="1:36" ht="13.2" customHeight="1">
      <c r="D430" s="1360" t="s">
        <v>355</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72</v>
      </c>
      <c r="AH430" s="1091"/>
      <c r="AI430" s="1091"/>
      <c r="AJ430" s="1091"/>
    </row>
    <row r="431" spans="1:36" ht="13.2" customHeight="1">
      <c r="D431" s="1307" t="s">
        <v>2270</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4">
        <v>0</v>
      </c>
      <c r="AH431" s="1565"/>
      <c r="AI431" s="1565"/>
      <c r="AJ431" s="1565"/>
    </row>
    <row r="432" spans="1:36" ht="13.2" customHeight="1">
      <c r="D432" s="1092" t="s">
        <v>1367</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71</v>
      </c>
      <c r="AH432" s="1091"/>
      <c r="AI432" s="1091"/>
      <c r="AJ432" s="1091"/>
    </row>
    <row r="433" spans="4:36" ht="13.2" customHeight="1">
      <c r="D433" s="1092" t="s">
        <v>1364</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71</v>
      </c>
      <c r="AH433" s="1091"/>
      <c r="AI433" s="1091"/>
      <c r="AJ433" s="1091"/>
    </row>
    <row r="434" spans="4:36" ht="13.2" customHeight="1">
      <c r="D434" s="1092" t="s">
        <v>1368</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3.2" customHeight="1">
      <c r="D435" s="1092" t="s">
        <v>1366</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53717-733</f>
        <v>52984</v>
      </c>
      <c r="AH435" s="1102"/>
      <c r="AI435" s="1102"/>
      <c r="AJ435" s="1102"/>
    </row>
    <row r="436" spans="4:36" ht="13.2" customHeight="1">
      <c r="D436" s="1092" t="s">
        <v>1365</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53717-733</f>
        <v>52984</v>
      </c>
      <c r="AH436" s="1102"/>
      <c r="AI436" s="1102"/>
      <c r="AJ436" s="1102"/>
    </row>
    <row r="437" spans="4:36" ht="13.2" customHeight="1">
      <c r="D437" s="1092" t="s">
        <v>1371</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3.2" customHeight="1">
      <c r="D438" s="1092" t="s">
        <v>1369</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3.2" customHeight="1">
      <c r="D439" s="1307" t="s">
        <v>2109</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2818</v>
      </c>
      <c r="AH439" s="1102"/>
      <c r="AI439" s="1102"/>
      <c r="AJ439" s="1102"/>
    </row>
    <row r="440" spans="4:36" ht="13.2" customHeight="1">
      <c r="D440" s="1092" t="s">
        <v>207</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3.2" customHeight="1">
      <c r="D441" s="1307" t="s">
        <v>1734</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66788-55802</f>
        <v>10986</v>
      </c>
      <c r="AH441" s="1102"/>
      <c r="AI441" s="1102"/>
      <c r="AJ441" s="1102"/>
    </row>
    <row r="442" spans="4:36" ht="13.2" customHeight="1">
      <c r="D442" s="1092" t="s">
        <v>1370</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3.2" customHeight="1">
      <c r="D443" s="1092" t="s">
        <v>1372</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3">
        <f>AG435+AG439+AG441+AG442</f>
        <v>66788</v>
      </c>
      <c r="AH443" s="1353"/>
      <c r="AI443" s="1353"/>
      <c r="AJ443" s="1353"/>
    </row>
    <row r="444" spans="4:36" ht="13.2" customHeight="1">
      <c r="D444" s="1358" t="s">
        <v>1735</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3.2"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3.2"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2" customHeight="1">
      <c r="D447" s="3" t="s">
        <v>1034</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793166.8055555555</v>
      </c>
      <c r="AD447" s="1336"/>
      <c r="AE447" s="1336"/>
      <c r="AF447" s="1336"/>
      <c r="AG447" s="1366"/>
      <c r="AH447" s="1366"/>
      <c r="AI447" s="1366"/>
      <c r="AJ447" s="1366"/>
    </row>
    <row r="448" spans="4:36" ht="13.2" customHeight="1">
      <c r="D448" s="3" t="s">
        <v>1035</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793166.8055555555</v>
      </c>
      <c r="AD448" s="1336"/>
      <c r="AE448" s="1336"/>
      <c r="AF448" s="1336"/>
      <c r="AG448" s="1366"/>
      <c r="AH448" s="1366"/>
      <c r="AI448" s="1366"/>
      <c r="AJ448" s="1366"/>
    </row>
    <row r="449" spans="1:38" ht="13.2" customHeight="1">
      <c r="D449" s="373" t="s">
        <v>1042</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698219.84722222225</v>
      </c>
      <c r="AD449" s="1336"/>
      <c r="AE449" s="1336"/>
      <c r="AF449" s="1336"/>
      <c r="AG449" s="362"/>
      <c r="AH449" s="362"/>
      <c r="AI449" s="362"/>
      <c r="AJ449" s="362"/>
    </row>
    <row r="450" spans="1:38" ht="13.2"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3.2"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3.2"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8"/>
      <c r="AD452" s="307"/>
      <c r="AE452" s="307"/>
      <c r="AF452" s="307"/>
      <c r="AG452" s="307"/>
      <c r="AH452" s="307"/>
      <c r="AI452" s="307"/>
    </row>
    <row r="453" spans="1:38" ht="13.2"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2"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2" customHeight="1">
      <c r="D455" s="311" t="s">
        <v>694</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2"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2"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2"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2"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2" customHeight="1">
      <c r="A460" s="41"/>
      <c r="B460" s="41"/>
      <c r="C460" s="41"/>
      <c r="D460" s="1095" t="s">
        <v>2101</v>
      </c>
      <c r="E460" s="1096"/>
      <c r="F460" s="1096"/>
      <c r="G460" s="1096"/>
      <c r="H460" s="1096"/>
      <c r="I460" s="1096"/>
      <c r="J460" s="1096"/>
      <c r="K460" s="1096"/>
      <c r="L460" s="1096"/>
      <c r="M460" s="1096"/>
      <c r="N460" s="1096"/>
      <c r="O460" s="1096"/>
      <c r="P460" s="1096"/>
      <c r="Q460" s="1096"/>
      <c r="R460" s="1096"/>
      <c r="S460" s="1096"/>
      <c r="T460" s="1096"/>
      <c r="U460" s="1096"/>
      <c r="V460" s="1097"/>
      <c r="W460" s="1104">
        <v>2</v>
      </c>
      <c r="X460" s="1105"/>
      <c r="Y460" s="1106"/>
      <c r="Z460" s="310"/>
      <c r="AA460" s="310"/>
      <c r="AB460" s="310"/>
      <c r="AC460" s="310"/>
      <c r="AD460" s="310"/>
      <c r="AE460" s="310"/>
      <c r="AF460" s="310"/>
      <c r="AG460" s="310"/>
      <c r="AH460" s="310"/>
      <c r="AI460" s="310"/>
      <c r="AJ460" s="41"/>
      <c r="AK460" s="41"/>
      <c r="AL460" s="41"/>
    </row>
    <row r="461" spans="1:38" ht="13.2" customHeight="1">
      <c r="A461" s="41"/>
      <c r="B461" s="41"/>
      <c r="C461" s="41"/>
      <c r="D461" s="1095" t="s">
        <v>212</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3.2" customHeight="1">
      <c r="A462" s="41"/>
      <c r="B462" s="41"/>
      <c r="C462" s="41"/>
      <c r="D462" s="1095" t="s">
        <v>213</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3.2" customHeight="1">
      <c r="A463" s="41"/>
      <c r="B463" s="41"/>
      <c r="C463" s="41"/>
      <c r="D463" s="1095" t="s">
        <v>215</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3.2" customHeight="1">
      <c r="A464" s="41"/>
      <c r="B464" s="41"/>
      <c r="C464" s="41"/>
      <c r="D464" s="1346" t="s">
        <v>1107</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3.2" customHeight="1">
      <c r="A465" s="41"/>
      <c r="B465" s="41"/>
      <c r="C465" s="41"/>
      <c r="D465" s="1095" t="s">
        <v>219</v>
      </c>
      <c r="E465" s="1096"/>
      <c r="F465" s="1096"/>
      <c r="G465" s="1096"/>
      <c r="H465" s="1096"/>
      <c r="I465" s="1096"/>
      <c r="J465" s="1096"/>
      <c r="K465" s="1096"/>
      <c r="L465" s="1096"/>
      <c r="M465" s="1096"/>
      <c r="N465" s="1096"/>
      <c r="O465" s="1096"/>
      <c r="P465" s="1096"/>
      <c r="Q465" s="1096"/>
      <c r="R465" s="1096"/>
      <c r="S465" s="1096"/>
      <c r="T465" s="1096"/>
      <c r="U465" s="1096"/>
      <c r="V465" s="1097"/>
      <c r="W465" s="1104">
        <v>52</v>
      </c>
      <c r="X465" s="1105"/>
      <c r="Y465" s="1106"/>
      <c r="Z465" s="310"/>
      <c r="AA465" s="310"/>
      <c r="AB465" s="310"/>
      <c r="AC465" s="310"/>
      <c r="AD465" s="310"/>
      <c r="AE465" s="310"/>
      <c r="AF465" s="310"/>
      <c r="AG465" s="310"/>
      <c r="AH465" s="310"/>
      <c r="AI465" s="310"/>
      <c r="AJ465" s="41"/>
      <c r="AK465" s="41"/>
      <c r="AL465" s="41"/>
    </row>
    <row r="466" spans="1:97" ht="13.2" customHeight="1">
      <c r="A466" s="556"/>
      <c r="B466" s="556"/>
      <c r="C466" s="556"/>
      <c r="D466" s="1346" t="s">
        <v>1306</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7"/>
      <c r="AA466" s="557"/>
      <c r="AB466" s="557"/>
      <c r="AC466" s="557"/>
      <c r="AD466" s="558"/>
      <c r="AE466" s="558"/>
      <c r="AF466" s="558"/>
      <c r="AG466" s="558"/>
      <c r="AH466" s="558"/>
      <c r="AI466" s="558"/>
      <c r="AJ466" s="362"/>
    </row>
    <row r="467" spans="1:97" ht="13.2" customHeight="1">
      <c r="A467" s="556"/>
      <c r="B467" s="556"/>
      <c r="C467" s="556"/>
      <c r="D467" s="1095" t="s">
        <v>2279</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7"/>
      <c r="AA467" s="557"/>
      <c r="AB467" s="557"/>
      <c r="AC467" s="557"/>
      <c r="AD467" s="558"/>
      <c r="AE467" s="558"/>
      <c r="AF467" s="558"/>
      <c r="AG467" s="558"/>
      <c r="AH467" s="558"/>
      <c r="AI467" s="558"/>
      <c r="AJ467" s="362"/>
    </row>
    <row r="468" spans="1:97" ht="13.2" customHeight="1">
      <c r="A468" s="41"/>
      <c r="B468" s="41"/>
      <c r="C468" s="41"/>
      <c r="D468" s="1095" t="s">
        <v>2214</v>
      </c>
      <c r="E468" s="1120"/>
      <c r="F468" s="1120"/>
      <c r="G468" s="1120"/>
      <c r="H468" s="1120"/>
      <c r="I468" s="1120"/>
      <c r="J468" s="1120"/>
      <c r="K468" s="1120"/>
      <c r="L468" s="1120"/>
      <c r="M468" s="1120"/>
      <c r="N468" s="1120"/>
      <c r="O468" s="1120"/>
      <c r="P468" s="1120"/>
      <c r="Q468" s="1120"/>
      <c r="R468" s="1120"/>
      <c r="S468" s="1120"/>
      <c r="T468" s="1120"/>
      <c r="U468" s="1120"/>
      <c r="V468" s="1121"/>
      <c r="W468" s="1122">
        <v>11</v>
      </c>
      <c r="X468" s="1123"/>
      <c r="Y468" s="1124"/>
      <c r="Z468" s="310"/>
      <c r="AA468" s="310"/>
      <c r="AB468" s="310"/>
      <c r="AC468" s="310"/>
      <c r="AD468" s="310"/>
      <c r="AE468" s="310"/>
      <c r="AF468" s="310"/>
      <c r="AG468" s="310"/>
      <c r="AH468" s="310"/>
      <c r="AI468" s="310"/>
      <c r="AJ468" s="41"/>
      <c r="AK468" s="41"/>
      <c r="AL468" s="41"/>
      <c r="AM468" s="556"/>
      <c r="AN468" s="556"/>
      <c r="AO468" s="556"/>
      <c r="AP468" s="556"/>
      <c r="AQ468" s="556"/>
      <c r="AR468" s="556"/>
      <c r="AS468" s="556"/>
      <c r="AT468" s="556"/>
      <c r="AU468" s="556"/>
      <c r="AV468" s="556"/>
      <c r="AW468" s="556"/>
      <c r="AX468" s="556"/>
      <c r="AY468" s="556"/>
      <c r="AZ468" s="556"/>
      <c r="BA468" s="556"/>
      <c r="BB468" s="556"/>
      <c r="BC468" s="556"/>
      <c r="BD468" s="556"/>
      <c r="BE468" s="556"/>
      <c r="BF468" s="556"/>
      <c r="BG468" s="556"/>
      <c r="BH468" s="556"/>
      <c r="BI468" s="556"/>
      <c r="BJ468" s="556"/>
      <c r="BK468" s="556"/>
      <c r="BL468" s="556"/>
      <c r="BM468" s="556"/>
      <c r="BN468" s="556"/>
      <c r="BO468" s="556"/>
      <c r="BP468" s="556"/>
      <c r="BQ468" s="556"/>
      <c r="BR468" s="556"/>
      <c r="BS468" s="556"/>
      <c r="BT468" s="556"/>
      <c r="BU468" s="556"/>
      <c r="BV468" s="556"/>
      <c r="BW468" s="556"/>
      <c r="BX468" s="556"/>
      <c r="BY468" s="556"/>
      <c r="BZ468" s="556"/>
      <c r="CA468" s="556"/>
      <c r="CB468" s="556"/>
      <c r="CC468" s="556"/>
      <c r="CD468" s="556"/>
      <c r="CE468" s="556"/>
      <c r="CF468" s="556"/>
      <c r="CG468" s="556"/>
      <c r="CH468" s="556"/>
      <c r="CI468" s="556"/>
      <c r="CJ468" s="556"/>
      <c r="CK468" s="556"/>
      <c r="CL468" s="556"/>
      <c r="CM468" s="556"/>
      <c r="CN468" s="556"/>
      <c r="CO468" s="556"/>
      <c r="CP468" s="556"/>
      <c r="CQ468" s="556"/>
      <c r="CR468" s="556"/>
      <c r="CS468" s="556"/>
    </row>
    <row r="469" spans="1:97" ht="13.2" customHeight="1">
      <c r="A469" s="41"/>
      <c r="B469" s="41"/>
      <c r="C469" s="41"/>
      <c r="D469" s="414" t="s">
        <v>282</v>
      </c>
      <c r="E469" s="415"/>
      <c r="F469" s="416"/>
      <c r="G469" s="1561"/>
      <c r="H469" s="1562"/>
      <c r="I469" s="1562"/>
      <c r="J469" s="1562"/>
      <c r="K469" s="1562"/>
      <c r="L469" s="1562"/>
      <c r="M469" s="1562"/>
      <c r="N469" s="1562"/>
      <c r="O469" s="1562"/>
      <c r="P469" s="1562"/>
      <c r="Q469" s="1562"/>
      <c r="R469" s="1562"/>
      <c r="S469" s="1562"/>
      <c r="T469" s="1562"/>
      <c r="U469" s="1562"/>
      <c r="V469" s="1563"/>
      <c r="W469" s="1104">
        <v>0</v>
      </c>
      <c r="X469" s="1105"/>
      <c r="Y469" s="1106"/>
      <c r="Z469" s="310"/>
      <c r="AA469" s="310"/>
      <c r="AB469" s="310"/>
      <c r="AC469" s="310"/>
      <c r="AD469" s="310"/>
      <c r="AE469" s="310"/>
      <c r="AF469" s="310"/>
      <c r="AG469" s="310"/>
      <c r="AH469" s="310"/>
      <c r="AI469" s="310"/>
      <c r="AJ469" s="41"/>
      <c r="AK469" s="41"/>
      <c r="AL469" s="41"/>
    </row>
    <row r="470" spans="1:97" ht="13.2" customHeight="1">
      <c r="A470" s="41"/>
      <c r="B470" s="41"/>
      <c r="C470" s="41"/>
      <c r="D470" s="948" t="s">
        <v>1307</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3.2"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2"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1083" t="s">
        <v>1026</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A479" s="3" t="s">
        <v>651</v>
      </c>
      <c r="C479" s="3" t="s">
        <v>1025</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c r="C481" s="9"/>
      <c r="D481" s="9"/>
      <c r="E481" s="9"/>
      <c r="F481" s="9"/>
      <c r="G481" s="9"/>
      <c r="H481" s="9"/>
      <c r="I481" s="9"/>
      <c r="J481" s="9"/>
      <c r="K481" s="9"/>
      <c r="L481" s="9"/>
      <c r="M481" s="9"/>
      <c r="N481" s="9"/>
      <c r="O481" s="9"/>
      <c r="P481" s="52"/>
      <c r="Q481" s="1347" t="s">
        <v>237</v>
      </c>
      <c r="R481" s="1348"/>
      <c r="S481" s="1348"/>
      <c r="T481" s="1348"/>
      <c r="U481" s="1348"/>
      <c r="V481" s="1348"/>
      <c r="W481" s="1348"/>
      <c r="X481" s="1348"/>
      <c r="Y481" s="1348"/>
      <c r="Z481" s="1348"/>
      <c r="AA481" s="1348"/>
      <c r="AB481" s="1348"/>
      <c r="AC481" s="1348"/>
      <c r="AD481" s="1348"/>
      <c r="AE481" s="1348"/>
      <c r="AF481" s="1348"/>
      <c r="AG481" s="1348"/>
      <c r="AH481" s="1348"/>
      <c r="AI481" s="1348"/>
      <c r="AJ481" s="1348"/>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8" t="s">
        <v>238</v>
      </c>
      <c r="C482" s="9"/>
      <c r="D482" s="9"/>
      <c r="E482" s="9"/>
      <c r="F482" s="9"/>
      <c r="G482" s="9"/>
      <c r="H482" s="9"/>
      <c r="I482" s="9"/>
      <c r="J482" s="9"/>
      <c r="K482" s="9"/>
      <c r="L482" s="9"/>
      <c r="M482" s="9"/>
      <c r="N482" s="9"/>
      <c r="O482" s="9"/>
      <c r="P482" s="9"/>
      <c r="Q482" s="1339" t="s">
        <v>2401</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8" t="s">
        <v>239</v>
      </c>
      <c r="C483" s="9"/>
      <c r="D483" s="9"/>
      <c r="E483" s="9"/>
      <c r="F483" s="9"/>
      <c r="G483" s="9"/>
      <c r="H483" s="9"/>
      <c r="I483" s="9"/>
      <c r="J483" s="9"/>
      <c r="K483" s="9"/>
      <c r="L483" s="9"/>
      <c r="M483" s="9"/>
      <c r="N483" s="9"/>
      <c r="O483" s="9"/>
      <c r="P483" s="9"/>
      <c r="Q483" s="1339" t="s">
        <v>2402</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 t="s">
        <v>240</v>
      </c>
      <c r="C484" s="9"/>
      <c r="D484" s="9"/>
      <c r="E484" s="9"/>
      <c r="F484" s="9"/>
      <c r="G484" s="9"/>
      <c r="H484" s="9"/>
      <c r="I484" s="9"/>
      <c r="J484" s="9"/>
      <c r="K484" s="9"/>
      <c r="L484" s="9"/>
      <c r="M484" s="9"/>
      <c r="N484" s="9"/>
      <c r="O484" s="9"/>
      <c r="P484" s="9"/>
      <c r="Q484" s="1324" t="s">
        <v>2402</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1340" t="s">
        <v>241</v>
      </c>
      <c r="C485" s="1341"/>
      <c r="D485" s="1341"/>
      <c r="E485" s="1341"/>
      <c r="F485" s="1341"/>
      <c r="G485" s="1341"/>
      <c r="H485" s="1341"/>
      <c r="I485" s="1341"/>
      <c r="J485" s="1341"/>
      <c r="K485" s="1341"/>
      <c r="L485" s="1341"/>
      <c r="M485" s="1341"/>
      <c r="N485" s="1341"/>
      <c r="O485" s="1341"/>
      <c r="P485" s="1342"/>
      <c r="Q485" s="1311" t="s">
        <v>107</v>
      </c>
      <c r="R485" s="1312"/>
      <c r="S485" s="1315" t="s">
        <v>2443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1343"/>
      <c r="C486" s="1344"/>
      <c r="D486" s="1344"/>
      <c r="E486" s="1344"/>
      <c r="F486" s="1344"/>
      <c r="G486" s="1344"/>
      <c r="H486" s="1344"/>
      <c r="I486" s="1344"/>
      <c r="J486" s="1344"/>
      <c r="K486" s="1344"/>
      <c r="L486" s="1344"/>
      <c r="M486" s="1344"/>
      <c r="N486" s="1344"/>
      <c r="O486" s="1344"/>
      <c r="P486" s="1345"/>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832" t="s">
        <v>2209</v>
      </c>
      <c r="C487" s="813"/>
      <c r="D487" s="813"/>
      <c r="E487" s="813"/>
      <c r="F487" s="813"/>
      <c r="G487" s="813"/>
      <c r="H487" s="813"/>
      <c r="I487" s="813"/>
      <c r="J487" s="813"/>
      <c r="K487" s="813"/>
      <c r="L487" s="813"/>
      <c r="M487" s="813"/>
      <c r="N487" s="813"/>
      <c r="O487" s="813"/>
      <c r="P487" s="813"/>
      <c r="Q487" s="1321" t="s">
        <v>107</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8" t="s">
        <v>242</v>
      </c>
      <c r="C488" s="9"/>
      <c r="D488" s="9"/>
      <c r="E488" s="9"/>
      <c r="F488" s="9"/>
      <c r="G488" s="9"/>
      <c r="H488" s="9"/>
      <c r="I488" s="9"/>
      <c r="J488" s="9"/>
      <c r="K488" s="9"/>
      <c r="L488" s="9"/>
      <c r="M488" s="9"/>
      <c r="N488" s="9"/>
      <c r="O488" s="9"/>
      <c r="P488" s="9"/>
      <c r="Q488" s="1339" t="s">
        <v>2403</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B489" s="8" t="s">
        <v>243</v>
      </c>
      <c r="C489" s="9"/>
      <c r="D489" s="9"/>
      <c r="E489" s="9"/>
      <c r="F489" s="9"/>
      <c r="G489" s="9"/>
      <c r="H489" s="9"/>
      <c r="I489" s="9"/>
      <c r="J489" s="9"/>
      <c r="K489" s="9"/>
      <c r="L489" s="9"/>
      <c r="M489" s="9"/>
      <c r="N489" s="9"/>
      <c r="O489" s="9"/>
      <c r="P489" s="9"/>
      <c r="Q489" s="1339" t="s">
        <v>2404</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B490" s="214" t="s">
        <v>1980</v>
      </c>
      <c r="C490" s="9"/>
      <c r="D490" s="9"/>
      <c r="E490" s="9"/>
      <c r="F490" s="9"/>
      <c r="G490" s="9"/>
      <c r="H490" s="9"/>
      <c r="I490" s="9"/>
      <c r="J490" s="9"/>
      <c r="K490" s="9"/>
      <c r="L490" s="9"/>
      <c r="M490" s="9"/>
      <c r="N490" s="9"/>
      <c r="O490" s="9"/>
      <c r="P490" s="9"/>
      <c r="Q490" s="1324">
        <v>97</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B491" s="214" t="s">
        <v>1981</v>
      </c>
      <c r="C491" s="9"/>
      <c r="D491" s="9"/>
      <c r="E491" s="9"/>
      <c r="F491" s="9"/>
      <c r="G491" s="9"/>
      <c r="H491" s="9"/>
      <c r="I491" s="9"/>
      <c r="J491" s="9"/>
      <c r="K491" s="9"/>
      <c r="L491" s="9"/>
      <c r="M491" s="1326">
        <v>0</v>
      </c>
      <c r="N491" s="1327"/>
      <c r="O491" s="1327"/>
      <c r="P491" s="1328"/>
      <c r="Q491" s="214" t="s">
        <v>1982</v>
      </c>
      <c r="R491" s="9"/>
      <c r="S491" s="9"/>
      <c r="T491" s="9"/>
      <c r="U491" s="9"/>
      <c r="V491" s="9"/>
      <c r="W491" s="9"/>
      <c r="X491" s="9"/>
      <c r="Y491" s="9"/>
      <c r="Z491" s="9"/>
      <c r="AA491" s="9"/>
      <c r="AB491" s="9"/>
      <c r="AC491" s="9"/>
      <c r="AD491" s="9"/>
      <c r="AE491" s="9"/>
      <c r="AF491" s="9"/>
      <c r="AG491" s="9"/>
      <c r="AH491" s="1326">
        <v>97</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7" t="s">
        <v>245</v>
      </c>
      <c r="AD495" s="1348"/>
      <c r="AE495" s="1348"/>
      <c r="AF495" s="1348"/>
      <c r="AG495" s="1348"/>
      <c r="AH495" s="1348"/>
      <c r="AI495" s="1348"/>
      <c r="AJ495" s="1348"/>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7" t="s">
        <v>246</v>
      </c>
      <c r="AD496" s="1348"/>
      <c r="AE496" s="1348"/>
      <c r="AF496" s="1348"/>
      <c r="AG496" s="56" t="s">
        <v>247</v>
      </c>
      <c r="AH496" s="1348" t="s">
        <v>248</v>
      </c>
      <c r="AI496" s="1348"/>
      <c r="AJ496" s="1348"/>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297" t="s">
        <v>249</v>
      </c>
      <c r="C497" s="1298"/>
      <c r="D497" s="1298"/>
      <c r="E497" s="1298"/>
      <c r="F497" s="1298"/>
      <c r="G497" s="1298"/>
      <c r="H497" s="1299"/>
      <c r="I497" s="7" t="s">
        <v>669</v>
      </c>
      <c r="J497" s="7"/>
      <c r="K497" s="7"/>
      <c r="L497" s="7"/>
      <c r="M497" s="7"/>
      <c r="N497" s="7"/>
      <c r="O497" s="7"/>
      <c r="P497" s="7"/>
      <c r="Q497" s="7"/>
      <c r="R497" s="7"/>
      <c r="S497" s="7"/>
      <c r="T497" s="7"/>
      <c r="U497" s="7"/>
      <c r="V497" s="7"/>
      <c r="W497" s="7"/>
      <c r="AC497" s="1296">
        <v>4</v>
      </c>
      <c r="AD497" s="1101"/>
      <c r="AE497" s="1101"/>
      <c r="AF497" s="1101"/>
      <c r="AG497" s="18" t="s">
        <v>247</v>
      </c>
      <c r="AH497" s="1056">
        <v>2019</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300"/>
      <c r="C498" s="1301"/>
      <c r="D498" s="1301"/>
      <c r="E498" s="1301"/>
      <c r="F498" s="1301"/>
      <c r="G498" s="1301"/>
      <c r="H498" s="1302"/>
      <c r="I498" s="54" t="s">
        <v>670</v>
      </c>
      <c r="J498" s="54"/>
      <c r="K498" s="54"/>
      <c r="L498" s="54"/>
      <c r="M498" s="54"/>
      <c r="N498" s="54"/>
      <c r="O498" s="54"/>
      <c r="P498" s="54"/>
      <c r="Q498" s="54"/>
      <c r="R498" s="54"/>
      <c r="S498" s="54"/>
      <c r="T498" s="54"/>
      <c r="U498" s="54"/>
      <c r="V498" s="54"/>
      <c r="W498" s="54"/>
      <c r="X498" s="54"/>
      <c r="Y498" s="54"/>
      <c r="Z498" s="54"/>
      <c r="AA498" s="54"/>
      <c r="AB498" s="54"/>
      <c r="AC498" s="1296">
        <v>2</v>
      </c>
      <c r="AD498" s="1101"/>
      <c r="AE498" s="1101"/>
      <c r="AF498" s="1101"/>
      <c r="AG498" s="47" t="s">
        <v>247</v>
      </c>
      <c r="AH498" s="1056">
        <v>2022</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297" t="s">
        <v>671</v>
      </c>
      <c r="C499" s="1298"/>
      <c r="D499" s="1298"/>
      <c r="E499" s="1298"/>
      <c r="F499" s="1298"/>
      <c r="G499" s="1298"/>
      <c r="H499" s="1299"/>
      <c r="I499" s="7" t="s">
        <v>672</v>
      </c>
      <c r="J499" s="7"/>
      <c r="K499" s="7"/>
      <c r="L499" s="7"/>
      <c r="M499" s="7"/>
      <c r="N499" s="7"/>
      <c r="O499" s="7"/>
      <c r="P499" s="7"/>
      <c r="Q499" s="7"/>
      <c r="R499" s="7"/>
      <c r="S499" s="7"/>
      <c r="T499" s="7"/>
      <c r="U499" s="7"/>
      <c r="V499" s="7"/>
      <c r="W499" s="7"/>
      <c r="AC499" s="1296" t="s">
        <v>123</v>
      </c>
      <c r="AD499" s="1101"/>
      <c r="AE499" s="1101"/>
      <c r="AF499" s="1101"/>
      <c r="AG499" s="18" t="s">
        <v>247</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300"/>
      <c r="C500" s="1301"/>
      <c r="D500" s="1301"/>
      <c r="E500" s="1301"/>
      <c r="F500" s="1301"/>
      <c r="G500" s="1301"/>
      <c r="H500" s="1302"/>
      <c r="I500" t="s">
        <v>673</v>
      </c>
      <c r="AC500" s="1296" t="s">
        <v>123</v>
      </c>
      <c r="AD500" s="1101"/>
      <c r="AE500" s="1101"/>
      <c r="AF500" s="1101"/>
      <c r="AG500" s="18" t="s">
        <v>247</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300"/>
      <c r="C501" s="1301"/>
      <c r="D501" s="1301"/>
      <c r="E501" s="1301"/>
      <c r="F501" s="1301"/>
      <c r="G501" s="1301"/>
      <c r="H501" s="1302"/>
      <c r="I501" t="s">
        <v>674</v>
      </c>
      <c r="AC501" s="1296">
        <v>8</v>
      </c>
      <c r="AD501" s="1101"/>
      <c r="AE501" s="1101"/>
      <c r="AF501" s="1101"/>
      <c r="AG501" s="18" t="s">
        <v>247</v>
      </c>
      <c r="AH501" s="1056">
        <v>2019</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300"/>
      <c r="C502" s="1301"/>
      <c r="D502" s="1301"/>
      <c r="E502" s="1301"/>
      <c r="F502" s="1301"/>
      <c r="G502" s="1301"/>
      <c r="H502" s="1302"/>
      <c r="I502" t="s">
        <v>675</v>
      </c>
      <c r="AC502" s="1296">
        <v>2</v>
      </c>
      <c r="AD502" s="1101"/>
      <c r="AE502" s="1101"/>
      <c r="AF502" s="1101"/>
      <c r="AG502" s="18" t="s">
        <v>247</v>
      </c>
      <c r="AH502" s="1056">
        <v>2025</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300"/>
      <c r="C503" s="1301"/>
      <c r="D503" s="1301"/>
      <c r="E503" s="1301"/>
      <c r="F503" s="1301"/>
      <c r="G503" s="1301"/>
      <c r="H503" s="1302"/>
      <c r="I503" s="41" t="s">
        <v>676</v>
      </c>
      <c r="AC503" s="1331">
        <v>2</v>
      </c>
      <c r="AD503" s="1332"/>
      <c r="AE503" s="1332"/>
      <c r="AF503" s="1332"/>
      <c r="AG503" s="18" t="s">
        <v>247</v>
      </c>
      <c r="AH503" s="1056">
        <v>2025</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300"/>
      <c r="C504" s="1301"/>
      <c r="D504" s="1301"/>
      <c r="E504" s="1301"/>
      <c r="F504" s="1301"/>
      <c r="G504" s="1301"/>
      <c r="H504" s="1302"/>
      <c r="I504" s="409" t="s">
        <v>282</v>
      </c>
      <c r="J504" s="54"/>
      <c r="K504" s="54"/>
      <c r="L504" s="1293" t="s">
        <v>560</v>
      </c>
      <c r="M504" s="1294"/>
      <c r="N504" s="1294"/>
      <c r="O504" s="1294"/>
      <c r="P504" s="1294"/>
      <c r="Q504" s="1294"/>
      <c r="R504" s="1294"/>
      <c r="S504" s="1294"/>
      <c r="T504" s="1294"/>
      <c r="U504" s="1294"/>
      <c r="V504" s="1294"/>
      <c r="W504" s="1294"/>
      <c r="X504" s="1294"/>
      <c r="Y504" s="1294"/>
      <c r="Z504" s="1294"/>
      <c r="AA504" s="1294"/>
      <c r="AB504" s="1560"/>
      <c r="AC504" s="1396" t="s">
        <v>123</v>
      </c>
      <c r="AD504" s="1397"/>
      <c r="AE504" s="1397"/>
      <c r="AF504" s="1397"/>
      <c r="AG504" s="47" t="s">
        <v>247</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300"/>
      <c r="C505" s="1301"/>
      <c r="D505" s="1301"/>
      <c r="E505" s="1301"/>
      <c r="F505" s="1301"/>
      <c r="G505" s="1301"/>
      <c r="H505" s="1302"/>
      <c r="I505" s="41" t="s">
        <v>1983</v>
      </c>
      <c r="AC505" s="1395" t="s">
        <v>481</v>
      </c>
      <c r="AD505" s="1395"/>
      <c r="AE505" s="1395"/>
      <c r="AF505" s="1395"/>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300"/>
      <c r="C506" s="1301"/>
      <c r="D506" s="1301"/>
      <c r="E506" s="1301"/>
      <c r="F506" s="1301"/>
      <c r="G506" s="1301"/>
      <c r="H506" s="1302"/>
      <c r="I506" t="s">
        <v>1984</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300"/>
      <c r="C507" s="1301"/>
      <c r="D507" s="1301"/>
      <c r="E507" s="1301"/>
      <c r="F507" s="1301"/>
      <c r="G507" s="1301"/>
      <c r="H507" s="1302"/>
      <c r="I507" t="s">
        <v>1985</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300"/>
      <c r="C508" s="1301"/>
      <c r="D508" s="1301"/>
      <c r="E508" s="1301"/>
      <c r="F508" s="1301"/>
      <c r="G508" s="1301"/>
      <c r="H508" s="1302"/>
      <c r="I508" s="837" t="s">
        <v>1986</v>
      </c>
      <c r="J508" s="54"/>
      <c r="K508" s="54"/>
      <c r="L508" s="54"/>
      <c r="M508" s="54"/>
      <c r="N508" s="54"/>
      <c r="O508" s="54"/>
      <c r="P508" s="54"/>
      <c r="Q508" s="54"/>
      <c r="R508" s="54"/>
      <c r="S508" s="54"/>
      <c r="T508" s="54"/>
      <c r="U508" s="54"/>
      <c r="V508" s="54"/>
      <c r="W508" s="54"/>
      <c r="X508" s="54"/>
      <c r="Y508" s="54"/>
      <c r="Z508" s="54"/>
      <c r="AA508" s="54"/>
      <c r="AB508" s="54"/>
      <c r="AC508" s="1349">
        <v>0.5</v>
      </c>
      <c r="AD508" s="1350"/>
      <c r="AE508" s="1350"/>
      <c r="AF508" s="1351"/>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297" t="s">
        <v>677</v>
      </c>
      <c r="C509" s="1298"/>
      <c r="D509" s="1298"/>
      <c r="E509" s="1298"/>
      <c r="F509" s="1298"/>
      <c r="G509" s="1298"/>
      <c r="H509" s="1299"/>
      <c r="I509" s="7" t="s">
        <v>678</v>
      </c>
      <c r="J509" s="7"/>
      <c r="K509" s="7"/>
      <c r="L509" s="7"/>
      <c r="M509" s="7"/>
      <c r="N509" s="7"/>
      <c r="O509" s="7"/>
      <c r="P509" s="7"/>
      <c r="Q509" s="7"/>
      <c r="R509" s="7"/>
      <c r="S509" s="7"/>
      <c r="T509" s="7"/>
      <c r="U509" s="7"/>
      <c r="V509" s="7"/>
      <c r="W509" s="7"/>
      <c r="AC509" s="1296">
        <v>6</v>
      </c>
      <c r="AD509" s="1101"/>
      <c r="AE509" s="1101"/>
      <c r="AF509" s="1101"/>
      <c r="AG509" s="18" t="s">
        <v>247</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300"/>
      <c r="C510" s="1301"/>
      <c r="D510" s="1301"/>
      <c r="E510" s="1301"/>
      <c r="F510" s="1301"/>
      <c r="G510" s="1301"/>
      <c r="H510" s="1302"/>
      <c r="I510" t="s">
        <v>679</v>
      </c>
      <c r="AC510" s="1296">
        <v>6</v>
      </c>
      <c r="AD510" s="1101"/>
      <c r="AE510" s="1101"/>
      <c r="AF510" s="1101"/>
      <c r="AG510" s="18" t="s">
        <v>247</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300"/>
      <c r="C511" s="1301"/>
      <c r="D511" s="1301"/>
      <c r="E511" s="1301"/>
      <c r="F511" s="1301"/>
      <c r="G511" s="1301"/>
      <c r="H511" s="1302"/>
      <c r="I511" s="54" t="s">
        <v>680</v>
      </c>
      <c r="J511" s="54"/>
      <c r="K511" s="54"/>
      <c r="L511" s="54"/>
      <c r="M511" s="54"/>
      <c r="N511" s="54"/>
      <c r="O511" s="54"/>
      <c r="P511" s="54"/>
      <c r="Q511" s="54"/>
      <c r="R511" s="54"/>
      <c r="S511" s="54"/>
      <c r="T511" s="54"/>
      <c r="U511" s="54"/>
      <c r="V511" s="54"/>
      <c r="W511" s="54"/>
      <c r="X511" s="54"/>
      <c r="Y511" s="54"/>
      <c r="Z511" s="54"/>
      <c r="AA511" s="54"/>
      <c r="AB511" s="54"/>
      <c r="AC511" s="1296">
        <v>3</v>
      </c>
      <c r="AD511" s="1101"/>
      <c r="AE511" s="1101"/>
      <c r="AF511" s="1101"/>
      <c r="AG511" s="47" t="s">
        <v>247</v>
      </c>
      <c r="AH511" s="1056">
        <v>2025</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297" t="s">
        <v>681</v>
      </c>
      <c r="C512" s="1298"/>
      <c r="D512" s="1298"/>
      <c r="E512" s="1298"/>
      <c r="F512" s="1298"/>
      <c r="G512" s="1298"/>
      <c r="H512" s="1299"/>
      <c r="I512" s="7" t="s">
        <v>678</v>
      </c>
      <c r="J512" s="7"/>
      <c r="K512" s="7"/>
      <c r="L512" s="7"/>
      <c r="M512" s="7"/>
      <c r="N512" s="7"/>
      <c r="O512" s="7"/>
      <c r="P512" s="7"/>
      <c r="Q512" s="7"/>
      <c r="R512" s="7"/>
      <c r="S512" s="7"/>
      <c r="T512" s="7"/>
      <c r="U512" s="7"/>
      <c r="V512" s="7"/>
      <c r="W512" s="7"/>
      <c r="X512" s="7"/>
      <c r="Y512" s="7"/>
      <c r="Z512" s="7"/>
      <c r="AA512" s="7"/>
      <c r="AB512" s="7"/>
      <c r="AC512" s="1080">
        <v>6</v>
      </c>
      <c r="AD512" s="1081"/>
      <c r="AE512" s="1081"/>
      <c r="AF512" s="1081"/>
      <c r="AG512" s="230" t="s">
        <v>247</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300"/>
      <c r="C513" s="1301"/>
      <c r="D513" s="1301"/>
      <c r="E513" s="1301"/>
      <c r="F513" s="1301"/>
      <c r="G513" s="1301"/>
      <c r="H513" s="1302"/>
      <c r="I513" t="s">
        <v>679</v>
      </c>
      <c r="AC513" s="1296">
        <v>6</v>
      </c>
      <c r="AD513" s="1101"/>
      <c r="AE513" s="1101"/>
      <c r="AF513" s="1101"/>
      <c r="AG513" s="18" t="s">
        <v>247</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303"/>
      <c r="C514" s="1304"/>
      <c r="D514" s="1304"/>
      <c r="E514" s="1304"/>
      <c r="F514" s="1304"/>
      <c r="G514" s="1304"/>
      <c r="H514" s="1305"/>
      <c r="I514" s="54" t="s">
        <v>680</v>
      </c>
      <c r="J514" s="54"/>
      <c r="K514" s="54"/>
      <c r="L514" s="54"/>
      <c r="M514" s="54"/>
      <c r="N514" s="54"/>
      <c r="O514" s="54"/>
      <c r="P514" s="54"/>
      <c r="Q514" s="54"/>
      <c r="R514" s="54"/>
      <c r="S514" s="54"/>
      <c r="T514" s="54"/>
      <c r="U514" s="54"/>
      <c r="V514" s="54"/>
      <c r="W514" s="54"/>
      <c r="X514" s="54"/>
      <c r="Y514" s="54"/>
      <c r="Z514" s="54"/>
      <c r="AA514" s="54"/>
      <c r="AB514" s="54"/>
      <c r="AC514" s="1296">
        <v>7</v>
      </c>
      <c r="AD514" s="1101"/>
      <c r="AE514" s="1101"/>
      <c r="AF514" s="1101"/>
      <c r="AG514" s="47" t="s">
        <v>247</v>
      </c>
      <c r="AH514" s="1056">
        <v>2027</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297" t="s">
        <v>682</v>
      </c>
      <c r="C515" s="1298"/>
      <c r="D515" s="1298"/>
      <c r="E515" s="1298"/>
      <c r="F515" s="1298"/>
      <c r="G515" s="1298"/>
      <c r="H515" s="1299"/>
      <c r="I515" s="6" t="s">
        <v>683</v>
      </c>
      <c r="J515" s="7"/>
      <c r="K515" s="7"/>
      <c r="L515" s="7"/>
      <c r="M515" s="7"/>
      <c r="N515" s="7"/>
      <c r="O515" s="1293" t="s">
        <v>2408</v>
      </c>
      <c r="P515" s="1294"/>
      <c r="Q515" s="1294"/>
      <c r="R515" s="1294"/>
      <c r="S515" s="1294"/>
      <c r="T515" s="1294"/>
      <c r="U515" s="1294"/>
      <c r="V515" s="1294"/>
      <c r="W515" s="1294"/>
      <c r="X515" s="1294"/>
      <c r="Y515" s="1294"/>
      <c r="Z515" s="1294"/>
      <c r="AA515" s="1294"/>
      <c r="AB515" s="64"/>
      <c r="AC515" s="1080"/>
      <c r="AD515" s="1081"/>
      <c r="AE515" s="1081"/>
      <c r="AF515" s="1081"/>
      <c r="AG515" s="230" t="s">
        <v>247</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300"/>
      <c r="C516" s="1301"/>
      <c r="D516" s="1301"/>
      <c r="E516" s="1301"/>
      <c r="F516" s="1301"/>
      <c r="G516" s="1301"/>
      <c r="H516" s="1302"/>
      <c r="I516" s="204" t="s">
        <v>684</v>
      </c>
      <c r="AB516" s="71"/>
      <c r="AC516" s="1296">
        <v>1</v>
      </c>
      <c r="AD516" s="1101"/>
      <c r="AE516" s="1101"/>
      <c r="AF516" s="1101"/>
      <c r="AG516" s="18" t="s">
        <v>247</v>
      </c>
      <c r="AH516" s="1056">
        <v>2023</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300"/>
      <c r="C517" s="1301"/>
      <c r="D517" s="1301"/>
      <c r="E517" s="1301"/>
      <c r="F517" s="1301"/>
      <c r="G517" s="1301"/>
      <c r="H517" s="1302"/>
      <c r="I517" s="53" t="s">
        <v>685</v>
      </c>
      <c r="J517" s="54"/>
      <c r="K517" s="54"/>
      <c r="L517" s="54"/>
      <c r="M517" s="54"/>
      <c r="N517" s="54"/>
      <c r="O517" s="54"/>
      <c r="P517" s="54"/>
      <c r="Q517" s="54"/>
      <c r="R517" s="54"/>
      <c r="S517" s="54"/>
      <c r="T517" s="54"/>
      <c r="U517" s="54"/>
      <c r="V517" s="54"/>
      <c r="W517" s="54"/>
      <c r="X517" s="54"/>
      <c r="Y517" s="54"/>
      <c r="Z517" s="54"/>
      <c r="AA517" s="54"/>
      <c r="AB517" s="55"/>
      <c r="AC517" s="1296">
        <v>3</v>
      </c>
      <c r="AD517" s="1101"/>
      <c r="AE517" s="1101"/>
      <c r="AF517" s="1101"/>
      <c r="AG517" s="47" t="s">
        <v>247</v>
      </c>
      <c r="AH517" s="1056">
        <v>2025</v>
      </c>
      <c r="AI517" s="1056"/>
      <c r="AJ517" s="1056"/>
      <c r="AK517" s="1057"/>
      <c r="AM517" s="41"/>
      <c r="AN517" s="41"/>
      <c r="AO517" s="41"/>
      <c r="AP517" s="41"/>
      <c r="AQ517" s="41"/>
      <c r="AR517" s="41"/>
      <c r="AS517" s="41"/>
      <c r="AT517" s="41"/>
      <c r="AU517" s="41"/>
      <c r="AV517" s="41"/>
      <c r="AW517" s="41"/>
      <c r="AX517" s="41"/>
      <c r="AY517" s="41"/>
      <c r="AZ517" s="41" t="s">
        <v>1975</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300"/>
      <c r="C518" s="1301"/>
      <c r="D518" s="1301"/>
      <c r="E518" s="1301"/>
      <c r="F518" s="1301"/>
      <c r="G518" s="1301"/>
      <c r="H518" s="1302"/>
      <c r="I518" s="7" t="s">
        <v>686</v>
      </c>
      <c r="J518" s="7"/>
      <c r="K518" s="7"/>
      <c r="L518" s="7"/>
      <c r="M518" s="7"/>
      <c r="N518" s="7"/>
      <c r="O518" s="1293" t="s">
        <v>2409</v>
      </c>
      <c r="P518" s="1294"/>
      <c r="Q518" s="1294"/>
      <c r="R518" s="1294"/>
      <c r="S518" s="1294"/>
      <c r="T518" s="1294"/>
      <c r="U518" s="1294"/>
      <c r="V518" s="1294"/>
      <c r="W518" s="1294"/>
      <c r="X518" s="1294"/>
      <c r="Y518" s="1294"/>
      <c r="Z518" s="1294"/>
      <c r="AA518" s="1294"/>
      <c r="AC518" s="1296"/>
      <c r="AD518" s="1101"/>
      <c r="AE518" s="1101"/>
      <c r="AF518" s="1101"/>
      <c r="AG518" s="18" t="s">
        <v>247</v>
      </c>
      <c r="AH518" s="1056"/>
      <c r="AI518" s="1056"/>
      <c r="AJ518" s="1056"/>
      <c r="AK518" s="1057"/>
      <c r="AM518" s="41"/>
      <c r="AN518" s="41"/>
      <c r="AO518" s="41"/>
      <c r="AP518" s="41"/>
      <c r="AQ518" s="41"/>
      <c r="AR518" s="41"/>
      <c r="AS518" s="41"/>
      <c r="AT518" s="41"/>
      <c r="AU518" s="41"/>
      <c r="AV518" s="41"/>
      <c r="AW518" s="41"/>
      <c r="AX518" s="41"/>
      <c r="AY518" s="41"/>
      <c r="AZ518" s="41" t="s">
        <v>2167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300"/>
      <c r="C519" s="1301"/>
      <c r="D519" s="1301"/>
      <c r="E519" s="1301"/>
      <c r="F519" s="1301"/>
      <c r="G519" s="1301"/>
      <c r="H519" s="1302"/>
      <c r="I519" t="s">
        <v>684</v>
      </c>
      <c r="AC519" s="1296">
        <v>1</v>
      </c>
      <c r="AD519" s="1101"/>
      <c r="AE519" s="1101"/>
      <c r="AF519" s="1101"/>
      <c r="AG519" s="18" t="s">
        <v>247</v>
      </c>
      <c r="AH519" s="1056">
        <v>2023</v>
      </c>
      <c r="AI519" s="1056"/>
      <c r="AJ519" s="1056"/>
      <c r="AK519" s="1057"/>
      <c r="AM519" s="41"/>
      <c r="AN519" s="41"/>
      <c r="AO519" s="41"/>
      <c r="AP519" s="41"/>
      <c r="AQ519" s="41"/>
      <c r="AR519" s="41"/>
      <c r="AS519" s="41"/>
      <c r="AT519" s="41"/>
      <c r="AU519" s="41"/>
      <c r="AV519" s="41"/>
      <c r="AW519" s="41"/>
      <c r="AX519" s="41"/>
      <c r="AY519" s="41"/>
      <c r="AZ519" s="41" t="s">
        <v>2168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300"/>
      <c r="C520" s="1301"/>
      <c r="D520" s="1301"/>
      <c r="E520" s="1301"/>
      <c r="F520" s="1301"/>
      <c r="G520" s="1301"/>
      <c r="H520" s="1302"/>
      <c r="I520" s="54" t="s">
        <v>685</v>
      </c>
      <c r="J520" s="54"/>
      <c r="K520" s="54"/>
      <c r="L520" s="54"/>
      <c r="M520" s="54"/>
      <c r="N520" s="54"/>
      <c r="O520" s="54"/>
      <c r="P520" s="54"/>
      <c r="Q520" s="54"/>
      <c r="R520" s="54"/>
      <c r="S520" s="54"/>
      <c r="T520" s="54"/>
      <c r="U520" s="54"/>
      <c r="V520" s="54"/>
      <c r="W520" s="54"/>
      <c r="X520" s="54"/>
      <c r="Y520" s="54"/>
      <c r="Z520" s="54"/>
      <c r="AA520" s="54"/>
      <c r="AB520" s="54"/>
      <c r="AC520" s="1296">
        <v>7</v>
      </c>
      <c r="AD520" s="1101"/>
      <c r="AE520" s="1101"/>
      <c r="AF520" s="1101"/>
      <c r="AG520" s="47" t="s">
        <v>247</v>
      </c>
      <c r="AH520" s="1056">
        <v>2024</v>
      </c>
      <c r="AI520" s="1056"/>
      <c r="AJ520" s="1056"/>
      <c r="AK520" s="1057"/>
      <c r="AM520" s="41"/>
      <c r="AN520" s="41"/>
      <c r="AO520" s="41"/>
      <c r="AP520" s="41"/>
      <c r="AQ520" s="41"/>
      <c r="AR520" s="41"/>
      <c r="AS520" s="41"/>
      <c r="AT520" s="41"/>
      <c r="AU520" s="41"/>
      <c r="AV520" s="41"/>
      <c r="AW520" s="41"/>
      <c r="AX520" s="41"/>
      <c r="AY520" s="41"/>
      <c r="AZ520" s="41" t="s">
        <v>2169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300"/>
      <c r="C521" s="1301"/>
      <c r="D521" s="1301"/>
      <c r="E521" s="1301"/>
      <c r="F521" s="1301"/>
      <c r="G521" s="1301"/>
      <c r="H521" s="1302"/>
      <c r="I521" s="7" t="s">
        <v>686</v>
      </c>
      <c r="J521" s="7"/>
      <c r="K521" s="7"/>
      <c r="L521" s="7"/>
      <c r="M521" s="7"/>
      <c r="N521" s="7"/>
      <c r="O521" s="1293" t="s">
        <v>2405</v>
      </c>
      <c r="P521" s="1294"/>
      <c r="Q521" s="1294"/>
      <c r="R521" s="1294"/>
      <c r="S521" s="1294"/>
      <c r="T521" s="1294"/>
      <c r="U521" s="1294"/>
      <c r="V521" s="1294"/>
      <c r="W521" s="1294"/>
      <c r="X521" s="1294"/>
      <c r="Y521" s="1294"/>
      <c r="Z521" s="1294"/>
      <c r="AA521" s="1294"/>
      <c r="AC521" s="1296"/>
      <c r="AD521" s="1101"/>
      <c r="AE521" s="1101"/>
      <c r="AF521" s="1101"/>
      <c r="AG521" s="18" t="s">
        <v>247</v>
      </c>
      <c r="AH521" s="1056"/>
      <c r="AI521" s="1056"/>
      <c r="AJ521" s="1056"/>
      <c r="AK521" s="1057"/>
      <c r="AM521" s="41"/>
      <c r="AN521" s="41"/>
      <c r="AO521" s="41"/>
      <c r="AP521" s="41"/>
      <c r="AQ521" s="41"/>
      <c r="AR521" s="41"/>
      <c r="AS521" s="41"/>
      <c r="AT521" s="41"/>
      <c r="AU521" s="41"/>
      <c r="AV521" s="41"/>
      <c r="AW521" s="41"/>
      <c r="AX521" s="41"/>
      <c r="AY521" s="41"/>
      <c r="AZ521" s="41" t="s">
        <v>2170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300"/>
      <c r="C522" s="1301"/>
      <c r="D522" s="1301"/>
      <c r="E522" s="1301"/>
      <c r="F522" s="1301"/>
      <c r="G522" s="1301"/>
      <c r="H522" s="1302"/>
      <c r="I522" t="s">
        <v>684</v>
      </c>
      <c r="AC522" s="1296">
        <v>3</v>
      </c>
      <c r="AD522" s="1101"/>
      <c r="AE522" s="1101"/>
      <c r="AF522" s="1101"/>
      <c r="AG522" s="18" t="s">
        <v>247</v>
      </c>
      <c r="AH522" s="1056">
        <v>2023</v>
      </c>
      <c r="AI522" s="1056"/>
      <c r="AJ522" s="1056"/>
      <c r="AK522" s="1057"/>
      <c r="AM522" s="41"/>
      <c r="AN522" s="41"/>
      <c r="AO522" s="41"/>
      <c r="AP522" s="41"/>
      <c r="AQ522" s="41"/>
      <c r="AR522" s="41"/>
      <c r="AS522" s="41"/>
      <c r="AT522" s="41"/>
      <c r="AU522" s="41"/>
      <c r="AV522" s="41"/>
      <c r="AW522" s="41"/>
      <c r="AX522" s="41"/>
      <c r="AY522" s="41"/>
      <c r="AZ522" s="41" t="s">
        <v>2171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300"/>
      <c r="C523" s="1301"/>
      <c r="D523" s="1301"/>
      <c r="E523" s="1301"/>
      <c r="F523" s="1301"/>
      <c r="G523" s="1301"/>
      <c r="H523" s="1302"/>
      <c r="I523" s="54" t="s">
        <v>685</v>
      </c>
      <c r="J523" s="54"/>
      <c r="K523" s="54"/>
      <c r="L523" s="54"/>
      <c r="M523" s="54"/>
      <c r="N523" s="54"/>
      <c r="O523" s="54"/>
      <c r="P523" s="54"/>
      <c r="Q523" s="54"/>
      <c r="R523" s="54"/>
      <c r="S523" s="54"/>
      <c r="T523" s="54"/>
      <c r="U523" s="54"/>
      <c r="V523" s="54"/>
      <c r="W523" s="54"/>
      <c r="X523" s="54"/>
      <c r="Y523" s="54"/>
      <c r="Z523" s="54"/>
      <c r="AA523" s="54"/>
      <c r="AB523" s="54"/>
      <c r="AC523" s="1296">
        <v>3</v>
      </c>
      <c r="AD523" s="1101"/>
      <c r="AE523" s="1101"/>
      <c r="AF523" s="1101"/>
      <c r="AG523" s="47" t="s">
        <v>247</v>
      </c>
      <c r="AH523" s="1056">
        <v>2025</v>
      </c>
      <c r="AI523" s="1056"/>
      <c r="AJ523" s="1056"/>
      <c r="AK523" s="1057"/>
      <c r="AM523" s="41"/>
      <c r="AN523" s="41"/>
      <c r="AO523" s="41"/>
      <c r="AP523" s="41"/>
      <c r="AQ523" s="41"/>
      <c r="AR523" s="41"/>
      <c r="AS523" s="41"/>
      <c r="AT523" s="41"/>
      <c r="AU523" s="41"/>
      <c r="AV523" s="41"/>
      <c r="AW523" s="41"/>
      <c r="AX523" s="41"/>
      <c r="AY523" s="41"/>
      <c r="AZ523" s="41" t="s">
        <v>2172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300"/>
      <c r="C524" s="1301"/>
      <c r="D524" s="1301"/>
      <c r="E524" s="1301"/>
      <c r="F524" s="1301"/>
      <c r="G524" s="1301"/>
      <c r="H524" s="1302"/>
      <c r="I524" s="7" t="s">
        <v>686</v>
      </c>
      <c r="J524" s="7"/>
      <c r="K524" s="7"/>
      <c r="L524" s="7"/>
      <c r="M524" s="7"/>
      <c r="N524" s="7"/>
      <c r="O524" s="1293" t="s">
        <v>2413</v>
      </c>
      <c r="P524" s="1294"/>
      <c r="Q524" s="1294"/>
      <c r="R524" s="1294"/>
      <c r="S524" s="1294"/>
      <c r="T524" s="1294"/>
      <c r="U524" s="1294"/>
      <c r="V524" s="1294"/>
      <c r="W524" s="1294"/>
      <c r="X524" s="1294"/>
      <c r="Y524" s="1294"/>
      <c r="Z524" s="1294"/>
      <c r="AA524" s="1294"/>
      <c r="AC524" s="1296"/>
      <c r="AD524" s="1101"/>
      <c r="AE524" s="1101"/>
      <c r="AF524" s="1101"/>
      <c r="AG524" s="18" t="s">
        <v>247</v>
      </c>
      <c r="AH524" s="1056"/>
      <c r="AI524" s="1056"/>
      <c r="AJ524" s="1056"/>
      <c r="AK524" s="1057"/>
      <c r="AM524" s="41"/>
      <c r="AN524" s="41"/>
      <c r="AO524" s="41"/>
      <c r="AP524" s="41"/>
      <c r="AQ524" s="41"/>
      <c r="AR524" s="41"/>
      <c r="AS524" s="41"/>
      <c r="AT524" s="41"/>
      <c r="AU524" s="41"/>
      <c r="AV524" s="41"/>
      <c r="AW524" s="41"/>
      <c r="AX524" s="41"/>
      <c r="AY524" s="41"/>
      <c r="AZ524" s="41" t="s">
        <v>2173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300"/>
      <c r="C525" s="1301"/>
      <c r="D525" s="1301"/>
      <c r="E525" s="1301"/>
      <c r="F525" s="1301"/>
      <c r="G525" s="1301"/>
      <c r="H525" s="1302"/>
      <c r="I525" t="s">
        <v>684</v>
      </c>
      <c r="AC525" s="1296">
        <v>7</v>
      </c>
      <c r="AD525" s="1101"/>
      <c r="AE525" s="1101"/>
      <c r="AF525" s="1101"/>
      <c r="AG525" s="18" t="s">
        <v>247</v>
      </c>
      <c r="AH525" s="1056">
        <v>2023</v>
      </c>
      <c r="AI525" s="1056"/>
      <c r="AJ525" s="1056"/>
      <c r="AK525" s="1057"/>
      <c r="AM525" s="41"/>
      <c r="AN525" s="41"/>
      <c r="AO525" s="41"/>
      <c r="AP525" s="41"/>
      <c r="AQ525" s="41"/>
      <c r="AR525" s="41"/>
      <c r="AS525" s="41"/>
      <c r="AT525" s="41"/>
      <c r="AU525" s="41"/>
      <c r="AV525" s="41"/>
      <c r="AW525" s="41"/>
      <c r="AX525" s="41"/>
      <c r="AY525" s="41"/>
      <c r="AZ525" s="41" t="s">
        <v>2174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300"/>
      <c r="C526" s="1301"/>
      <c r="D526" s="1301"/>
      <c r="E526" s="1301"/>
      <c r="F526" s="1301"/>
      <c r="G526" s="1301"/>
      <c r="H526" s="1302"/>
      <c r="I526" s="54" t="s">
        <v>685</v>
      </c>
      <c r="J526" s="54"/>
      <c r="K526" s="54"/>
      <c r="L526" s="54"/>
      <c r="M526" s="54"/>
      <c r="N526" s="54"/>
      <c r="O526" s="54"/>
      <c r="P526" s="54"/>
      <c r="Q526" s="54"/>
      <c r="R526" s="54"/>
      <c r="S526" s="54"/>
      <c r="T526" s="54"/>
      <c r="U526" s="54"/>
      <c r="V526" s="54"/>
      <c r="W526" s="54"/>
      <c r="X526" s="54"/>
      <c r="Y526" s="54"/>
      <c r="Z526" s="54"/>
      <c r="AA526" s="54"/>
      <c r="AB526" s="54"/>
      <c r="AC526" s="1296">
        <v>3</v>
      </c>
      <c r="AD526" s="1101"/>
      <c r="AE526" s="1101"/>
      <c r="AF526" s="1101"/>
      <c r="AG526" s="47" t="s">
        <v>247</v>
      </c>
      <c r="AH526" s="1056">
        <v>2025</v>
      </c>
      <c r="AI526" s="1056"/>
      <c r="AJ526" s="1056"/>
      <c r="AK526" s="1057"/>
      <c r="AM526" s="41"/>
      <c r="AN526" s="41"/>
      <c r="AO526" s="41"/>
      <c r="AP526" s="41"/>
      <c r="AQ526" s="41"/>
      <c r="AR526" s="41"/>
      <c r="AS526" s="41"/>
      <c r="AT526" s="41"/>
      <c r="AU526" s="41"/>
      <c r="AV526" s="41"/>
      <c r="AW526" s="41"/>
      <c r="AX526" s="41"/>
      <c r="AY526" s="41"/>
      <c r="AZ526" s="41" t="s">
        <v>2175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300"/>
      <c r="C527" s="1301"/>
      <c r="D527" s="1301"/>
      <c r="E527" s="1301"/>
      <c r="F527" s="1301"/>
      <c r="G527" s="1301"/>
      <c r="H527" s="1302"/>
      <c r="I527" s="7" t="s">
        <v>686</v>
      </c>
      <c r="J527" s="7"/>
      <c r="K527" s="7"/>
      <c r="L527" s="7"/>
      <c r="M527" s="7"/>
      <c r="N527" s="7"/>
      <c r="O527" s="1293" t="s">
        <v>2406</v>
      </c>
      <c r="P527" s="1294"/>
      <c r="Q527" s="1294"/>
      <c r="R527" s="1294"/>
      <c r="S527" s="1294"/>
      <c r="T527" s="1294"/>
      <c r="U527" s="1294"/>
      <c r="V527" s="1294"/>
      <c r="W527" s="1294"/>
      <c r="X527" s="1294"/>
      <c r="Y527" s="1294"/>
      <c r="Z527" s="1294"/>
      <c r="AA527" s="1294"/>
      <c r="AC527" s="1296"/>
      <c r="AD527" s="1101"/>
      <c r="AE527" s="1101"/>
      <c r="AF527" s="1101"/>
      <c r="AG527" s="18" t="s">
        <v>247</v>
      </c>
      <c r="AH527" s="1056"/>
      <c r="AI527" s="1056"/>
      <c r="AJ527" s="1056"/>
      <c r="AK527" s="1057"/>
      <c r="AM527" s="41"/>
      <c r="AN527" s="41"/>
      <c r="AO527" s="41"/>
      <c r="AP527" s="41"/>
      <c r="AQ527" s="41"/>
      <c r="AR527" s="41"/>
      <c r="AS527" s="41"/>
      <c r="AT527" s="41"/>
      <c r="AU527" s="41"/>
      <c r="AV527" s="41"/>
      <c r="AW527" s="41"/>
      <c r="AX527" s="41"/>
      <c r="AY527" s="41"/>
      <c r="AZ527" s="41" t="s">
        <v>2176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300"/>
      <c r="C528" s="1301"/>
      <c r="D528" s="1301"/>
      <c r="E528" s="1301"/>
      <c r="F528" s="1301"/>
      <c r="G528" s="1301"/>
      <c r="H528" s="1302"/>
      <c r="I528" t="s">
        <v>684</v>
      </c>
      <c r="AC528" s="1296">
        <v>7</v>
      </c>
      <c r="AD528" s="1101"/>
      <c r="AE528" s="1101"/>
      <c r="AF528" s="1101"/>
      <c r="AG528" s="47" t="s">
        <v>247</v>
      </c>
      <c r="AH528" s="1056">
        <v>2023</v>
      </c>
      <c r="AI528" s="1056"/>
      <c r="AJ528" s="1056"/>
      <c r="AK528" s="1057"/>
      <c r="AM528" s="41"/>
      <c r="AN528" s="41"/>
      <c r="AO528" s="41"/>
      <c r="AP528" s="41"/>
      <c r="AQ528" s="41"/>
      <c r="AR528" s="41"/>
      <c r="AS528" s="41"/>
      <c r="AT528" s="41"/>
      <c r="AU528" s="41"/>
      <c r="AV528" s="41"/>
      <c r="AW528" s="41"/>
      <c r="AX528" s="41"/>
      <c r="AY528" s="41"/>
      <c r="AZ528" s="41" t="s">
        <v>2177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300"/>
      <c r="C529" s="1301"/>
      <c r="D529" s="1301"/>
      <c r="E529" s="1301"/>
      <c r="F529" s="1301"/>
      <c r="G529" s="1301"/>
      <c r="H529" s="1302"/>
      <c r="I529" s="54" t="s">
        <v>685</v>
      </c>
      <c r="J529" s="54"/>
      <c r="K529" s="54"/>
      <c r="L529" s="54"/>
      <c r="M529" s="54"/>
      <c r="N529" s="54"/>
      <c r="O529" s="54"/>
      <c r="P529" s="54"/>
      <c r="Q529" s="54"/>
      <c r="R529" s="54"/>
      <c r="S529" s="54"/>
      <c r="T529" s="54"/>
      <c r="U529" s="54"/>
      <c r="V529" s="54"/>
      <c r="W529" s="54"/>
      <c r="X529" s="54"/>
      <c r="Y529" s="54"/>
      <c r="Z529" s="54"/>
      <c r="AA529" s="54"/>
      <c r="AB529" s="54"/>
      <c r="AC529" s="1296">
        <v>3</v>
      </c>
      <c r="AD529" s="1101"/>
      <c r="AE529" s="1101"/>
      <c r="AF529" s="1101"/>
      <c r="AG529" s="18" t="s">
        <v>247</v>
      </c>
      <c r="AH529" s="1056">
        <v>2025</v>
      </c>
      <c r="AI529" s="1056"/>
      <c r="AJ529" s="1056"/>
      <c r="AK529" s="1057"/>
      <c r="AM529" s="41"/>
      <c r="AN529" s="41"/>
      <c r="AO529" s="41"/>
      <c r="AP529" s="41"/>
      <c r="AQ529" s="41"/>
      <c r="AR529" s="41"/>
      <c r="AS529" s="41"/>
      <c r="AT529" s="41"/>
      <c r="AU529" s="41"/>
      <c r="AV529" s="41"/>
      <c r="AW529" s="41"/>
      <c r="AX529" s="41"/>
      <c r="AY529" s="41"/>
      <c r="AZ529" s="41" t="s">
        <v>2178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2" customHeight="1">
      <c r="B530" s="1300"/>
      <c r="C530" s="1301"/>
      <c r="D530" s="1301"/>
      <c r="E530" s="1301"/>
      <c r="F530" s="1301"/>
      <c r="G530" s="1301"/>
      <c r="H530" s="1302"/>
      <c r="I530" s="7" t="s">
        <v>686</v>
      </c>
      <c r="J530" s="7"/>
      <c r="K530" s="7"/>
      <c r="L530" s="7"/>
      <c r="M530" s="7"/>
      <c r="N530" s="7"/>
      <c r="O530" s="1293" t="s">
        <v>560</v>
      </c>
      <c r="P530" s="1294"/>
      <c r="Q530" s="1294"/>
      <c r="R530" s="1294"/>
      <c r="S530" s="1294"/>
      <c r="T530" s="1294"/>
      <c r="U530" s="1294"/>
      <c r="V530" s="1294"/>
      <c r="W530" s="1294"/>
      <c r="X530" s="1294"/>
      <c r="Y530" s="1294"/>
      <c r="Z530" s="1294"/>
      <c r="AA530" s="1294"/>
      <c r="AC530" s="1296"/>
      <c r="AD530" s="1101"/>
      <c r="AE530" s="1101"/>
      <c r="AF530" s="1101"/>
      <c r="AG530" s="47" t="s">
        <v>247</v>
      </c>
      <c r="AH530" s="1056"/>
      <c r="AI530" s="1056"/>
      <c r="AJ530" s="1056"/>
      <c r="AK530" s="1057"/>
      <c r="AM530" s="41"/>
      <c r="AN530" s="41"/>
      <c r="AO530" s="41"/>
      <c r="AP530" s="41"/>
      <c r="AQ530" s="41"/>
      <c r="AR530" s="41"/>
      <c r="AS530" s="41"/>
      <c r="AT530" s="41"/>
      <c r="AU530" s="41"/>
      <c r="AV530" s="41"/>
      <c r="AW530" s="41"/>
      <c r="AX530" s="41"/>
      <c r="AY530" s="41"/>
      <c r="AZ530" s="41" t="s">
        <v>2179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2" customHeight="1">
      <c r="B531" s="1300"/>
      <c r="C531" s="1301"/>
      <c r="D531" s="1301"/>
      <c r="E531" s="1301"/>
      <c r="F531" s="1301"/>
      <c r="G531" s="1301"/>
      <c r="H531" s="1302"/>
      <c r="I531" t="s">
        <v>684</v>
      </c>
      <c r="AC531" s="1296"/>
      <c r="AD531" s="1101"/>
      <c r="AE531" s="1101"/>
      <c r="AF531" s="1101"/>
      <c r="AG531" s="18" t="s">
        <v>247</v>
      </c>
      <c r="AH531" s="1056"/>
      <c r="AI531" s="1056"/>
      <c r="AJ531" s="1056"/>
      <c r="AK531" s="1057"/>
      <c r="AM531" s="41"/>
      <c r="AN531" s="41"/>
      <c r="AO531" s="41"/>
      <c r="AP531" s="41"/>
      <c r="AQ531" s="41"/>
      <c r="AR531" s="41"/>
      <c r="AS531" s="41"/>
      <c r="AT531" s="41"/>
      <c r="AU531" s="41"/>
      <c r="AV531" s="41"/>
      <c r="AW531" s="41"/>
      <c r="AX531" s="41"/>
      <c r="AY531" s="41"/>
      <c r="AZ531" s="41" t="s">
        <v>2180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2" customHeight="1">
      <c r="B532" s="1300"/>
      <c r="C532" s="1301"/>
      <c r="D532" s="1301"/>
      <c r="E532" s="1301"/>
      <c r="F532" s="1301"/>
      <c r="G532" s="1301"/>
      <c r="H532" s="1302"/>
      <c r="I532" s="54" t="s">
        <v>685</v>
      </c>
      <c r="J532" s="54"/>
      <c r="K532" s="54"/>
      <c r="L532" s="54"/>
      <c r="M532" s="54"/>
      <c r="N532" s="54"/>
      <c r="O532" s="54"/>
      <c r="P532" s="54"/>
      <c r="Q532" s="54"/>
      <c r="R532" s="54"/>
      <c r="S532" s="54"/>
      <c r="T532" s="54"/>
      <c r="U532" s="54"/>
      <c r="V532" s="54"/>
      <c r="W532" s="54"/>
      <c r="X532" s="54"/>
      <c r="Y532" s="54"/>
      <c r="Z532" s="54"/>
      <c r="AA532" s="54"/>
      <c r="AB532" s="54"/>
      <c r="AC532" s="1296"/>
      <c r="AD532" s="1101"/>
      <c r="AE532" s="1101"/>
      <c r="AF532" s="1101"/>
      <c r="AG532" s="47" t="s">
        <v>247</v>
      </c>
      <c r="AH532" s="1056"/>
      <c r="AI532" s="1056"/>
      <c r="AJ532" s="1056"/>
      <c r="AK532" s="1057"/>
      <c r="AM532" s="41"/>
      <c r="AN532" s="41"/>
      <c r="AO532" s="41"/>
      <c r="AP532" s="41"/>
      <c r="AQ532" s="41"/>
      <c r="AR532" s="41"/>
      <c r="AS532" s="41"/>
      <c r="AT532" s="41"/>
      <c r="AU532" s="41"/>
      <c r="AV532" s="41"/>
      <c r="AW532" s="41"/>
      <c r="AX532" s="41"/>
      <c r="AY532" s="41"/>
      <c r="AZ532" s="41" t="s">
        <v>2181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300"/>
      <c r="C533" s="1301"/>
      <c r="D533" s="1301"/>
      <c r="E533" s="1301"/>
      <c r="F533" s="1301"/>
      <c r="G533" s="1301"/>
      <c r="H533" s="1302"/>
      <c r="I533" s="7" t="s">
        <v>733</v>
      </c>
      <c r="J533" s="7"/>
      <c r="K533" s="7"/>
      <c r="L533" s="7"/>
      <c r="M533" s="7"/>
      <c r="N533" s="7"/>
      <c r="O533" s="7"/>
      <c r="P533" s="7"/>
      <c r="Q533" s="7"/>
      <c r="R533" s="7"/>
      <c r="S533" s="7"/>
      <c r="T533" s="7"/>
      <c r="U533" s="7"/>
      <c r="V533" s="7"/>
      <c r="W533" s="7"/>
      <c r="AC533" s="1296">
        <v>9</v>
      </c>
      <c r="AD533" s="1101"/>
      <c r="AE533" s="1101"/>
      <c r="AF533" s="1101"/>
      <c r="AG533" s="47" t="s">
        <v>247</v>
      </c>
      <c r="AH533" s="1056">
        <v>2025</v>
      </c>
      <c r="AI533" s="1056"/>
      <c r="AJ533" s="1056"/>
      <c r="AK533" s="1057"/>
      <c r="AM533" s="41"/>
      <c r="AN533" s="41"/>
      <c r="AO533" s="41"/>
      <c r="AP533" s="41"/>
      <c r="AQ533" s="41"/>
      <c r="AR533" s="41"/>
      <c r="AS533" s="41"/>
      <c r="AT533" s="41"/>
      <c r="AU533" s="41"/>
      <c r="AV533" s="41"/>
      <c r="AW533" s="41"/>
      <c r="AX533" s="41"/>
      <c r="AY533" s="41"/>
      <c r="AZ533" s="41" t="s">
        <v>2182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300"/>
      <c r="C534" s="1301"/>
      <c r="D534" s="1301"/>
      <c r="E534" s="1301"/>
      <c r="F534" s="1301"/>
      <c r="G534" s="1301"/>
      <c r="H534" s="1302"/>
      <c r="I534" t="s">
        <v>734</v>
      </c>
      <c r="AC534" s="1296">
        <v>3</v>
      </c>
      <c r="AD534" s="1101"/>
      <c r="AE534" s="1101"/>
      <c r="AF534" s="1101"/>
      <c r="AG534" s="18" t="s">
        <v>247</v>
      </c>
      <c r="AH534" s="1056">
        <v>2025</v>
      </c>
      <c r="AI534" s="1056"/>
      <c r="AJ534" s="1056"/>
      <c r="AK534" s="1057"/>
      <c r="AM534" s="41"/>
      <c r="AN534" s="41"/>
      <c r="AO534" s="41"/>
      <c r="AP534" s="41"/>
      <c r="AQ534" s="41"/>
      <c r="AR534" s="41"/>
      <c r="AS534" s="41"/>
      <c r="AT534" s="41"/>
      <c r="AU534" s="41"/>
      <c r="AV534" s="41"/>
      <c r="AW534" s="41"/>
      <c r="AX534" s="41"/>
      <c r="AY534" s="41"/>
      <c r="AZ534" s="41" t="s">
        <v>2183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B535" s="1300"/>
      <c r="C535" s="1301"/>
      <c r="D535" s="1301"/>
      <c r="E535" s="1301"/>
      <c r="F535" s="1301"/>
      <c r="G535" s="1301"/>
      <c r="H535" s="1302"/>
      <c r="I535" t="s">
        <v>735</v>
      </c>
      <c r="AC535" s="1296">
        <v>9</v>
      </c>
      <c r="AD535" s="1101"/>
      <c r="AE535" s="1101"/>
      <c r="AF535" s="1101"/>
      <c r="AG535" s="47" t="s">
        <v>247</v>
      </c>
      <c r="AH535" s="1056">
        <v>2026</v>
      </c>
      <c r="AI535" s="1056"/>
      <c r="AJ535" s="1056"/>
      <c r="AK535" s="1057"/>
      <c r="AM535" s="41"/>
      <c r="AN535" s="41"/>
      <c r="AO535" s="41"/>
      <c r="AP535" s="41"/>
      <c r="AQ535" s="41"/>
      <c r="AR535" s="41"/>
      <c r="AS535" s="41"/>
      <c r="AT535" s="41"/>
      <c r="AU535" s="41"/>
      <c r="AV535" s="41"/>
      <c r="AW535" s="41"/>
      <c r="AX535" s="41"/>
      <c r="AY535" s="41"/>
      <c r="AZ535" s="41" t="s">
        <v>2184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B536" s="1300"/>
      <c r="C536" s="1301"/>
      <c r="D536" s="1301"/>
      <c r="E536" s="1301"/>
      <c r="F536" s="1301"/>
      <c r="G536" s="1301"/>
      <c r="H536" s="1302"/>
      <c r="I536" t="s">
        <v>736</v>
      </c>
      <c r="AC536" s="1296">
        <v>9</v>
      </c>
      <c r="AD536" s="1101"/>
      <c r="AE536" s="1101"/>
      <c r="AF536" s="1101"/>
      <c r="AG536" s="47" t="s">
        <v>247</v>
      </c>
      <c r="AH536" s="1056">
        <v>2026</v>
      </c>
      <c r="AI536" s="1056"/>
      <c r="AJ536" s="1056"/>
      <c r="AK536" s="1057"/>
      <c r="AM536" s="41"/>
      <c r="AN536" s="41"/>
      <c r="AO536" s="41"/>
      <c r="AP536" s="41"/>
      <c r="AQ536" s="41"/>
      <c r="AR536" s="41"/>
      <c r="AS536" s="41"/>
      <c r="AT536" s="41"/>
      <c r="AU536" s="41"/>
      <c r="AV536" s="41"/>
      <c r="AW536" s="41"/>
      <c r="AX536" s="41"/>
      <c r="AY536" s="41"/>
      <c r="AZ536" s="41" t="s">
        <v>2185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B537" s="1303"/>
      <c r="C537" s="1304"/>
      <c r="D537" s="1304"/>
      <c r="E537" s="1304"/>
      <c r="F537" s="1304"/>
      <c r="G537" s="1304"/>
      <c r="H537" s="1305"/>
      <c r="I537" s="54" t="s">
        <v>1363</v>
      </c>
      <c r="J537" s="54"/>
      <c r="K537" s="54"/>
      <c r="L537" s="54"/>
      <c r="M537" s="54"/>
      <c r="N537" s="54"/>
      <c r="O537" s="54"/>
      <c r="P537" s="54"/>
      <c r="Q537" s="54"/>
      <c r="R537" s="54"/>
      <c r="S537" s="54"/>
      <c r="T537" s="54"/>
      <c r="U537" s="54"/>
      <c r="V537" s="54"/>
      <c r="W537" s="54"/>
      <c r="X537" s="54"/>
      <c r="Y537" s="54"/>
      <c r="Z537" s="54"/>
      <c r="AA537" s="54"/>
      <c r="AB537" s="54"/>
      <c r="AC537" s="1296">
        <v>1</v>
      </c>
      <c r="AD537" s="1101"/>
      <c r="AE537" s="1101"/>
      <c r="AF537" s="1101"/>
      <c r="AG537" s="47" t="s">
        <v>247</v>
      </c>
      <c r="AH537" s="1056">
        <v>2027</v>
      </c>
      <c r="AI537" s="1056"/>
      <c r="AJ537" s="1056"/>
      <c r="AK537" s="1057"/>
      <c r="AM537" s="41"/>
      <c r="AN537" s="41"/>
      <c r="AO537" s="41"/>
      <c r="AP537" s="41"/>
      <c r="AQ537" s="41"/>
      <c r="AR537" s="41"/>
      <c r="AS537" s="41"/>
      <c r="AT537" s="41"/>
      <c r="AU537" s="41"/>
      <c r="AV537" s="41"/>
      <c r="AW537" s="41"/>
      <c r="AX537" s="41"/>
      <c r="AY537" s="41"/>
      <c r="AZ537" s="41" t="s">
        <v>2186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O538" s="41"/>
      <c r="AP538" s="41"/>
      <c r="AQ538" s="41"/>
      <c r="AR538" s="41"/>
      <c r="AS538" s="41"/>
      <c r="AT538" s="41"/>
      <c r="AU538" s="41"/>
      <c r="AV538" s="41"/>
      <c r="AW538" s="41"/>
      <c r="AX538" s="41"/>
      <c r="AY538" s="41"/>
      <c r="AZ538" s="41" t="s">
        <v>2187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978" t="s">
        <v>497</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2188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2189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T541" s="41"/>
      <c r="AU541" s="41"/>
      <c r="AV541" s="41"/>
      <c r="AW541" s="41"/>
      <c r="AX541" s="41"/>
      <c r="AY541" s="41"/>
      <c r="AZ541" s="41" t="s">
        <v>2190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A542" s="3" t="s">
        <v>651</v>
      </c>
      <c r="B542" s="3"/>
      <c r="C542" s="3" t="s">
        <v>737</v>
      </c>
      <c r="AT542" s="41"/>
      <c r="AU542" s="41"/>
      <c r="AV542" s="41"/>
      <c r="AW542" s="41"/>
      <c r="AX542" s="41"/>
      <c r="AY542" s="41"/>
      <c r="AZ542" t="s">
        <v>2191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2"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2" customHeight="1">
      <c r="A544" s="3"/>
      <c r="B544" s="3"/>
      <c r="C544" s="3"/>
      <c r="D544" s="3" t="s">
        <v>2123</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2"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2" customHeight="1">
      <c r="B546" s="1297" t="s">
        <v>2192</v>
      </c>
      <c r="C546" s="1298"/>
      <c r="D546" s="1298"/>
      <c r="E546" s="1298"/>
      <c r="F546" s="1298"/>
      <c r="G546" s="1298"/>
      <c r="H546" s="1298"/>
      <c r="I546" s="1298"/>
      <c r="J546" s="1298"/>
      <c r="K546" s="1298"/>
      <c r="L546" s="1298"/>
      <c r="M546" s="1412" t="s">
        <v>2166</v>
      </c>
      <c r="N546" s="1412"/>
      <c r="O546" s="1412"/>
      <c r="P546" s="1412"/>
      <c r="Q546" s="1297" t="s">
        <v>439</v>
      </c>
      <c r="R546" s="1298"/>
      <c r="S546" s="1299"/>
      <c r="T546" s="1297" t="s">
        <v>1987</v>
      </c>
      <c r="U546" s="1298"/>
      <c r="V546" s="1299"/>
      <c r="W546" s="1297" t="s">
        <v>738</v>
      </c>
      <c r="X546" s="1298"/>
      <c r="Y546" s="1299"/>
      <c r="Z546" s="1297" t="s">
        <v>1989</v>
      </c>
      <c r="AA546" s="1298"/>
      <c r="AB546" s="1298"/>
      <c r="AC546" s="1298"/>
      <c r="AD546" s="1299"/>
      <c r="AE546" s="1297" t="s">
        <v>1988</v>
      </c>
      <c r="AF546" s="1298"/>
      <c r="AG546" s="1298"/>
      <c r="AH546" s="1299"/>
      <c r="AI546" s="1297" t="s">
        <v>1990</v>
      </c>
      <c r="AJ546" s="1298"/>
      <c r="AK546" s="1298"/>
      <c r="AL546" s="1299"/>
      <c r="AM546" s="1297" t="s">
        <v>739</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2" customHeight="1">
      <c r="B547" s="1300"/>
      <c r="C547" s="1301"/>
      <c r="D547" s="1301"/>
      <c r="E547" s="1301"/>
      <c r="F547" s="1301"/>
      <c r="G547" s="1301"/>
      <c r="H547" s="1301"/>
      <c r="I547" s="1301"/>
      <c r="J547" s="1301"/>
      <c r="K547" s="1301"/>
      <c r="L547" s="1301"/>
      <c r="M547" s="1412"/>
      <c r="N547" s="1412"/>
      <c r="O547" s="1412"/>
      <c r="P547" s="1412"/>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2" customHeight="1">
      <c r="B548" s="1303"/>
      <c r="C548" s="1304"/>
      <c r="D548" s="1304"/>
      <c r="E548" s="1304"/>
      <c r="F548" s="1304"/>
      <c r="G548" s="1304"/>
      <c r="H548" s="1304"/>
      <c r="I548" s="1304"/>
      <c r="J548" s="1304"/>
      <c r="K548" s="1304"/>
      <c r="L548" s="1304"/>
      <c r="M548" s="1412"/>
      <c r="N548" s="1412"/>
      <c r="O548" s="1412"/>
      <c r="P548" s="1412"/>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2" customHeight="1">
      <c r="B549" s="57" t="s">
        <v>898</v>
      </c>
      <c r="C549" s="1410" t="s">
        <v>2445</v>
      </c>
      <c r="D549" s="1410"/>
      <c r="E549" s="1410"/>
      <c r="F549" s="1410"/>
      <c r="G549" s="1410"/>
      <c r="H549" s="1410"/>
      <c r="I549" s="1410"/>
      <c r="J549" s="1410"/>
      <c r="K549" s="1410"/>
      <c r="L549" s="1410"/>
      <c r="M549" s="1295" t="s">
        <v>2176</v>
      </c>
      <c r="N549" s="1295"/>
      <c r="O549" s="1295"/>
      <c r="P549" s="1295"/>
      <c r="Q549" s="1281">
        <v>28</v>
      </c>
      <c r="R549" s="1281"/>
      <c r="S549" s="1282"/>
      <c r="T549" s="1280"/>
      <c r="U549" s="1281"/>
      <c r="V549" s="1282"/>
      <c r="W549" s="1283">
        <v>7.8299999999999995E-2</v>
      </c>
      <c r="X549" s="1284"/>
      <c r="Y549" s="1285"/>
      <c r="Z549" s="1289" t="s">
        <v>2454</v>
      </c>
      <c r="AA549" s="1289"/>
      <c r="AB549" s="1289"/>
      <c r="AC549" s="1289"/>
      <c r="AD549" s="1289"/>
      <c r="AE549" s="1290">
        <v>1</v>
      </c>
      <c r="AF549" s="1291"/>
      <c r="AG549" s="1291"/>
      <c r="AH549" s="1292"/>
      <c r="AI549" s="1286">
        <f>+AM549</f>
        <v>26889700</v>
      </c>
      <c r="AJ549" s="1287"/>
      <c r="AK549" s="1287"/>
      <c r="AL549" s="1288"/>
      <c r="AM549" s="1199">
        <v>26889700</v>
      </c>
      <c r="AN549" s="1200"/>
      <c r="AO549" s="1200"/>
      <c r="AP549" s="1200"/>
      <c r="AQ549" s="1200"/>
      <c r="AR549" s="1200"/>
      <c r="AS549" s="1201"/>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2" customHeight="1">
      <c r="B550" s="58" t="s">
        <v>899</v>
      </c>
      <c r="C550" s="1410" t="s">
        <v>2446</v>
      </c>
      <c r="D550" s="1410"/>
      <c r="E550" s="1410"/>
      <c r="F550" s="1410"/>
      <c r="G550" s="1410"/>
      <c r="H550" s="1410"/>
      <c r="I550" s="1410"/>
      <c r="J550" s="1410"/>
      <c r="K550" s="1410"/>
      <c r="L550" s="1410"/>
      <c r="M550" s="1295" t="s">
        <v>2178</v>
      </c>
      <c r="N550" s="1295"/>
      <c r="O550" s="1295"/>
      <c r="P550" s="1295"/>
      <c r="Q550" s="1280">
        <f>+Q549</f>
        <v>28</v>
      </c>
      <c r="R550" s="1281"/>
      <c r="S550" s="1282"/>
      <c r="T550" s="1280"/>
      <c r="U550" s="1281"/>
      <c r="V550" s="1282"/>
      <c r="W550" s="1283">
        <v>0.03</v>
      </c>
      <c r="X550" s="1284"/>
      <c r="Y550" s="1285"/>
      <c r="Z550" s="1289" t="s">
        <v>2455</v>
      </c>
      <c r="AA550" s="1289"/>
      <c r="AB550" s="1289"/>
      <c r="AC550" s="1289"/>
      <c r="AD550" s="1289"/>
      <c r="AE550" s="1290">
        <v>2</v>
      </c>
      <c r="AF550" s="1291"/>
      <c r="AG550" s="1291"/>
      <c r="AH550" s="1292"/>
      <c r="AI550" s="1286"/>
      <c r="AJ550" s="1287"/>
      <c r="AK550" s="1287"/>
      <c r="AL550" s="1288"/>
      <c r="AM550" s="1199">
        <v>16469444</v>
      </c>
      <c r="AN550" s="1200"/>
      <c r="AO550" s="1200"/>
      <c r="AP550" s="1200"/>
      <c r="AQ550" s="1200"/>
      <c r="AR550" s="1200"/>
      <c r="AS550" s="1201"/>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2" customHeight="1">
      <c r="B551" s="58" t="s">
        <v>905</v>
      </c>
      <c r="C551" s="1410" t="s">
        <v>2447</v>
      </c>
      <c r="D551" s="1410"/>
      <c r="E551" s="1410"/>
      <c r="F551" s="1410"/>
      <c r="G551" s="1410"/>
      <c r="H551" s="1410"/>
      <c r="I551" s="1410"/>
      <c r="J551" s="1410"/>
      <c r="K551" s="1410"/>
      <c r="L551" s="1410"/>
      <c r="M551" s="1295" t="s">
        <v>2178</v>
      </c>
      <c r="N551" s="1295"/>
      <c r="O551" s="1295"/>
      <c r="P551" s="1295"/>
      <c r="Q551" s="1280">
        <f t="shared" ref="Q551:Q554" si="1">+Q550</f>
        <v>28</v>
      </c>
      <c r="R551" s="1281"/>
      <c r="S551" s="1282"/>
      <c r="T551" s="1280"/>
      <c r="U551" s="1281"/>
      <c r="V551" s="1282"/>
      <c r="W551" s="1283">
        <v>0</v>
      </c>
      <c r="X551" s="1284"/>
      <c r="Y551" s="1285"/>
      <c r="Z551" s="1289" t="s">
        <v>2455</v>
      </c>
      <c r="AA551" s="1289"/>
      <c r="AB551" s="1289"/>
      <c r="AC551" s="1289"/>
      <c r="AD551" s="1289"/>
      <c r="AE551" s="1290">
        <v>3</v>
      </c>
      <c r="AF551" s="1291"/>
      <c r="AG551" s="1291"/>
      <c r="AH551" s="1292"/>
      <c r="AI551" s="1286"/>
      <c r="AJ551" s="1287"/>
      <c r="AK551" s="1287"/>
      <c r="AL551" s="1288"/>
      <c r="AM551" s="1199">
        <v>3611400</v>
      </c>
      <c r="AN551" s="1200"/>
      <c r="AO551" s="1200"/>
      <c r="AP551" s="1200"/>
      <c r="AQ551" s="1200"/>
      <c r="AR551" s="1200"/>
      <c r="AS551" s="1201"/>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2" customHeight="1">
      <c r="B552" s="58" t="s">
        <v>430</v>
      </c>
      <c r="C552" s="1410" t="s">
        <v>2448</v>
      </c>
      <c r="D552" s="1410"/>
      <c r="E552" s="1410"/>
      <c r="F552" s="1410"/>
      <c r="G552" s="1410"/>
      <c r="H552" s="1410"/>
      <c r="I552" s="1410"/>
      <c r="J552" s="1410"/>
      <c r="K552" s="1410"/>
      <c r="L552" s="1410"/>
      <c r="M552" s="1295" t="s">
        <v>2178</v>
      </c>
      <c r="N552" s="1295"/>
      <c r="O552" s="1295"/>
      <c r="P552" s="1295"/>
      <c r="Q552" s="1280">
        <f t="shared" si="1"/>
        <v>28</v>
      </c>
      <c r="R552" s="1281"/>
      <c r="S552" s="1282"/>
      <c r="T552" s="1280"/>
      <c r="U552" s="1281"/>
      <c r="V552" s="1282"/>
      <c r="W552" s="1283">
        <v>0.03</v>
      </c>
      <c r="X552" s="1284"/>
      <c r="Y552" s="1285"/>
      <c r="Z552" s="1289" t="s">
        <v>2455</v>
      </c>
      <c r="AA552" s="1289"/>
      <c r="AB552" s="1289"/>
      <c r="AC552" s="1289"/>
      <c r="AD552" s="1289"/>
      <c r="AE552" s="1290">
        <v>4</v>
      </c>
      <c r="AF552" s="1291"/>
      <c r="AG552" s="1291"/>
      <c r="AH552" s="1292"/>
      <c r="AI552" s="1286"/>
      <c r="AJ552" s="1287"/>
      <c r="AK552" s="1287"/>
      <c r="AL552" s="1288"/>
      <c r="AM552" s="1199">
        <v>1834186</v>
      </c>
      <c r="AN552" s="1200"/>
      <c r="AO552" s="1200"/>
      <c r="AP552" s="1200"/>
      <c r="AQ552" s="1200"/>
      <c r="AR552" s="1200"/>
      <c r="AS552" s="1201"/>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2" customHeight="1">
      <c r="B553" s="58" t="s">
        <v>170</v>
      </c>
      <c r="C553" s="1410" t="s">
        <v>2449</v>
      </c>
      <c r="D553" s="1410"/>
      <c r="E553" s="1410"/>
      <c r="F553" s="1410"/>
      <c r="G553" s="1410"/>
      <c r="H553" s="1410"/>
      <c r="I553" s="1410"/>
      <c r="J553" s="1410"/>
      <c r="K553" s="1410"/>
      <c r="L553" s="1410"/>
      <c r="M553" s="1295" t="s">
        <v>2178</v>
      </c>
      <c r="N553" s="1295"/>
      <c r="O553" s="1295"/>
      <c r="P553" s="1295"/>
      <c r="Q553" s="1280">
        <f t="shared" si="1"/>
        <v>28</v>
      </c>
      <c r="R553" s="1281"/>
      <c r="S553" s="1282"/>
      <c r="T553" s="1280"/>
      <c r="U553" s="1281"/>
      <c r="V553" s="1282"/>
      <c r="W553" s="1283">
        <v>0.03</v>
      </c>
      <c r="X553" s="1284"/>
      <c r="Y553" s="1285"/>
      <c r="Z553" s="1289" t="s">
        <v>2455</v>
      </c>
      <c r="AA553" s="1289"/>
      <c r="AB553" s="1289"/>
      <c r="AC553" s="1289"/>
      <c r="AD553" s="1289"/>
      <c r="AE553" s="1290">
        <v>5</v>
      </c>
      <c r="AF553" s="1291"/>
      <c r="AG553" s="1291"/>
      <c r="AH553" s="1292"/>
      <c r="AI553" s="1286"/>
      <c r="AJ553" s="1287"/>
      <c r="AK553" s="1287"/>
      <c r="AL553" s="1288"/>
      <c r="AM553" s="1199">
        <v>935758</v>
      </c>
      <c r="AN553" s="1200"/>
      <c r="AO553" s="1200"/>
      <c r="AP553" s="1200"/>
      <c r="AQ553" s="1200"/>
      <c r="AR553" s="1200"/>
      <c r="AS553" s="1201"/>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2" customHeight="1">
      <c r="B554" s="58" t="s">
        <v>433</v>
      </c>
      <c r="C554" s="1410" t="s">
        <v>2450</v>
      </c>
      <c r="D554" s="1410"/>
      <c r="E554" s="1410"/>
      <c r="F554" s="1410"/>
      <c r="G554" s="1410"/>
      <c r="H554" s="1410"/>
      <c r="I554" s="1410"/>
      <c r="J554" s="1410"/>
      <c r="K554" s="1410"/>
      <c r="L554" s="1410"/>
      <c r="M554" s="1295" t="s">
        <v>2178</v>
      </c>
      <c r="N554" s="1295"/>
      <c r="O554" s="1295"/>
      <c r="P554" s="1295"/>
      <c r="Q554" s="1280">
        <f t="shared" si="1"/>
        <v>28</v>
      </c>
      <c r="R554" s="1281"/>
      <c r="S554" s="1282"/>
      <c r="T554" s="1280"/>
      <c r="U554" s="1281"/>
      <c r="V554" s="1282"/>
      <c r="W554" s="1283">
        <v>0</v>
      </c>
      <c r="X554" s="1284"/>
      <c r="Y554" s="1285"/>
      <c r="Z554" s="1289" t="s">
        <v>2455</v>
      </c>
      <c r="AA554" s="1289"/>
      <c r="AB554" s="1289"/>
      <c r="AC554" s="1289"/>
      <c r="AD554" s="1289"/>
      <c r="AE554" s="1290">
        <v>6</v>
      </c>
      <c r="AF554" s="1291"/>
      <c r="AG554" s="1291"/>
      <c r="AH554" s="1292"/>
      <c r="AI554" s="1286"/>
      <c r="AJ554" s="1287"/>
      <c r="AK554" s="1287"/>
      <c r="AL554" s="1288"/>
      <c r="AM554" s="1199">
        <v>1000000</v>
      </c>
      <c r="AN554" s="1200"/>
      <c r="AO554" s="1200"/>
      <c r="AP554" s="1200"/>
      <c r="AQ554" s="1200"/>
      <c r="AR554" s="1200"/>
      <c r="AS554" s="1201"/>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2" customHeight="1">
      <c r="B555" s="58" t="s">
        <v>740</v>
      </c>
      <c r="C555" s="1410" t="s">
        <v>2451</v>
      </c>
      <c r="D555" s="1410"/>
      <c r="E555" s="1410"/>
      <c r="F555" s="1410"/>
      <c r="G555" s="1410"/>
      <c r="H555" s="1410"/>
      <c r="I555" s="1410"/>
      <c r="J555" s="1410"/>
      <c r="K555" s="1410"/>
      <c r="L555" s="1410"/>
      <c r="M555" s="1295" t="s">
        <v>2169</v>
      </c>
      <c r="N555" s="1295"/>
      <c r="O555" s="1295"/>
      <c r="P555" s="1295"/>
      <c r="Q555" s="1280"/>
      <c r="R555" s="1281"/>
      <c r="S555" s="1282"/>
      <c r="T555" s="1280"/>
      <c r="U555" s="1281"/>
      <c r="V555" s="1282"/>
      <c r="W555" s="1283"/>
      <c r="X555" s="1284"/>
      <c r="Y555" s="1285"/>
      <c r="Z555" s="1289"/>
      <c r="AA555" s="1289"/>
      <c r="AB555" s="1289"/>
      <c r="AC555" s="1289"/>
      <c r="AD555" s="1289"/>
      <c r="AE555" s="1290"/>
      <c r="AF555" s="1291"/>
      <c r="AG555" s="1291"/>
      <c r="AH555" s="1292"/>
      <c r="AI555" s="1286"/>
      <c r="AJ555" s="1287"/>
      <c r="AK555" s="1287"/>
      <c r="AL555" s="1288"/>
      <c r="AM555" s="1199">
        <v>300000</v>
      </c>
      <c r="AN555" s="1200"/>
      <c r="AO555" s="1200"/>
      <c r="AP555" s="1200"/>
      <c r="AQ555" s="1200"/>
      <c r="AR555" s="1200"/>
      <c r="AS555" s="1201"/>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2" customHeight="1">
      <c r="B556" s="58" t="s">
        <v>741</v>
      </c>
      <c r="C556" s="1410" t="s">
        <v>2452</v>
      </c>
      <c r="D556" s="1410"/>
      <c r="E556" s="1410"/>
      <c r="F556" s="1410"/>
      <c r="G556" s="1410"/>
      <c r="H556" s="1410"/>
      <c r="I556" s="1410"/>
      <c r="J556" s="1410"/>
      <c r="K556" s="1410"/>
      <c r="L556" s="1410"/>
      <c r="M556" s="1295" t="s">
        <v>2168</v>
      </c>
      <c r="N556" s="1295"/>
      <c r="O556" s="1295"/>
      <c r="P556" s="1295"/>
      <c r="Q556" s="1280"/>
      <c r="R556" s="1281"/>
      <c r="S556" s="1282"/>
      <c r="T556" s="1280"/>
      <c r="U556" s="1281"/>
      <c r="V556" s="1282"/>
      <c r="W556" s="1283"/>
      <c r="X556" s="1284"/>
      <c r="Y556" s="1285"/>
      <c r="Z556" s="1289"/>
      <c r="AA556" s="1289"/>
      <c r="AB556" s="1289"/>
      <c r="AC556" s="1289"/>
      <c r="AD556" s="1289"/>
      <c r="AE556" s="1290"/>
      <c r="AF556" s="1291"/>
      <c r="AG556" s="1291"/>
      <c r="AH556" s="1292"/>
      <c r="AI556" s="1286"/>
      <c r="AJ556" s="1287"/>
      <c r="AK556" s="1287"/>
      <c r="AL556" s="1288"/>
      <c r="AM556" s="1199">
        <v>1883504</v>
      </c>
      <c r="AN556" s="1200"/>
      <c r="AO556" s="1200"/>
      <c r="AP556" s="1200"/>
      <c r="AQ556" s="1200"/>
      <c r="AR556" s="1200"/>
      <c r="AS556" s="1201"/>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2" customHeight="1">
      <c r="B557" s="58" t="s">
        <v>544</v>
      </c>
      <c r="C557" s="1410" t="s">
        <v>2453</v>
      </c>
      <c r="D557" s="1410"/>
      <c r="E557" s="1410"/>
      <c r="F557" s="1410"/>
      <c r="G557" s="1410"/>
      <c r="H557" s="1410"/>
      <c r="I557" s="1410"/>
      <c r="J557" s="1410"/>
      <c r="K557" s="1410"/>
      <c r="L557" s="1410"/>
      <c r="M557" s="1295" t="s">
        <v>2173</v>
      </c>
      <c r="N557" s="1295"/>
      <c r="O557" s="1295"/>
      <c r="P557" s="1295"/>
      <c r="Q557" s="1280"/>
      <c r="R557" s="1281"/>
      <c r="S557" s="1282"/>
      <c r="T557" s="1280"/>
      <c r="U557" s="1281"/>
      <c r="V557" s="1282"/>
      <c r="W557" s="1283"/>
      <c r="X557" s="1284"/>
      <c r="Y557" s="1285"/>
      <c r="Z557" s="1289"/>
      <c r="AA557" s="1289"/>
      <c r="AB557" s="1289"/>
      <c r="AC557" s="1289"/>
      <c r="AD557" s="1289"/>
      <c r="AE557" s="1290"/>
      <c r="AF557" s="1291"/>
      <c r="AG557" s="1291"/>
      <c r="AH557" s="1292"/>
      <c r="AI557" s="1286"/>
      <c r="AJ557" s="1287"/>
      <c r="AK557" s="1287"/>
      <c r="AL557" s="1288"/>
      <c r="AM557" s="1199">
        <v>4184018</v>
      </c>
      <c r="AN557" s="1200"/>
      <c r="AO557" s="1200"/>
      <c r="AP557" s="1200"/>
      <c r="AQ557" s="1200"/>
      <c r="AR557" s="1200"/>
      <c r="AS557" s="1201"/>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2" customHeight="1">
      <c r="B558" s="58" t="s">
        <v>173</v>
      </c>
      <c r="C558" s="1410"/>
      <c r="D558" s="1410"/>
      <c r="E558" s="1410"/>
      <c r="F558" s="1410"/>
      <c r="G558" s="1410"/>
      <c r="H558" s="1410"/>
      <c r="I558" s="1410"/>
      <c r="J558" s="1410"/>
      <c r="K558" s="1410"/>
      <c r="L558" s="1410"/>
      <c r="M558" s="1295"/>
      <c r="N558" s="1295"/>
      <c r="O558" s="1295"/>
      <c r="P558" s="1295"/>
      <c r="Q558" s="1280"/>
      <c r="R558" s="1281"/>
      <c r="S558" s="1282"/>
      <c r="T558" s="1280"/>
      <c r="U558" s="1281"/>
      <c r="V558" s="1282"/>
      <c r="W558" s="1283"/>
      <c r="X558" s="1284"/>
      <c r="Y558" s="1285"/>
      <c r="Z558" s="1289"/>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2" customHeight="1">
      <c r="B559" s="58" t="s">
        <v>32</v>
      </c>
      <c r="C559" s="1410"/>
      <c r="D559" s="1410"/>
      <c r="E559" s="1410"/>
      <c r="F559" s="1410"/>
      <c r="G559" s="1410"/>
      <c r="H559" s="1410"/>
      <c r="I559" s="1410"/>
      <c r="J559" s="1410"/>
      <c r="K559" s="1410"/>
      <c r="L559" s="1410"/>
      <c r="M559" s="1295"/>
      <c r="N559" s="1295"/>
      <c r="O559" s="1295"/>
      <c r="P559" s="1295"/>
      <c r="Q559" s="1280"/>
      <c r="R559" s="1281"/>
      <c r="S559" s="1282"/>
      <c r="T559" s="1280"/>
      <c r="U559" s="1281"/>
      <c r="V559" s="1282"/>
      <c r="W559" s="1283"/>
      <c r="X559" s="1284"/>
      <c r="Y559" s="1285"/>
      <c r="Z559" s="1289"/>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2" customHeight="1">
      <c r="B560" s="58" t="s">
        <v>33</v>
      </c>
      <c r="C560" s="1410"/>
      <c r="D560" s="1410"/>
      <c r="E560" s="1410"/>
      <c r="F560" s="1410"/>
      <c r="G560" s="1410"/>
      <c r="H560" s="1410"/>
      <c r="I560" s="1410"/>
      <c r="J560" s="1410"/>
      <c r="K560" s="1410"/>
      <c r="L560" s="1410"/>
      <c r="M560" s="1295"/>
      <c r="N560" s="1295"/>
      <c r="O560" s="1295"/>
      <c r="P560" s="1295"/>
      <c r="Q560" s="1280"/>
      <c r="R560" s="1281"/>
      <c r="S560" s="1282"/>
      <c r="T560" s="1280"/>
      <c r="U560" s="1281"/>
      <c r="V560" s="1282"/>
      <c r="W560" s="1283"/>
      <c r="X560" s="1284"/>
      <c r="Y560" s="1285"/>
      <c r="Z560" s="1289"/>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B561" s="1182" t="s">
        <v>356</v>
      </c>
      <c r="C561" s="1183"/>
      <c r="D561" s="1183"/>
      <c r="E561" s="1183"/>
      <c r="F561" s="1183"/>
      <c r="G561" s="1183"/>
      <c r="H561" s="1183"/>
      <c r="I561" s="1183"/>
      <c r="J561" s="1183"/>
      <c r="K561" s="1183"/>
      <c r="L561" s="1183"/>
      <c r="M561" s="1183"/>
      <c r="N561" s="1183"/>
      <c r="O561" s="1183"/>
      <c r="P561" s="1183"/>
      <c r="Q561" s="1183"/>
      <c r="R561" s="1183"/>
      <c r="S561" s="1183"/>
      <c r="T561" s="1183"/>
      <c r="U561" s="1444"/>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57108010</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61" t="s">
        <v>898</v>
      </c>
      <c r="B563" t="s">
        <v>81</v>
      </c>
      <c r="G563" s="1260" t="str">
        <f>C549</f>
        <v>Chase Construction Loan</v>
      </c>
      <c r="H563" s="1260"/>
      <c r="I563" s="1260"/>
      <c r="J563" s="1260"/>
      <c r="K563" s="1260"/>
      <c r="L563" s="1260"/>
      <c r="M563" s="1260"/>
      <c r="N563" s="1260"/>
      <c r="O563" s="1260"/>
      <c r="P563" s="1260"/>
      <c r="Q563" s="1260"/>
      <c r="R563" s="1260"/>
      <c r="S563" s="12"/>
      <c r="T563" s="61" t="s">
        <v>899</v>
      </c>
      <c r="U563" t="s">
        <v>81</v>
      </c>
      <c r="Z563" s="1260" t="str">
        <f>C550</f>
        <v>HCD - Joe Serna</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371</v>
      </c>
      <c r="G564" s="1103" t="s">
        <v>2466</v>
      </c>
      <c r="H564" s="1107"/>
      <c r="I564" s="1107"/>
      <c r="J564" s="1107"/>
      <c r="K564" s="1107"/>
      <c r="L564" s="1107"/>
      <c r="M564" s="1107"/>
      <c r="N564" s="1107"/>
      <c r="O564" s="1107"/>
      <c r="P564" s="1107"/>
      <c r="Q564" s="1107"/>
      <c r="R564" s="1107"/>
      <c r="S564" s="12"/>
      <c r="T564" s="4"/>
      <c r="U564" t="s">
        <v>371</v>
      </c>
      <c r="Z564" s="1103" t="s">
        <v>2469</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429</v>
      </c>
      <c r="G565" s="1103" t="s">
        <v>113</v>
      </c>
      <c r="H565" s="1107"/>
      <c r="I565" s="1107"/>
      <c r="J565" s="1107"/>
      <c r="K565" s="1107"/>
      <c r="L565" s="1107"/>
      <c r="M565" s="1107"/>
      <c r="N565" s="1107"/>
      <c r="O565" s="1107"/>
      <c r="P565" s="1107"/>
      <c r="Q565" s="1107"/>
      <c r="R565" s="1107"/>
      <c r="T565" s="4"/>
      <c r="U565" t="s">
        <v>429</v>
      </c>
      <c r="Z565" s="1352" t="s">
        <v>109</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831</v>
      </c>
      <c r="G566" s="1107" t="s">
        <v>2464</v>
      </c>
      <c r="H566" s="1107"/>
      <c r="I566" s="1107"/>
      <c r="J566" s="1107"/>
      <c r="K566" s="1107"/>
      <c r="L566" s="1107"/>
      <c r="M566" s="1107"/>
      <c r="N566" s="1107"/>
      <c r="O566" s="1107"/>
      <c r="P566" s="1107"/>
      <c r="Q566" s="1107"/>
      <c r="R566" s="1107"/>
      <c r="S566" s="12"/>
      <c r="T566" s="4"/>
      <c r="U566" t="s">
        <v>831</v>
      </c>
      <c r="Z566" s="1352" t="s">
        <v>2467</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567" s="4"/>
      <c r="B567" t="s">
        <v>648</v>
      </c>
      <c r="G567" s="1379" t="s">
        <v>2465</v>
      </c>
      <c r="H567" s="1264"/>
      <c r="I567" s="1264"/>
      <c r="J567" s="1264"/>
      <c r="K567" s="1264"/>
      <c r="L567" s="1264"/>
      <c r="O567" s="42" t="s">
        <v>816</v>
      </c>
      <c r="P567" s="1259"/>
      <c r="Q567" s="1259"/>
      <c r="R567" s="1259"/>
      <c r="S567" s="14"/>
      <c r="T567" s="4"/>
      <c r="U567" t="s">
        <v>648</v>
      </c>
      <c r="Z567" s="1379" t="s">
        <v>2468</v>
      </c>
      <c r="AA567" s="1264"/>
      <c r="AB567" s="1264"/>
      <c r="AC567" s="1264"/>
      <c r="AD567" s="1264"/>
      <c r="AE567" s="1264"/>
      <c r="AH567" s="42" t="s">
        <v>816</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4"/>
      <c r="B568" t="s">
        <v>832</v>
      </c>
      <c r="H568" s="1107" t="str">
        <f>+M549</f>
        <v>Loan, Conventional</v>
      </c>
      <c r="I568" s="1107"/>
      <c r="J568" s="1107"/>
      <c r="K568" s="1107"/>
      <c r="L568" s="1107"/>
      <c r="M568" s="1107"/>
      <c r="N568" s="1107"/>
      <c r="O568" s="1107"/>
      <c r="P568" s="1107"/>
      <c r="Q568" s="1107"/>
      <c r="R568" s="1107"/>
      <c r="S568" s="12"/>
      <c r="T568" s="4"/>
      <c r="U568" t="s">
        <v>832</v>
      </c>
      <c r="AA568" s="1107" t="str">
        <f>+M550</f>
        <v>Loan, Residual Receipts</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834</v>
      </c>
      <c r="N569" s="1098" t="s">
        <v>107</v>
      </c>
      <c r="O569" s="1098"/>
      <c r="T569" s="4"/>
      <c r="U569" t="s">
        <v>834</v>
      </c>
      <c r="AG569" s="1098" t="s">
        <v>107</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61" t="s">
        <v>905</v>
      </c>
      <c r="B571" t="s">
        <v>81</v>
      </c>
      <c r="G571" s="1260" t="str">
        <f>C551</f>
        <v>HCD - IIG</v>
      </c>
      <c r="H571" s="1260"/>
      <c r="I571" s="1260"/>
      <c r="J571" s="1260"/>
      <c r="K571" s="1260"/>
      <c r="L571" s="1260"/>
      <c r="M571" s="1260"/>
      <c r="N571" s="1260"/>
      <c r="O571" s="1260"/>
      <c r="P571" s="1260"/>
      <c r="Q571" s="1260"/>
      <c r="R571" s="1260"/>
      <c r="T571" s="61" t="s">
        <v>430</v>
      </c>
      <c r="U571" t="s">
        <v>81</v>
      </c>
      <c r="Z571" s="1260" t="str">
        <f>C552</f>
        <v>Sonoma County - HOME</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371</v>
      </c>
      <c r="G572" s="1107" t="s">
        <v>2469</v>
      </c>
      <c r="H572" s="1107"/>
      <c r="I572" s="1107"/>
      <c r="J572" s="1107"/>
      <c r="K572" s="1107"/>
      <c r="L572" s="1107"/>
      <c r="M572" s="1107"/>
      <c r="N572" s="1107"/>
      <c r="O572" s="1107"/>
      <c r="P572" s="1107"/>
      <c r="Q572" s="1107"/>
      <c r="R572" s="1107"/>
      <c r="T572" s="4"/>
      <c r="U572" t="s">
        <v>371</v>
      </c>
      <c r="Z572" s="1103" t="s">
        <v>2324</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429</v>
      </c>
      <c r="G573" s="1258" t="s">
        <v>109</v>
      </c>
      <c r="H573" s="1258"/>
      <c r="I573" s="1258"/>
      <c r="J573" s="1258"/>
      <c r="K573" s="1258"/>
      <c r="L573" s="1258"/>
      <c r="M573" s="1258"/>
      <c r="N573" s="1258"/>
      <c r="O573" s="1258"/>
      <c r="P573" s="1258"/>
      <c r="Q573" s="1258"/>
      <c r="R573" s="1258"/>
      <c r="T573" s="4"/>
      <c r="U573" t="s">
        <v>429</v>
      </c>
      <c r="Z573" s="1352" t="s">
        <v>2325</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831</v>
      </c>
      <c r="G574" s="1258" t="s">
        <v>2467</v>
      </c>
      <c r="H574" s="1258"/>
      <c r="I574" s="1258"/>
      <c r="J574" s="1258"/>
      <c r="K574" s="1258"/>
      <c r="L574" s="1258"/>
      <c r="M574" s="1258"/>
      <c r="N574" s="1258"/>
      <c r="O574" s="1258"/>
      <c r="P574" s="1258"/>
      <c r="Q574" s="1258"/>
      <c r="R574" s="1258"/>
      <c r="T574" s="4"/>
      <c r="U574" t="s">
        <v>831</v>
      </c>
      <c r="Z574" s="1352" t="s">
        <v>2470</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575" s="4"/>
      <c r="B575" t="s">
        <v>648</v>
      </c>
      <c r="G575" s="1264" t="s">
        <v>2468</v>
      </c>
      <c r="H575" s="1264"/>
      <c r="I575" s="1264"/>
      <c r="J575" s="1264"/>
      <c r="K575" s="1264"/>
      <c r="L575" s="1264"/>
      <c r="O575" s="42" t="s">
        <v>816</v>
      </c>
      <c r="P575" s="1259"/>
      <c r="Q575" s="1259"/>
      <c r="R575" s="1259"/>
      <c r="T575" s="4"/>
      <c r="U575" t="s">
        <v>648</v>
      </c>
      <c r="Z575" s="1379" t="s">
        <v>2471</v>
      </c>
      <c r="AA575" s="1264"/>
      <c r="AB575" s="1264"/>
      <c r="AC575" s="1264"/>
      <c r="AD575" s="1264"/>
      <c r="AE575" s="1264"/>
      <c r="AH575" s="42" t="s">
        <v>816</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4"/>
      <c r="B576" t="s">
        <v>832</v>
      </c>
      <c r="H576" s="1107" t="str">
        <f>+M551</f>
        <v>Loan, Residual Receipts</v>
      </c>
      <c r="I576" s="1107"/>
      <c r="J576" s="1107"/>
      <c r="K576" s="1107"/>
      <c r="L576" s="1107"/>
      <c r="M576" s="1107"/>
      <c r="N576" s="1107"/>
      <c r="O576" s="1107"/>
      <c r="P576" s="1107"/>
      <c r="Q576" s="1107"/>
      <c r="R576" s="1107"/>
      <c r="T576" s="4"/>
      <c r="U576" t="s">
        <v>832</v>
      </c>
      <c r="AA576" s="1107" t="str">
        <f>+M552</f>
        <v>Loan, Residual Receipts</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834</v>
      </c>
      <c r="N577" s="1056" t="s">
        <v>107</v>
      </c>
      <c r="O577" s="1056"/>
      <c r="T577" s="4"/>
      <c r="U577" t="s">
        <v>834</v>
      </c>
      <c r="AG577" s="1056" t="s">
        <v>107</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61" t="s">
        <v>170</v>
      </c>
      <c r="B579" t="s">
        <v>81</v>
      </c>
      <c r="G579" s="1260" t="str">
        <f>C553</f>
        <v>Sonoma County - CDBG</v>
      </c>
      <c r="H579" s="1260"/>
      <c r="I579" s="1260"/>
      <c r="J579" s="1260"/>
      <c r="K579" s="1260"/>
      <c r="L579" s="1260"/>
      <c r="M579" s="1260"/>
      <c r="N579" s="1260"/>
      <c r="O579" s="1260"/>
      <c r="P579" s="1260"/>
      <c r="Q579" s="1260"/>
      <c r="R579" s="1260"/>
      <c r="T579" s="61" t="s">
        <v>433</v>
      </c>
      <c r="U579" t="s">
        <v>81</v>
      </c>
      <c r="Z579" s="1260" t="str">
        <f>C554</f>
        <v>FHLB - AHP</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371</v>
      </c>
      <c r="G580" s="1107" t="s">
        <v>2324</v>
      </c>
      <c r="H580" s="1107"/>
      <c r="I580" s="1107"/>
      <c r="J580" s="1107"/>
      <c r="K580" s="1107"/>
      <c r="L580" s="1107"/>
      <c r="M580" s="1107"/>
      <c r="N580" s="1107"/>
      <c r="O580" s="1107"/>
      <c r="P580" s="1107"/>
      <c r="Q580" s="1107"/>
      <c r="R580" s="1107"/>
      <c r="T580" s="4"/>
      <c r="U580" t="s">
        <v>371</v>
      </c>
      <c r="Z580" s="1103" t="s">
        <v>2473</v>
      </c>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429</v>
      </c>
      <c r="G581" s="1107" t="s">
        <v>2325</v>
      </c>
      <c r="H581" s="1107"/>
      <c r="I581" s="1107"/>
      <c r="J581" s="1107"/>
      <c r="K581" s="1107"/>
      <c r="L581" s="1107"/>
      <c r="M581" s="1107"/>
      <c r="N581" s="1107"/>
      <c r="O581" s="1107"/>
      <c r="P581" s="1107"/>
      <c r="Q581" s="1107"/>
      <c r="R581" s="1107"/>
      <c r="T581" s="4"/>
      <c r="U581" t="s">
        <v>429</v>
      </c>
      <c r="Z581" s="1352" t="s">
        <v>2474</v>
      </c>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831</v>
      </c>
      <c r="G582" s="1107" t="s">
        <v>2470</v>
      </c>
      <c r="H582" s="1107"/>
      <c r="I582" s="1107"/>
      <c r="J582" s="1107"/>
      <c r="K582" s="1107"/>
      <c r="L582" s="1107"/>
      <c r="M582" s="1107"/>
      <c r="N582" s="1107"/>
      <c r="O582" s="1107"/>
      <c r="P582" s="1107"/>
      <c r="Q582" s="1107"/>
      <c r="R582" s="1107"/>
      <c r="T582" s="4"/>
      <c r="U582" t="s">
        <v>831</v>
      </c>
      <c r="Z582" s="1352" t="s">
        <v>2472</v>
      </c>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583" s="4"/>
      <c r="B583" t="s">
        <v>648</v>
      </c>
      <c r="G583" s="1264" t="s">
        <v>2471</v>
      </c>
      <c r="H583" s="1264"/>
      <c r="I583" s="1264"/>
      <c r="J583" s="1264"/>
      <c r="K583" s="1264"/>
      <c r="L583" s="1264"/>
      <c r="O583" s="42" t="s">
        <v>816</v>
      </c>
      <c r="P583" s="1259"/>
      <c r="Q583" s="1259"/>
      <c r="R583" s="1259"/>
      <c r="T583" s="4"/>
      <c r="U583" t="s">
        <v>648</v>
      </c>
      <c r="Z583" s="1379" t="s">
        <v>2475</v>
      </c>
      <c r="AA583" s="1264"/>
      <c r="AB583" s="1264"/>
      <c r="AC583" s="1264"/>
      <c r="AD583" s="1264"/>
      <c r="AE583" s="1264"/>
      <c r="AH583" s="42" t="s">
        <v>816</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4"/>
      <c r="B584" t="s">
        <v>832</v>
      </c>
      <c r="H584" s="1107" t="str">
        <f>+M553</f>
        <v>Loan, Residual Receipts</v>
      </c>
      <c r="I584" s="1107"/>
      <c r="J584" s="1107"/>
      <c r="K584" s="1107"/>
      <c r="L584" s="1107"/>
      <c r="M584" s="1107"/>
      <c r="N584" s="1107"/>
      <c r="O584" s="1107"/>
      <c r="P584" s="1107"/>
      <c r="Q584" s="1107"/>
      <c r="R584" s="1107"/>
      <c r="T584" s="4"/>
      <c r="U584" t="s">
        <v>832</v>
      </c>
      <c r="AA584" s="1107" t="str">
        <f>+M554</f>
        <v>Loan, Residual Receipts</v>
      </c>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834</v>
      </c>
      <c r="N585" s="1056" t="s">
        <v>107</v>
      </c>
      <c r="O585" s="1056"/>
      <c r="T585" s="4"/>
      <c r="U585" t="s">
        <v>834</v>
      </c>
      <c r="AG585" s="1056" t="s">
        <v>107</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2"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2" customHeight="1">
      <c r="A587" s="61" t="s">
        <v>740</v>
      </c>
      <c r="B587" t="s">
        <v>81</v>
      </c>
      <c r="G587" s="1260" t="str">
        <f>C555</f>
        <v>Deferred Developer Fee</v>
      </c>
      <c r="H587" s="1260"/>
      <c r="I587" s="1260"/>
      <c r="J587" s="1260"/>
      <c r="K587" s="1260"/>
      <c r="L587" s="1260"/>
      <c r="M587" s="1260"/>
      <c r="N587" s="1260"/>
      <c r="O587" s="1260"/>
      <c r="P587" s="1260"/>
      <c r="Q587" s="1260"/>
      <c r="R587" s="1260"/>
      <c r="T587" s="61" t="s">
        <v>741</v>
      </c>
      <c r="U587" t="s">
        <v>81</v>
      </c>
      <c r="Z587" s="1260" t="str">
        <f>C556</f>
        <v>Costs Deferred Until Conversion</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2" customHeight="1">
      <c r="A588" s="4"/>
      <c r="B588" t="s">
        <v>371</v>
      </c>
      <c r="G588" s="1107"/>
      <c r="H588" s="1107"/>
      <c r="I588" s="1107"/>
      <c r="J588" s="1107"/>
      <c r="K588" s="1107"/>
      <c r="L588" s="1107"/>
      <c r="M588" s="1107"/>
      <c r="N588" s="1107"/>
      <c r="O588" s="1107"/>
      <c r="P588" s="1107"/>
      <c r="Q588" s="1107"/>
      <c r="R588" s="1107"/>
      <c r="T588" s="4"/>
      <c r="U588" t="s">
        <v>371</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2" customHeight="1">
      <c r="A589" s="4"/>
      <c r="B589" t="s">
        <v>429</v>
      </c>
      <c r="C589"/>
      <c r="D589"/>
      <c r="E589"/>
      <c r="F589"/>
      <c r="G589" s="1107"/>
      <c r="H589" s="1107"/>
      <c r="I589" s="1107"/>
      <c r="J589" s="1107"/>
      <c r="K589" s="1107"/>
      <c r="L589" s="1107"/>
      <c r="M589" s="1107"/>
      <c r="N589" s="1107"/>
      <c r="O589" s="1107"/>
      <c r="P589" s="1107"/>
      <c r="Q589" s="1107"/>
      <c r="R589" s="1107"/>
      <c r="S589"/>
      <c r="T589" s="4"/>
      <c r="U589" t="s">
        <v>429</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861</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2" customHeight="1">
      <c r="A590" s="4"/>
      <c r="B590" t="s">
        <v>831</v>
      </c>
      <c r="C590"/>
      <c r="D590"/>
      <c r="E590"/>
      <c r="F590"/>
      <c r="G590" s="1107"/>
      <c r="H590" s="1107"/>
      <c r="I590" s="1107"/>
      <c r="J590" s="1107"/>
      <c r="K590" s="1107"/>
      <c r="L590" s="1107"/>
      <c r="M590" s="1107"/>
      <c r="N590" s="1107"/>
      <c r="O590" s="1107"/>
      <c r="P590" s="1107"/>
      <c r="Q590" s="1107"/>
      <c r="R590" s="1107"/>
      <c r="S590"/>
      <c r="T590" s="4"/>
      <c r="U590" t="s">
        <v>831</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39" t="s">
        <v>418</v>
      </c>
      <c r="BO590" s="839"/>
      <c r="BP590" s="839"/>
      <c r="BQ590" s="177"/>
      <c r="BR590" s="840"/>
      <c r="BS590" s="839" t="s">
        <v>441</v>
      </c>
      <c r="BT590" s="839"/>
      <c r="BU590" s="839"/>
      <c r="BV590" s="177"/>
      <c r="BW590" s="840"/>
      <c r="BX590" s="840" t="s">
        <v>778</v>
      </c>
      <c r="BY590" s="839"/>
      <c r="BZ590" s="839"/>
      <c r="CA590" s="839"/>
      <c r="CB590" s="839"/>
      <c r="CC590" s="839" t="s">
        <v>779</v>
      </c>
      <c r="CD590" s="839"/>
      <c r="CE590" s="839"/>
      <c r="CF590" s="839"/>
      <c r="CG590" s="839"/>
      <c r="CH590" s="839" t="s">
        <v>780</v>
      </c>
      <c r="CI590" s="839"/>
      <c r="CJ590" s="839"/>
      <c r="CK590" s="839"/>
      <c r="CL590" s="839"/>
      <c r="CM590" s="839" t="s">
        <v>2235</v>
      </c>
      <c r="CN590" s="839"/>
      <c r="CO590" s="839"/>
      <c r="CP590" s="177"/>
      <c r="CQ590" s="840"/>
      <c r="CS590" s="41" t="s">
        <v>882</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2" customHeight="1">
      <c r="A591" s="4"/>
      <c r="B591" t="s">
        <v>648</v>
      </c>
      <c r="C591"/>
      <c r="D591"/>
      <c r="E591"/>
      <c r="F591"/>
      <c r="G591" s="1264"/>
      <c r="H591" s="1264"/>
      <c r="I591" s="1264"/>
      <c r="J591" s="1264"/>
      <c r="K591" s="1264"/>
      <c r="L591" s="1264"/>
      <c r="M591"/>
      <c r="N591"/>
      <c r="O591" s="42" t="s">
        <v>816</v>
      </c>
      <c r="P591" s="1259"/>
      <c r="Q591" s="1259"/>
      <c r="R591" s="1259"/>
      <c r="S591"/>
      <c r="T591" s="4"/>
      <c r="U591" t="s">
        <v>648</v>
      </c>
      <c r="V591"/>
      <c r="W591"/>
      <c r="X591"/>
      <c r="Y591"/>
      <c r="Z591" s="1264"/>
      <c r="AA591" s="1264"/>
      <c r="AB591" s="1264"/>
      <c r="AC591" s="1264"/>
      <c r="AD591" s="1264"/>
      <c r="AE591" s="1264"/>
      <c r="AF591"/>
      <c r="AG591"/>
      <c r="AH591" s="42" t="s">
        <v>816</v>
      </c>
      <c r="AI591" s="1259"/>
      <c r="AJ591" s="1259"/>
      <c r="AK591" s="1259"/>
      <c r="AL591"/>
      <c r="AZ591" s="5" t="s">
        <v>440</v>
      </c>
      <c r="BA591" s="41"/>
      <c r="BB591" s="41"/>
      <c r="BC591" s="41"/>
      <c r="BD591" s="41"/>
      <c r="BE591" s="214" t="s">
        <v>350</v>
      </c>
      <c r="BF591" s="215"/>
      <c r="BG591" s="1265"/>
      <c r="BH591" s="1267"/>
      <c r="BI591" s="214" t="s">
        <v>351</v>
      </c>
      <c r="BJ591" s="215"/>
      <c r="BK591" s="1265"/>
      <c r="BL591" s="1267"/>
      <c r="BN591" s="1265">
        <f t="shared" ref="BN591" si="2">IF(B695="SRO/Studio",G695,0)</f>
        <v>0</v>
      </c>
      <c r="BO591" s="1266"/>
      <c r="BP591" s="1266"/>
      <c r="BQ591" s="1266"/>
      <c r="BR591" s="1276"/>
      <c r="BS591" s="1265">
        <f t="shared" ref="BS591" si="3">IF(B695="1 Bedroom",G695,0)</f>
        <v>1</v>
      </c>
      <c r="BT591" s="1266"/>
      <c r="BU591" s="1266"/>
      <c r="BV591" s="1266"/>
      <c r="BW591" s="1267"/>
      <c r="BX591" s="1265">
        <f t="shared" ref="BX591" si="4">IF(B695="2 Bedrooms",G695,0)</f>
        <v>0</v>
      </c>
      <c r="BY591" s="1266"/>
      <c r="BZ591" s="1266"/>
      <c r="CA591" s="1266"/>
      <c r="CB591" s="1267"/>
      <c r="CC591" s="1265">
        <f t="shared" ref="CC591" si="5">IF(B695="3 Bedrooms",G695,0)</f>
        <v>0</v>
      </c>
      <c r="CD591" s="1266"/>
      <c r="CE591" s="1266"/>
      <c r="CF591" s="1266"/>
      <c r="CG591" s="1267"/>
      <c r="CH591" s="1265">
        <f t="shared" ref="CH591" si="6">IF(B695="4 Bedrooms",G695,0)</f>
        <v>0</v>
      </c>
      <c r="CI591" s="1266"/>
      <c r="CJ591" s="1266"/>
      <c r="CK591" s="1266"/>
      <c r="CL591" s="1267"/>
      <c r="CM591" s="1274">
        <f t="shared" ref="CM591" si="7">IF(B695="5 Bedrooms",G695,0)</f>
        <v>0</v>
      </c>
      <c r="CN591" s="1275"/>
      <c r="CO591" s="1275"/>
      <c r="CP591" s="1275"/>
      <c r="CQ591" s="1276"/>
      <c r="CS591" s="839" t="s">
        <v>418</v>
      </c>
      <c r="CT591" s="839"/>
      <c r="CU591" s="839"/>
      <c r="CV591" s="839"/>
      <c r="CW591" s="839"/>
      <c r="CX591" s="839" t="s">
        <v>441</v>
      </c>
      <c r="CY591" s="839"/>
      <c r="CZ591" s="177"/>
      <c r="DA591" s="178"/>
      <c r="DB591" s="840"/>
      <c r="DC591" s="839" t="s">
        <v>778</v>
      </c>
      <c r="DD591" s="839"/>
      <c r="DE591" s="839"/>
      <c r="DF591" s="839"/>
      <c r="DG591" s="839"/>
      <c r="DH591" s="839" t="s">
        <v>779</v>
      </c>
      <c r="DI591" s="839"/>
      <c r="DJ591" s="839"/>
      <c r="DK591" s="839"/>
      <c r="DL591" s="839"/>
      <c r="DM591" s="839" t="s">
        <v>789</v>
      </c>
      <c r="DN591" s="839"/>
      <c r="DO591" s="839"/>
      <c r="DP591" s="839"/>
      <c r="DQ591" s="839"/>
      <c r="DR591" s="839" t="s">
        <v>343</v>
      </c>
      <c r="DS591" s="839"/>
      <c r="DT591" s="839"/>
      <c r="DU591" s="839"/>
      <c r="DV591" s="839"/>
    </row>
    <row r="592" spans="1:126" s="5" customFormat="1" ht="13.2" customHeight="1">
      <c r="A592" s="4"/>
      <c r="B592" t="s">
        <v>832</v>
      </c>
      <c r="C592"/>
      <c r="D592"/>
      <c r="E592"/>
      <c r="F592"/>
      <c r="G592"/>
      <c r="H592" s="1107" t="str">
        <f>+M555</f>
        <v>Developer Fee, Deferral</v>
      </c>
      <c r="I592" s="1107"/>
      <c r="J592" s="1107"/>
      <c r="K592" s="1107"/>
      <c r="L592" s="1107"/>
      <c r="M592" s="1107"/>
      <c r="N592" s="1107"/>
      <c r="O592" s="1107"/>
      <c r="P592" s="1107"/>
      <c r="Q592" s="1107"/>
      <c r="R592" s="1107"/>
      <c r="S592"/>
      <c r="T592" s="4"/>
      <c r="U592" t="s">
        <v>832</v>
      </c>
      <c r="V592"/>
      <c r="W592"/>
      <c r="X592"/>
      <c r="Y592"/>
      <c r="Z592"/>
      <c r="AA592" s="1107" t="str">
        <f>+M556</f>
        <v>Cost Deferral</v>
      </c>
      <c r="AB592" s="1107"/>
      <c r="AC592" s="1107"/>
      <c r="AD592" s="1107"/>
      <c r="AE592" s="1107"/>
      <c r="AF592" s="1107"/>
      <c r="AG592" s="1107"/>
      <c r="AH592" s="1107"/>
      <c r="AI592" s="1107"/>
      <c r="AJ592" s="1107"/>
      <c r="AK592" s="1107"/>
      <c r="AL592"/>
      <c r="AZ592" s="5" t="s">
        <v>441</v>
      </c>
      <c r="BA592" s="41"/>
      <c r="BB592" s="41"/>
      <c r="BC592" s="41"/>
      <c r="BD592" s="41"/>
      <c r="BE592" s="1271">
        <f>IF(AND(AH695&lt;=0.5,AH695&gt;=0.36),1,0)</f>
        <v>0</v>
      </c>
      <c r="BF592" s="1273"/>
      <c r="BG592" s="1265">
        <f t="shared" ref="BG592:BG615" si="8">IF(BE592=1,G695,0)</f>
        <v>0</v>
      </c>
      <c r="BH592" s="1267"/>
      <c r="BI592" s="1271">
        <f>IF(AND(AH695&lt;=0.35,AH695&gt;0),1,0)</f>
        <v>1</v>
      </c>
      <c r="BJ592" s="1273"/>
      <c r="BK592" s="1265">
        <f t="shared" ref="BK592:BK615" si="9">IF(BI592=1,G695,0)</f>
        <v>1</v>
      </c>
      <c r="BL592" s="1267"/>
      <c r="BN592" s="1265">
        <f t="shared" ref="BN592:BN625" si="10">IF(B696="SRO/Studio",G696,0)</f>
        <v>0</v>
      </c>
      <c r="BO592" s="1266"/>
      <c r="BP592" s="1266"/>
      <c r="BQ592" s="1266"/>
      <c r="BR592" s="1276"/>
      <c r="BS592" s="1265">
        <f t="shared" ref="BS592:BS625" si="11">IF(B696="1 Bedroom",G696,0)</f>
        <v>0</v>
      </c>
      <c r="BT592" s="1266"/>
      <c r="BU592" s="1266"/>
      <c r="BV592" s="1266"/>
      <c r="BW592" s="1267"/>
      <c r="BX592" s="1265">
        <f t="shared" ref="BX592:BX625" si="12">IF(B696="2 Bedrooms",G696,0)</f>
        <v>1</v>
      </c>
      <c r="BY592" s="1266"/>
      <c r="BZ592" s="1266"/>
      <c r="CA592" s="1266"/>
      <c r="CB592" s="1267"/>
      <c r="CC592" s="1265">
        <f t="shared" ref="CC592:CC625" si="13">IF(B696="3 Bedrooms",G696,0)</f>
        <v>0</v>
      </c>
      <c r="CD592" s="1266"/>
      <c r="CE592" s="1266"/>
      <c r="CF592" s="1266"/>
      <c r="CG592" s="1267"/>
      <c r="CH592" s="1265">
        <f t="shared" ref="CH592:CH625" si="14">IF(B696="4 Bedrooms",G696,0)</f>
        <v>0</v>
      </c>
      <c r="CI592" s="1266"/>
      <c r="CJ592" s="1266"/>
      <c r="CK592" s="1266"/>
      <c r="CL592" s="1267"/>
      <c r="CM592" s="1274">
        <f t="shared" ref="CM592:CM625" si="15">IF(B696="5 Bedrooms",G696,0)</f>
        <v>0</v>
      </c>
      <c r="CN592" s="1275"/>
      <c r="CO592" s="1275"/>
      <c r="CP592" s="1275"/>
      <c r="CQ592" s="1276"/>
      <c r="CS592" s="1277">
        <f>IF(AND(B695="SRO/Studio",AH695&lt;=0.3),G695,0)</f>
        <v>0</v>
      </c>
      <c r="CT592" s="1278"/>
      <c r="CU592" s="1278"/>
      <c r="CV592" s="1278"/>
      <c r="CW592" s="1279"/>
      <c r="CX592" s="1277">
        <f>IF(AND(B695="1 Bedroom",AH695&lt;=0.3),G695,0)</f>
        <v>1</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3.2" customHeight="1">
      <c r="A593" s="4"/>
      <c r="B593" t="s">
        <v>834</v>
      </c>
      <c r="C593"/>
      <c r="D593"/>
      <c r="E593"/>
      <c r="F593"/>
      <c r="G593"/>
      <c r="H593"/>
      <c r="I593"/>
      <c r="J593"/>
      <c r="K593"/>
      <c r="L593"/>
      <c r="M593"/>
      <c r="N593" s="1056" t="s">
        <v>107</v>
      </c>
      <c r="O593" s="1056"/>
      <c r="P593"/>
      <c r="Q593"/>
      <c r="R593"/>
      <c r="S593"/>
      <c r="T593" s="4"/>
      <c r="U593" t="s">
        <v>834</v>
      </c>
      <c r="V593"/>
      <c r="W593"/>
      <c r="X593"/>
      <c r="Y593"/>
      <c r="Z593"/>
      <c r="AA593"/>
      <c r="AB593"/>
      <c r="AC593"/>
      <c r="AD593"/>
      <c r="AE593"/>
      <c r="AF593"/>
      <c r="AG593" s="1056" t="s">
        <v>107</v>
      </c>
      <c r="AH593" s="1056"/>
      <c r="AI593"/>
      <c r="AJ593"/>
      <c r="AK593"/>
      <c r="AL593"/>
      <c r="AZ593" s="5" t="s">
        <v>778</v>
      </c>
      <c r="BA593" s="41"/>
      <c r="BB593" s="41"/>
      <c r="BC593" s="41"/>
      <c r="BD593" s="41"/>
      <c r="BE593" s="1271">
        <f t="shared" ref="BE593:BE615" si="16">IF(AND(AH696&lt;=0.5,AH696&gt;=0.36),1,0)</f>
        <v>0</v>
      </c>
      <c r="BF593" s="1273"/>
      <c r="BG593" s="1265">
        <f t="shared" si="8"/>
        <v>0</v>
      </c>
      <c r="BH593" s="1267"/>
      <c r="BI593" s="1271">
        <f t="shared" ref="BI593:BI615" si="17">IF(AND(AH696&lt;=0.35,AH696&gt;0),1,0)</f>
        <v>1</v>
      </c>
      <c r="BJ593" s="1273"/>
      <c r="BK593" s="1265">
        <f t="shared" si="9"/>
        <v>1</v>
      </c>
      <c r="BL593" s="1267"/>
      <c r="BN593" s="1265">
        <f t="shared" si="10"/>
        <v>0</v>
      </c>
      <c r="BO593" s="1266"/>
      <c r="BP593" s="1266"/>
      <c r="BQ593" s="1266"/>
      <c r="BR593" s="1276"/>
      <c r="BS593" s="1265">
        <f t="shared" si="11"/>
        <v>4</v>
      </c>
      <c r="BT593" s="1266"/>
      <c r="BU593" s="1266"/>
      <c r="BV593" s="1266"/>
      <c r="BW593" s="1267"/>
      <c r="BX593" s="1265">
        <f t="shared" si="12"/>
        <v>0</v>
      </c>
      <c r="BY593" s="1266"/>
      <c r="BZ593" s="1266"/>
      <c r="CA593" s="1266"/>
      <c r="CB593" s="1267"/>
      <c r="CC593" s="1265">
        <f t="shared" si="13"/>
        <v>0</v>
      </c>
      <c r="CD593" s="1266"/>
      <c r="CE593" s="1266"/>
      <c r="CF593" s="1266"/>
      <c r="CG593" s="1267"/>
      <c r="CH593" s="1265">
        <f t="shared" si="14"/>
        <v>0</v>
      </c>
      <c r="CI593" s="1266"/>
      <c r="CJ593" s="1266"/>
      <c r="CK593" s="1266"/>
      <c r="CL593" s="1267"/>
      <c r="CM593" s="1274">
        <f t="shared" si="15"/>
        <v>0</v>
      </c>
      <c r="CN593" s="1275"/>
      <c r="CO593" s="1275"/>
      <c r="CP593" s="1275"/>
      <c r="CQ593" s="1276"/>
      <c r="CS593" s="1277">
        <f t="shared" ref="CS593:CS615" si="18">IF(AND(B696="SRO/Studio",AH696&lt;=0.3),G696,0)</f>
        <v>0</v>
      </c>
      <c r="CT593" s="1278"/>
      <c r="CU593" s="1278"/>
      <c r="CV593" s="1278"/>
      <c r="CW593" s="1279"/>
      <c r="CX593" s="1277">
        <f t="shared" ref="CX593:CX615" si="19">IF(AND(B696="1 Bedroom",AH696&lt;=0.3),G696,0)</f>
        <v>0</v>
      </c>
      <c r="CY593" s="1278"/>
      <c r="CZ593" s="1278"/>
      <c r="DA593" s="1278"/>
      <c r="DB593" s="1279"/>
      <c r="DC593" s="1277">
        <f t="shared" ref="DC593:DC615" si="20">IF(AND(B696="2 Bedrooms",AH696&lt;=0.3),G696,0)</f>
        <v>1</v>
      </c>
      <c r="DD593" s="1278"/>
      <c r="DE593" s="1278"/>
      <c r="DF593" s="1278"/>
      <c r="DG593" s="1279"/>
      <c r="DH593" s="1277">
        <f t="shared" ref="DH593:DH615" si="21">IF(AND(B696="3 Bedrooms",AH696&lt;=0.3),G696,0)</f>
        <v>0</v>
      </c>
      <c r="DI593" s="1278"/>
      <c r="DJ593" s="1278"/>
      <c r="DK593" s="1278"/>
      <c r="DL593" s="1279"/>
      <c r="DM593" s="1277">
        <f t="shared" ref="DM593:DM615" si="22">IF(AND(B696="4 Bedrooms",AH696&lt;=0.3),G696,0)</f>
        <v>0</v>
      </c>
      <c r="DN593" s="1278"/>
      <c r="DO593" s="1278"/>
      <c r="DP593" s="1278"/>
      <c r="DQ593" s="1279"/>
      <c r="DR593" s="1277">
        <f t="shared" ref="DR593:DR615" si="23">IF(AND(B696="5 Bedrooms",AH696&lt;=0.3),G696,0)</f>
        <v>0</v>
      </c>
      <c r="DS593" s="1278"/>
      <c r="DT593" s="1278"/>
      <c r="DU593" s="1278"/>
      <c r="DV593" s="1279"/>
    </row>
    <row r="594" spans="1:126" ht="13.2" customHeight="1">
      <c r="AZ594" s="5" t="s">
        <v>779</v>
      </c>
      <c r="BA594" s="41"/>
      <c r="BB594" s="41"/>
      <c r="BC594" s="41"/>
      <c r="BD594" s="41"/>
      <c r="BE594" s="1271">
        <f t="shared" si="16"/>
        <v>0</v>
      </c>
      <c r="BF594" s="1273"/>
      <c r="BG594" s="1265">
        <f t="shared" si="8"/>
        <v>0</v>
      </c>
      <c r="BH594" s="1267"/>
      <c r="BI594" s="1271">
        <f t="shared" si="17"/>
        <v>1</v>
      </c>
      <c r="BJ594" s="1273"/>
      <c r="BK594" s="1265">
        <f t="shared" si="9"/>
        <v>4</v>
      </c>
      <c r="BL594" s="1267"/>
      <c r="BN594" s="1265">
        <f t="shared" si="10"/>
        <v>0</v>
      </c>
      <c r="BO594" s="1266"/>
      <c r="BP594" s="1266"/>
      <c r="BQ594" s="1266"/>
      <c r="BR594" s="1276"/>
      <c r="BS594" s="1265">
        <f t="shared" si="11"/>
        <v>0</v>
      </c>
      <c r="BT594" s="1266"/>
      <c r="BU594" s="1266"/>
      <c r="BV594" s="1266"/>
      <c r="BW594" s="1267"/>
      <c r="BX594" s="1265">
        <f t="shared" si="12"/>
        <v>3</v>
      </c>
      <c r="BY594" s="1266"/>
      <c r="BZ594" s="1266"/>
      <c r="CA594" s="1266"/>
      <c r="CB594" s="1267"/>
      <c r="CC594" s="1265">
        <f t="shared" si="13"/>
        <v>0</v>
      </c>
      <c r="CD594" s="1266"/>
      <c r="CE594" s="1266"/>
      <c r="CF594" s="1266"/>
      <c r="CG594" s="1267"/>
      <c r="CH594" s="1265">
        <f t="shared" si="14"/>
        <v>0</v>
      </c>
      <c r="CI594" s="1266"/>
      <c r="CJ594" s="1266"/>
      <c r="CK594" s="1266"/>
      <c r="CL594" s="1267"/>
      <c r="CM594" s="1274">
        <f t="shared" si="15"/>
        <v>0</v>
      </c>
      <c r="CN594" s="1275"/>
      <c r="CO594" s="1275"/>
      <c r="CP594" s="1275"/>
      <c r="CQ594" s="1276"/>
      <c r="CS594" s="1277">
        <f t="shared" si="18"/>
        <v>0</v>
      </c>
      <c r="CT594" s="1278"/>
      <c r="CU594" s="1278"/>
      <c r="CV594" s="1278"/>
      <c r="CW594" s="1279"/>
      <c r="CX594" s="1277">
        <f t="shared" si="19"/>
        <v>4</v>
      </c>
      <c r="CY594" s="1278"/>
      <c r="CZ594" s="1278"/>
      <c r="DA594" s="1278"/>
      <c r="DB594" s="1279"/>
      <c r="DC594" s="1277">
        <f t="shared" si="20"/>
        <v>0</v>
      </c>
      <c r="DD594" s="1278"/>
      <c r="DE594" s="1278"/>
      <c r="DF594" s="1278"/>
      <c r="DG594" s="1279"/>
      <c r="DH594" s="1277">
        <f t="shared" si="21"/>
        <v>0</v>
      </c>
      <c r="DI594" s="1278"/>
      <c r="DJ594" s="1278"/>
      <c r="DK594" s="1278"/>
      <c r="DL594" s="1279"/>
      <c r="DM594" s="1277">
        <f t="shared" si="22"/>
        <v>0</v>
      </c>
      <c r="DN594" s="1278"/>
      <c r="DO594" s="1278"/>
      <c r="DP594" s="1278"/>
      <c r="DQ594" s="1279"/>
      <c r="DR594" s="1277">
        <f t="shared" si="23"/>
        <v>0</v>
      </c>
      <c r="DS594" s="1278"/>
      <c r="DT594" s="1278"/>
      <c r="DU594" s="1278"/>
      <c r="DV594" s="1279"/>
    </row>
    <row r="595" spans="1:126" ht="13.2" customHeight="1">
      <c r="A595" s="61" t="s">
        <v>544</v>
      </c>
      <c r="B595" t="s">
        <v>81</v>
      </c>
      <c r="G595" s="1260" t="str">
        <f>C557</f>
        <v>LP Equity</v>
      </c>
      <c r="H595" s="1260"/>
      <c r="I595" s="1260"/>
      <c r="J595" s="1260"/>
      <c r="K595" s="1260"/>
      <c r="L595" s="1260"/>
      <c r="M595" s="1260"/>
      <c r="N595" s="1260"/>
      <c r="O595" s="1260"/>
      <c r="P595" s="1260"/>
      <c r="Q595" s="1260"/>
      <c r="R595" s="1260"/>
      <c r="T595" s="61" t="s">
        <v>173</v>
      </c>
      <c r="U595" t="s">
        <v>81</v>
      </c>
      <c r="Z595" s="1260">
        <f>C558</f>
        <v>0</v>
      </c>
      <c r="AA595" s="1260"/>
      <c r="AB595" s="1260"/>
      <c r="AC595" s="1260"/>
      <c r="AD595" s="1260"/>
      <c r="AE595" s="1260"/>
      <c r="AF595" s="1260"/>
      <c r="AG595" s="1260"/>
      <c r="AH595" s="1260"/>
      <c r="AI595" s="1260"/>
      <c r="AJ595" s="1260"/>
      <c r="AK595" s="1260"/>
      <c r="AZ595" s="5" t="s">
        <v>780</v>
      </c>
      <c r="BA595" s="41"/>
      <c r="BB595" s="41"/>
      <c r="BC595" s="41"/>
      <c r="BD595" s="41"/>
      <c r="BE595" s="1271">
        <f t="shared" si="16"/>
        <v>0</v>
      </c>
      <c r="BF595" s="1273"/>
      <c r="BG595" s="1265">
        <f t="shared" si="8"/>
        <v>0</v>
      </c>
      <c r="BH595" s="1267"/>
      <c r="BI595" s="1271">
        <f t="shared" si="17"/>
        <v>1</v>
      </c>
      <c r="BJ595" s="1273"/>
      <c r="BK595" s="1265">
        <f t="shared" si="9"/>
        <v>3</v>
      </c>
      <c r="BL595" s="1267"/>
      <c r="BN595" s="1265">
        <f t="shared" si="10"/>
        <v>0</v>
      </c>
      <c r="BO595" s="1266"/>
      <c r="BP595" s="1266"/>
      <c r="BQ595" s="1266"/>
      <c r="BR595" s="1276"/>
      <c r="BS595" s="1265">
        <f t="shared" si="11"/>
        <v>0</v>
      </c>
      <c r="BT595" s="1266"/>
      <c r="BU595" s="1266"/>
      <c r="BV595" s="1266"/>
      <c r="BW595" s="1267"/>
      <c r="BX595" s="1265">
        <f t="shared" si="12"/>
        <v>0</v>
      </c>
      <c r="BY595" s="1266"/>
      <c r="BZ595" s="1266"/>
      <c r="CA595" s="1266"/>
      <c r="CB595" s="1267"/>
      <c r="CC595" s="1265">
        <f t="shared" si="13"/>
        <v>2</v>
      </c>
      <c r="CD595" s="1266"/>
      <c r="CE595" s="1266"/>
      <c r="CF595" s="1266"/>
      <c r="CG595" s="1267"/>
      <c r="CH595" s="1265">
        <f t="shared" si="14"/>
        <v>0</v>
      </c>
      <c r="CI595" s="1266"/>
      <c r="CJ595" s="1266"/>
      <c r="CK595" s="1266"/>
      <c r="CL595" s="1267"/>
      <c r="CM595" s="1274">
        <f t="shared" si="15"/>
        <v>0</v>
      </c>
      <c r="CN595" s="1275"/>
      <c r="CO595" s="1275"/>
      <c r="CP595" s="1275"/>
      <c r="CQ595" s="1276"/>
      <c r="CS595" s="1277">
        <f t="shared" si="18"/>
        <v>0</v>
      </c>
      <c r="CT595" s="1278"/>
      <c r="CU595" s="1278"/>
      <c r="CV595" s="1278"/>
      <c r="CW595" s="1279"/>
      <c r="CX595" s="1277">
        <f t="shared" si="19"/>
        <v>0</v>
      </c>
      <c r="CY595" s="1278"/>
      <c r="CZ595" s="1278"/>
      <c r="DA595" s="1278"/>
      <c r="DB595" s="1279"/>
      <c r="DC595" s="1277">
        <f t="shared" si="20"/>
        <v>3</v>
      </c>
      <c r="DD595" s="1278"/>
      <c r="DE595" s="1278"/>
      <c r="DF595" s="1278"/>
      <c r="DG595" s="1279"/>
      <c r="DH595" s="1277">
        <f t="shared" si="21"/>
        <v>0</v>
      </c>
      <c r="DI595" s="1278"/>
      <c r="DJ595" s="1278"/>
      <c r="DK595" s="1278"/>
      <c r="DL595" s="1279"/>
      <c r="DM595" s="1277">
        <f t="shared" si="22"/>
        <v>0</v>
      </c>
      <c r="DN595" s="1278"/>
      <c r="DO595" s="1278"/>
      <c r="DP595" s="1278"/>
      <c r="DQ595" s="1279"/>
      <c r="DR595" s="1277">
        <f t="shared" si="23"/>
        <v>0</v>
      </c>
      <c r="DS595" s="1278"/>
      <c r="DT595" s="1278"/>
      <c r="DU595" s="1278"/>
      <c r="DV595" s="1279"/>
    </row>
    <row r="596" spans="1:126" ht="13.2" customHeight="1">
      <c r="A596" s="4"/>
      <c r="B596" t="s">
        <v>371</v>
      </c>
      <c r="G596" s="1107"/>
      <c r="H596" s="1107"/>
      <c r="I596" s="1107"/>
      <c r="J596" s="1107"/>
      <c r="K596" s="1107"/>
      <c r="L596" s="1107"/>
      <c r="M596" s="1107"/>
      <c r="N596" s="1107"/>
      <c r="O596" s="1107"/>
      <c r="P596" s="1107"/>
      <c r="Q596" s="1107"/>
      <c r="R596" s="1107"/>
      <c r="T596" s="4"/>
      <c r="U596" t="s">
        <v>371</v>
      </c>
      <c r="Z596" s="1107"/>
      <c r="AA596" s="1107"/>
      <c r="AB596" s="1107"/>
      <c r="AC596" s="1107"/>
      <c r="AD596" s="1107"/>
      <c r="AE596" s="1107"/>
      <c r="AF596" s="1107"/>
      <c r="AG596" s="1107"/>
      <c r="AH596" s="1107"/>
      <c r="AI596" s="1107"/>
      <c r="AJ596" s="1107"/>
      <c r="AK596" s="1107"/>
      <c r="AZ596" s="5" t="s">
        <v>343</v>
      </c>
      <c r="BA596" s="41"/>
      <c r="BB596" s="41"/>
      <c r="BC596" s="41"/>
      <c r="BD596" s="41"/>
      <c r="BE596" s="1271">
        <f t="shared" si="16"/>
        <v>0</v>
      </c>
      <c r="BF596" s="1273"/>
      <c r="BG596" s="1265">
        <f t="shared" si="8"/>
        <v>0</v>
      </c>
      <c r="BH596" s="1267"/>
      <c r="BI596" s="1271">
        <f t="shared" si="17"/>
        <v>1</v>
      </c>
      <c r="BJ596" s="1273"/>
      <c r="BK596" s="1265">
        <f t="shared" si="9"/>
        <v>2</v>
      </c>
      <c r="BL596" s="1267"/>
      <c r="BN596" s="1265">
        <f t="shared" si="10"/>
        <v>0</v>
      </c>
      <c r="BO596" s="1266"/>
      <c r="BP596" s="1266"/>
      <c r="BQ596" s="1266"/>
      <c r="BR596" s="1276"/>
      <c r="BS596" s="1265">
        <f t="shared" si="11"/>
        <v>3</v>
      </c>
      <c r="BT596" s="1266"/>
      <c r="BU596" s="1266"/>
      <c r="BV596" s="1266"/>
      <c r="BW596" s="1267"/>
      <c r="BX596" s="1265">
        <f t="shared" si="12"/>
        <v>0</v>
      </c>
      <c r="BY596" s="1266"/>
      <c r="BZ596" s="1266"/>
      <c r="CA596" s="1266"/>
      <c r="CB596" s="1267"/>
      <c r="CC596" s="1265">
        <f t="shared" si="13"/>
        <v>0</v>
      </c>
      <c r="CD596" s="1266"/>
      <c r="CE596" s="1266"/>
      <c r="CF596" s="1266"/>
      <c r="CG596" s="1267"/>
      <c r="CH596" s="1265">
        <f t="shared" si="14"/>
        <v>0</v>
      </c>
      <c r="CI596" s="1266"/>
      <c r="CJ596" s="1266"/>
      <c r="CK596" s="1266"/>
      <c r="CL596" s="1267"/>
      <c r="CM596" s="1274">
        <f t="shared" si="15"/>
        <v>0</v>
      </c>
      <c r="CN596" s="1275"/>
      <c r="CO596" s="1275"/>
      <c r="CP596" s="1275"/>
      <c r="CQ596" s="1276"/>
      <c r="CS596" s="1277">
        <f t="shared" si="18"/>
        <v>0</v>
      </c>
      <c r="CT596" s="1278"/>
      <c r="CU596" s="1278"/>
      <c r="CV596" s="1278"/>
      <c r="CW596" s="1279"/>
      <c r="CX596" s="1277">
        <f t="shared" si="19"/>
        <v>0</v>
      </c>
      <c r="CY596" s="1278"/>
      <c r="CZ596" s="1278"/>
      <c r="DA596" s="1278"/>
      <c r="DB596" s="1279"/>
      <c r="DC596" s="1277">
        <f t="shared" si="20"/>
        <v>0</v>
      </c>
      <c r="DD596" s="1278"/>
      <c r="DE596" s="1278"/>
      <c r="DF596" s="1278"/>
      <c r="DG596" s="1279"/>
      <c r="DH596" s="1277">
        <f t="shared" si="21"/>
        <v>2</v>
      </c>
      <c r="DI596" s="1278"/>
      <c r="DJ596" s="1278"/>
      <c r="DK596" s="1278"/>
      <c r="DL596" s="1279"/>
      <c r="DM596" s="1277">
        <f t="shared" si="22"/>
        <v>0</v>
      </c>
      <c r="DN596" s="1278"/>
      <c r="DO596" s="1278"/>
      <c r="DP596" s="1278"/>
      <c r="DQ596" s="1279"/>
      <c r="DR596" s="1277">
        <f t="shared" si="23"/>
        <v>0</v>
      </c>
      <c r="DS596" s="1278"/>
      <c r="DT596" s="1278"/>
      <c r="DU596" s="1278"/>
      <c r="DV596" s="1279"/>
    </row>
    <row r="597" spans="1:126" ht="13.2" customHeight="1">
      <c r="A597" s="4"/>
      <c r="B597" t="s">
        <v>429</v>
      </c>
      <c r="G597" s="1107"/>
      <c r="H597" s="1107"/>
      <c r="I597" s="1107"/>
      <c r="J597" s="1107"/>
      <c r="K597" s="1107"/>
      <c r="L597" s="1107"/>
      <c r="M597" s="1107"/>
      <c r="N597" s="1107"/>
      <c r="O597" s="1107"/>
      <c r="P597" s="1107"/>
      <c r="Q597" s="1107"/>
      <c r="R597" s="1107"/>
      <c r="T597" s="4"/>
      <c r="U597" t="s">
        <v>429</v>
      </c>
      <c r="Z597" s="1258"/>
      <c r="AA597" s="1258"/>
      <c r="AB597" s="1258"/>
      <c r="AC597" s="1258"/>
      <c r="AD597" s="1258"/>
      <c r="AE597" s="1258"/>
      <c r="AF597" s="1258"/>
      <c r="AG597" s="1258"/>
      <c r="AH597" s="1258"/>
      <c r="AI597" s="1258"/>
      <c r="AJ597" s="1258"/>
      <c r="AK597" s="1258"/>
      <c r="AZ597" s="41"/>
      <c r="BA597" s="41"/>
      <c r="BB597" s="41"/>
      <c r="BC597" s="41"/>
      <c r="BD597" s="41"/>
      <c r="BE597" s="1271">
        <f t="shared" si="16"/>
        <v>1</v>
      </c>
      <c r="BF597" s="1273"/>
      <c r="BG597" s="1265">
        <f t="shared" si="8"/>
        <v>3</v>
      </c>
      <c r="BH597" s="1267"/>
      <c r="BI597" s="1271">
        <f t="shared" si="17"/>
        <v>0</v>
      </c>
      <c r="BJ597" s="1273"/>
      <c r="BK597" s="1265">
        <f t="shared" si="9"/>
        <v>0</v>
      </c>
      <c r="BL597" s="1267"/>
      <c r="BN597" s="1265">
        <f t="shared" si="10"/>
        <v>0</v>
      </c>
      <c r="BO597" s="1266"/>
      <c r="BP597" s="1266"/>
      <c r="BQ597" s="1266"/>
      <c r="BR597" s="1276"/>
      <c r="BS597" s="1265">
        <f t="shared" si="11"/>
        <v>0</v>
      </c>
      <c r="BT597" s="1266"/>
      <c r="BU597" s="1266"/>
      <c r="BV597" s="1266"/>
      <c r="BW597" s="1267"/>
      <c r="BX597" s="1265">
        <f t="shared" si="12"/>
        <v>2</v>
      </c>
      <c r="BY597" s="1266"/>
      <c r="BZ597" s="1266"/>
      <c r="CA597" s="1266"/>
      <c r="CB597" s="1267"/>
      <c r="CC597" s="1265">
        <f t="shared" si="13"/>
        <v>0</v>
      </c>
      <c r="CD597" s="1266"/>
      <c r="CE597" s="1266"/>
      <c r="CF597" s="1266"/>
      <c r="CG597" s="1267"/>
      <c r="CH597" s="1265">
        <f t="shared" si="14"/>
        <v>0</v>
      </c>
      <c r="CI597" s="1266"/>
      <c r="CJ597" s="1266"/>
      <c r="CK597" s="1266"/>
      <c r="CL597" s="1267"/>
      <c r="CM597" s="1274">
        <f t="shared" si="15"/>
        <v>0</v>
      </c>
      <c r="CN597" s="1275"/>
      <c r="CO597" s="1275"/>
      <c r="CP597" s="1275"/>
      <c r="CQ597" s="1276"/>
      <c r="CS597" s="1277">
        <f t="shared" si="18"/>
        <v>0</v>
      </c>
      <c r="CT597" s="1278"/>
      <c r="CU597" s="1278"/>
      <c r="CV597" s="1278"/>
      <c r="CW597" s="1279"/>
      <c r="CX597" s="1277">
        <f t="shared" si="19"/>
        <v>0</v>
      </c>
      <c r="CY597" s="1278"/>
      <c r="CZ597" s="1278"/>
      <c r="DA597" s="1278"/>
      <c r="DB597" s="1279"/>
      <c r="DC597" s="1277">
        <f t="shared" si="20"/>
        <v>0</v>
      </c>
      <c r="DD597" s="1278"/>
      <c r="DE597" s="1278"/>
      <c r="DF597" s="1278"/>
      <c r="DG597" s="1279"/>
      <c r="DH597" s="1277">
        <f t="shared" si="21"/>
        <v>0</v>
      </c>
      <c r="DI597" s="1278"/>
      <c r="DJ597" s="1278"/>
      <c r="DK597" s="1278"/>
      <c r="DL597" s="1279"/>
      <c r="DM597" s="1277">
        <f t="shared" si="22"/>
        <v>0</v>
      </c>
      <c r="DN597" s="1278"/>
      <c r="DO597" s="1278"/>
      <c r="DP597" s="1278"/>
      <c r="DQ597" s="1279"/>
      <c r="DR597" s="1277">
        <f t="shared" si="23"/>
        <v>0</v>
      </c>
      <c r="DS597" s="1278"/>
      <c r="DT597" s="1278"/>
      <c r="DU597" s="1278"/>
      <c r="DV597" s="1279"/>
    </row>
    <row r="598" spans="1:126" ht="13.2" customHeight="1">
      <c r="A598" s="4"/>
      <c r="B598" t="s">
        <v>831</v>
      </c>
      <c r="G598" s="1107"/>
      <c r="H598" s="1107"/>
      <c r="I598" s="1107"/>
      <c r="J598" s="1107"/>
      <c r="K598" s="1107"/>
      <c r="L598" s="1107"/>
      <c r="M598" s="1107"/>
      <c r="N598" s="1107"/>
      <c r="O598" s="1107"/>
      <c r="P598" s="1107"/>
      <c r="Q598" s="1107"/>
      <c r="R598" s="1107"/>
      <c r="T598" s="4"/>
      <c r="U598" t="s">
        <v>831</v>
      </c>
      <c r="Z598" s="1258"/>
      <c r="AA598" s="1258"/>
      <c r="AB598" s="1258"/>
      <c r="AC598" s="1258"/>
      <c r="AD598" s="1258"/>
      <c r="AE598" s="1258"/>
      <c r="AF598" s="1258"/>
      <c r="AG598" s="1258"/>
      <c r="AH598" s="1258"/>
      <c r="AI598" s="1258"/>
      <c r="AJ598" s="1258"/>
      <c r="AK598" s="1258"/>
      <c r="AZ598" s="41"/>
      <c r="BA598" s="41"/>
      <c r="BB598" s="41"/>
      <c r="BC598" s="41"/>
      <c r="BD598" s="41"/>
      <c r="BE598" s="1271">
        <f t="shared" si="16"/>
        <v>1</v>
      </c>
      <c r="BF598" s="1273"/>
      <c r="BG598" s="1265">
        <f t="shared" si="8"/>
        <v>2</v>
      </c>
      <c r="BH598" s="1267"/>
      <c r="BI598" s="1271">
        <f t="shared" si="17"/>
        <v>0</v>
      </c>
      <c r="BJ598" s="1273"/>
      <c r="BK598" s="1265">
        <f t="shared" si="9"/>
        <v>0</v>
      </c>
      <c r="BL598" s="1267"/>
      <c r="BN598" s="1265">
        <f t="shared" si="10"/>
        <v>0</v>
      </c>
      <c r="BO598" s="1266"/>
      <c r="BP598" s="1266"/>
      <c r="BQ598" s="1266"/>
      <c r="BR598" s="1276"/>
      <c r="BS598" s="1265">
        <f t="shared" si="11"/>
        <v>0</v>
      </c>
      <c r="BT598" s="1266"/>
      <c r="BU598" s="1266"/>
      <c r="BV598" s="1266"/>
      <c r="BW598" s="1267"/>
      <c r="BX598" s="1265">
        <f t="shared" si="12"/>
        <v>0</v>
      </c>
      <c r="BY598" s="1266"/>
      <c r="BZ598" s="1266"/>
      <c r="CA598" s="1266"/>
      <c r="CB598" s="1267"/>
      <c r="CC598" s="1265">
        <f t="shared" si="13"/>
        <v>1</v>
      </c>
      <c r="CD598" s="1266"/>
      <c r="CE598" s="1266"/>
      <c r="CF598" s="1266"/>
      <c r="CG598" s="1267"/>
      <c r="CH598" s="1265">
        <f t="shared" si="14"/>
        <v>0</v>
      </c>
      <c r="CI598" s="1266"/>
      <c r="CJ598" s="1266"/>
      <c r="CK598" s="1266"/>
      <c r="CL598" s="1267"/>
      <c r="CM598" s="1274">
        <f t="shared" si="15"/>
        <v>0</v>
      </c>
      <c r="CN598" s="1275"/>
      <c r="CO598" s="1275"/>
      <c r="CP598" s="1275"/>
      <c r="CQ598" s="1276"/>
      <c r="CS598" s="1277">
        <f t="shared" si="18"/>
        <v>0</v>
      </c>
      <c r="CT598" s="1278"/>
      <c r="CU598" s="1278"/>
      <c r="CV598" s="1278"/>
      <c r="CW598" s="1279"/>
      <c r="CX598" s="1277">
        <f t="shared" si="19"/>
        <v>0</v>
      </c>
      <c r="CY598" s="1278"/>
      <c r="CZ598" s="1278"/>
      <c r="DA598" s="1278"/>
      <c r="DB598" s="1279"/>
      <c r="DC598" s="1277">
        <f t="shared" si="20"/>
        <v>0</v>
      </c>
      <c r="DD598" s="1278"/>
      <c r="DE598" s="1278"/>
      <c r="DF598" s="1278"/>
      <c r="DG598" s="1279"/>
      <c r="DH598" s="1277">
        <f t="shared" si="21"/>
        <v>0</v>
      </c>
      <c r="DI598" s="1278"/>
      <c r="DJ598" s="1278"/>
      <c r="DK598" s="1278"/>
      <c r="DL598" s="1279"/>
      <c r="DM598" s="1277">
        <f t="shared" si="22"/>
        <v>0</v>
      </c>
      <c r="DN598" s="1278"/>
      <c r="DO598" s="1278"/>
      <c r="DP598" s="1278"/>
      <c r="DQ598" s="1279"/>
      <c r="DR598" s="1277">
        <f t="shared" si="23"/>
        <v>0</v>
      </c>
      <c r="DS598" s="1278"/>
      <c r="DT598" s="1278"/>
      <c r="DU598" s="1278"/>
      <c r="DV598" s="1279"/>
    </row>
    <row r="599" spans="1:126" ht="13.2" customHeight="1">
      <c r="A599" s="4"/>
      <c r="B599" t="s">
        <v>648</v>
      </c>
      <c r="G599" s="1264"/>
      <c r="H599" s="1264"/>
      <c r="I599" s="1264"/>
      <c r="J599" s="1264"/>
      <c r="K599" s="1264"/>
      <c r="L599" s="1264"/>
      <c r="O599" s="42" t="s">
        <v>816</v>
      </c>
      <c r="P599" s="1259"/>
      <c r="Q599" s="1259"/>
      <c r="R599" s="1259"/>
      <c r="T599" s="4"/>
      <c r="U599" t="s">
        <v>648</v>
      </c>
      <c r="Z599" s="1264"/>
      <c r="AA599" s="1264"/>
      <c r="AB599" s="1264"/>
      <c r="AC599" s="1264"/>
      <c r="AD599" s="1264"/>
      <c r="AE599" s="1264"/>
      <c r="AH599" s="42" t="s">
        <v>816</v>
      </c>
      <c r="AI599" s="1259"/>
      <c r="AJ599" s="1259"/>
      <c r="AK599" s="1259"/>
      <c r="AZ599" s="41"/>
      <c r="BA599" s="41"/>
      <c r="BB599" s="41"/>
      <c r="BC599" s="41"/>
      <c r="BD599" s="41"/>
      <c r="BE599" s="1271">
        <f t="shared" si="16"/>
        <v>1</v>
      </c>
      <c r="BF599" s="1273"/>
      <c r="BG599" s="1265">
        <f t="shared" si="8"/>
        <v>1</v>
      </c>
      <c r="BH599" s="1267"/>
      <c r="BI599" s="1271">
        <f t="shared" si="17"/>
        <v>0</v>
      </c>
      <c r="BJ599" s="1273"/>
      <c r="BK599" s="1265">
        <f t="shared" si="9"/>
        <v>0</v>
      </c>
      <c r="BL599" s="1267"/>
      <c r="BN599" s="1265">
        <f t="shared" si="10"/>
        <v>0</v>
      </c>
      <c r="BO599" s="1266"/>
      <c r="BP599" s="1266"/>
      <c r="BQ599" s="1266"/>
      <c r="BR599" s="1276"/>
      <c r="BS599" s="1265">
        <f t="shared" si="11"/>
        <v>5</v>
      </c>
      <c r="BT599" s="1266"/>
      <c r="BU599" s="1266"/>
      <c r="BV599" s="1266"/>
      <c r="BW599" s="1267"/>
      <c r="BX599" s="1265">
        <f t="shared" si="12"/>
        <v>0</v>
      </c>
      <c r="BY599" s="1266"/>
      <c r="BZ599" s="1266"/>
      <c r="CA599" s="1266"/>
      <c r="CB599" s="1267"/>
      <c r="CC599" s="1265">
        <f t="shared" si="13"/>
        <v>0</v>
      </c>
      <c r="CD599" s="1266"/>
      <c r="CE599" s="1266"/>
      <c r="CF599" s="1266"/>
      <c r="CG599" s="1267"/>
      <c r="CH599" s="1265">
        <f t="shared" si="14"/>
        <v>0</v>
      </c>
      <c r="CI599" s="1266"/>
      <c r="CJ599" s="1266"/>
      <c r="CK599" s="1266"/>
      <c r="CL599" s="1267"/>
      <c r="CM599" s="1274">
        <f t="shared" si="15"/>
        <v>0</v>
      </c>
      <c r="CN599" s="1275"/>
      <c r="CO599" s="1275"/>
      <c r="CP599" s="1275"/>
      <c r="CQ599" s="1276"/>
      <c r="CS599" s="1277">
        <f t="shared" si="18"/>
        <v>0</v>
      </c>
      <c r="CT599" s="1278"/>
      <c r="CU599" s="1278"/>
      <c r="CV599" s="1278"/>
      <c r="CW599" s="1279"/>
      <c r="CX599" s="1277">
        <f t="shared" si="19"/>
        <v>0</v>
      </c>
      <c r="CY599" s="1278"/>
      <c r="CZ599" s="1278"/>
      <c r="DA599" s="1278"/>
      <c r="DB599" s="1279"/>
      <c r="DC599" s="1277">
        <f t="shared" si="20"/>
        <v>0</v>
      </c>
      <c r="DD599" s="1278"/>
      <c r="DE599" s="1278"/>
      <c r="DF599" s="1278"/>
      <c r="DG599" s="1279"/>
      <c r="DH599" s="1277">
        <f t="shared" si="21"/>
        <v>0</v>
      </c>
      <c r="DI599" s="1278"/>
      <c r="DJ599" s="1278"/>
      <c r="DK599" s="1278"/>
      <c r="DL599" s="1279"/>
      <c r="DM599" s="1277">
        <f t="shared" si="22"/>
        <v>0</v>
      </c>
      <c r="DN599" s="1278"/>
      <c r="DO599" s="1278"/>
      <c r="DP599" s="1278"/>
      <c r="DQ599" s="1279"/>
      <c r="DR599" s="1277">
        <f t="shared" si="23"/>
        <v>0</v>
      </c>
      <c r="DS599" s="1278"/>
      <c r="DT599" s="1278"/>
      <c r="DU599" s="1278"/>
      <c r="DV599" s="1279"/>
    </row>
    <row r="600" spans="1:126" s="5" customFormat="1" ht="13.2" customHeight="1">
      <c r="A600" s="4"/>
      <c r="B600" t="s">
        <v>832</v>
      </c>
      <c r="C600"/>
      <c r="D600"/>
      <c r="E600"/>
      <c r="F600"/>
      <c r="G600"/>
      <c r="H600" s="1107" t="str">
        <f>+M557</f>
        <v>Equity, LIHTC Investor</v>
      </c>
      <c r="I600" s="1107"/>
      <c r="J600" s="1107"/>
      <c r="K600" s="1107"/>
      <c r="L600" s="1107"/>
      <c r="M600" s="1107"/>
      <c r="N600" s="1107"/>
      <c r="O600" s="1107"/>
      <c r="P600" s="1107"/>
      <c r="Q600" s="1107"/>
      <c r="R600" s="1107"/>
      <c r="S600"/>
      <c r="T600" s="4"/>
      <c r="U600" t="s">
        <v>832</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6"/>
        <v>1</v>
      </c>
      <c r="BF600" s="1273"/>
      <c r="BG600" s="1265">
        <f t="shared" si="8"/>
        <v>5</v>
      </c>
      <c r="BH600" s="1267"/>
      <c r="BI600" s="1271">
        <f t="shared" si="17"/>
        <v>0</v>
      </c>
      <c r="BJ600" s="1273"/>
      <c r="BK600" s="1265">
        <f t="shared" si="9"/>
        <v>0</v>
      </c>
      <c r="BL600" s="1267"/>
      <c r="BN600" s="1265">
        <f t="shared" si="10"/>
        <v>0</v>
      </c>
      <c r="BO600" s="1266"/>
      <c r="BP600" s="1266"/>
      <c r="BQ600" s="1266"/>
      <c r="BR600" s="1276"/>
      <c r="BS600" s="1265">
        <f t="shared" si="11"/>
        <v>11</v>
      </c>
      <c r="BT600" s="1266"/>
      <c r="BU600" s="1266"/>
      <c r="BV600" s="1266"/>
      <c r="BW600" s="1267"/>
      <c r="BX600" s="1265">
        <f t="shared" si="12"/>
        <v>0</v>
      </c>
      <c r="BY600" s="1266"/>
      <c r="BZ600" s="1266"/>
      <c r="CA600" s="1266"/>
      <c r="CB600" s="1267"/>
      <c r="CC600" s="1265">
        <f t="shared" si="13"/>
        <v>0</v>
      </c>
      <c r="CD600" s="1266"/>
      <c r="CE600" s="1266"/>
      <c r="CF600" s="1266"/>
      <c r="CG600" s="1267"/>
      <c r="CH600" s="1265">
        <f t="shared" si="14"/>
        <v>0</v>
      </c>
      <c r="CI600" s="1266"/>
      <c r="CJ600" s="1266"/>
      <c r="CK600" s="1266"/>
      <c r="CL600" s="1267"/>
      <c r="CM600" s="1274">
        <f t="shared" si="15"/>
        <v>0</v>
      </c>
      <c r="CN600" s="1275"/>
      <c r="CO600" s="1275"/>
      <c r="CP600" s="1275"/>
      <c r="CQ600" s="1276"/>
      <c r="CS600" s="1277">
        <f t="shared" si="18"/>
        <v>0</v>
      </c>
      <c r="CT600" s="1278"/>
      <c r="CU600" s="1278"/>
      <c r="CV600" s="1278"/>
      <c r="CW600" s="1279"/>
      <c r="CX600" s="1277">
        <f t="shared" si="19"/>
        <v>0</v>
      </c>
      <c r="CY600" s="1278"/>
      <c r="CZ600" s="1278"/>
      <c r="DA600" s="1278"/>
      <c r="DB600" s="1279"/>
      <c r="DC600" s="1277">
        <f t="shared" si="20"/>
        <v>0</v>
      </c>
      <c r="DD600" s="1278"/>
      <c r="DE600" s="1278"/>
      <c r="DF600" s="1278"/>
      <c r="DG600" s="1279"/>
      <c r="DH600" s="1277">
        <f t="shared" si="21"/>
        <v>0</v>
      </c>
      <c r="DI600" s="1278"/>
      <c r="DJ600" s="1278"/>
      <c r="DK600" s="1278"/>
      <c r="DL600" s="1279"/>
      <c r="DM600" s="1277">
        <f t="shared" si="22"/>
        <v>0</v>
      </c>
      <c r="DN600" s="1278"/>
      <c r="DO600" s="1278"/>
      <c r="DP600" s="1278"/>
      <c r="DQ600" s="1279"/>
      <c r="DR600" s="1277">
        <f t="shared" si="23"/>
        <v>0</v>
      </c>
      <c r="DS600" s="1278"/>
      <c r="DT600" s="1278"/>
      <c r="DU600" s="1278"/>
      <c r="DV600" s="1279"/>
    </row>
    <row r="601" spans="1:126" s="5" customFormat="1" ht="13.2" customHeight="1">
      <c r="A601" s="4"/>
      <c r="B601" t="s">
        <v>834</v>
      </c>
      <c r="C601"/>
      <c r="D601"/>
      <c r="E601"/>
      <c r="F601"/>
      <c r="G601"/>
      <c r="H601"/>
      <c r="I601"/>
      <c r="J601"/>
      <c r="K601"/>
      <c r="L601"/>
      <c r="M601"/>
      <c r="N601" s="1056" t="s">
        <v>481</v>
      </c>
      <c r="O601" s="1056"/>
      <c r="P601"/>
      <c r="Q601"/>
      <c r="R601"/>
      <c r="S601"/>
      <c r="T601" s="4"/>
      <c r="U601" t="s">
        <v>834</v>
      </c>
      <c r="V601"/>
      <c r="W601"/>
      <c r="X601"/>
      <c r="Y601"/>
      <c r="Z601"/>
      <c r="AA601"/>
      <c r="AB601"/>
      <c r="AC601"/>
      <c r="AD601"/>
      <c r="AE601"/>
      <c r="AF601"/>
      <c r="AG601" s="1056" t="s">
        <v>481</v>
      </c>
      <c r="AH601" s="1056"/>
      <c r="AI601"/>
      <c r="AJ601"/>
      <c r="AK601"/>
      <c r="AL601"/>
      <c r="AZ601" s="41"/>
      <c r="BA601" s="41"/>
      <c r="BB601" s="41"/>
      <c r="BC601" s="41"/>
      <c r="BD601" s="41"/>
      <c r="BE601" s="1271">
        <f t="shared" si="16"/>
        <v>1</v>
      </c>
      <c r="BF601" s="1273"/>
      <c r="BG601" s="1265">
        <f t="shared" si="8"/>
        <v>11</v>
      </c>
      <c r="BH601" s="1267"/>
      <c r="BI601" s="1271">
        <f t="shared" si="17"/>
        <v>0</v>
      </c>
      <c r="BJ601" s="1273"/>
      <c r="BK601" s="1265">
        <f t="shared" si="9"/>
        <v>0</v>
      </c>
      <c r="BL601" s="1267"/>
      <c r="BN601" s="1265">
        <f t="shared" si="10"/>
        <v>0</v>
      </c>
      <c r="BO601" s="1266"/>
      <c r="BP601" s="1266"/>
      <c r="BQ601" s="1266"/>
      <c r="BR601" s="1276"/>
      <c r="BS601" s="1265">
        <f t="shared" si="11"/>
        <v>5</v>
      </c>
      <c r="BT601" s="1266"/>
      <c r="BU601" s="1266"/>
      <c r="BV601" s="1266"/>
      <c r="BW601" s="1267"/>
      <c r="BX601" s="1265">
        <f t="shared" si="12"/>
        <v>0</v>
      </c>
      <c r="BY601" s="1266"/>
      <c r="BZ601" s="1266"/>
      <c r="CA601" s="1266"/>
      <c r="CB601" s="1267"/>
      <c r="CC601" s="1265">
        <f t="shared" si="13"/>
        <v>0</v>
      </c>
      <c r="CD601" s="1266"/>
      <c r="CE601" s="1266"/>
      <c r="CF601" s="1266"/>
      <c r="CG601" s="1267"/>
      <c r="CH601" s="1265">
        <f t="shared" si="14"/>
        <v>0</v>
      </c>
      <c r="CI601" s="1266"/>
      <c r="CJ601" s="1266"/>
      <c r="CK601" s="1266"/>
      <c r="CL601" s="1267"/>
      <c r="CM601" s="1274">
        <f t="shared" si="15"/>
        <v>0</v>
      </c>
      <c r="CN601" s="1275"/>
      <c r="CO601" s="1275"/>
      <c r="CP601" s="1275"/>
      <c r="CQ601" s="1276"/>
      <c r="CS601" s="1277">
        <f t="shared" si="18"/>
        <v>0</v>
      </c>
      <c r="CT601" s="1278"/>
      <c r="CU601" s="1278"/>
      <c r="CV601" s="1278"/>
      <c r="CW601" s="1279"/>
      <c r="CX601" s="1277">
        <f t="shared" si="19"/>
        <v>0</v>
      </c>
      <c r="CY601" s="1278"/>
      <c r="CZ601" s="1278"/>
      <c r="DA601" s="1278"/>
      <c r="DB601" s="1279"/>
      <c r="DC601" s="1277">
        <f t="shared" si="20"/>
        <v>0</v>
      </c>
      <c r="DD601" s="1278"/>
      <c r="DE601" s="1278"/>
      <c r="DF601" s="1278"/>
      <c r="DG601" s="1279"/>
      <c r="DH601" s="1277">
        <f t="shared" si="21"/>
        <v>0</v>
      </c>
      <c r="DI601" s="1278"/>
      <c r="DJ601" s="1278"/>
      <c r="DK601" s="1278"/>
      <c r="DL601" s="1279"/>
      <c r="DM601" s="1277">
        <f t="shared" si="22"/>
        <v>0</v>
      </c>
      <c r="DN601" s="1278"/>
      <c r="DO601" s="1278"/>
      <c r="DP601" s="1278"/>
      <c r="DQ601" s="1279"/>
      <c r="DR601" s="1277">
        <f t="shared" si="23"/>
        <v>0</v>
      </c>
      <c r="DS601" s="1278"/>
      <c r="DT601" s="1278"/>
      <c r="DU601" s="1278"/>
      <c r="DV601" s="1279"/>
    </row>
    <row r="602" spans="1:126" s="5" customFormat="1" ht="13.2"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6"/>
        <v>1</v>
      </c>
      <c r="BF602" s="1273"/>
      <c r="BG602" s="1265">
        <f t="shared" si="8"/>
        <v>5</v>
      </c>
      <c r="BH602" s="1267"/>
      <c r="BI602" s="1271">
        <f t="shared" si="17"/>
        <v>0</v>
      </c>
      <c r="BJ602" s="1273"/>
      <c r="BK602" s="1265">
        <f t="shared" si="9"/>
        <v>0</v>
      </c>
      <c r="BL602" s="1267"/>
      <c r="BN602" s="1265">
        <f t="shared" si="10"/>
        <v>0</v>
      </c>
      <c r="BO602" s="1266"/>
      <c r="BP602" s="1266"/>
      <c r="BQ602" s="1266"/>
      <c r="BR602" s="1276"/>
      <c r="BS602" s="1265">
        <f t="shared" si="11"/>
        <v>0</v>
      </c>
      <c r="BT602" s="1266"/>
      <c r="BU602" s="1266"/>
      <c r="BV602" s="1266"/>
      <c r="BW602" s="1267"/>
      <c r="BX602" s="1265">
        <f t="shared" si="12"/>
        <v>10</v>
      </c>
      <c r="BY602" s="1266"/>
      <c r="BZ602" s="1266"/>
      <c r="CA602" s="1266"/>
      <c r="CB602" s="1267"/>
      <c r="CC602" s="1265">
        <f t="shared" si="13"/>
        <v>0</v>
      </c>
      <c r="CD602" s="1266"/>
      <c r="CE602" s="1266"/>
      <c r="CF602" s="1266"/>
      <c r="CG602" s="1267"/>
      <c r="CH602" s="1265">
        <f t="shared" si="14"/>
        <v>0</v>
      </c>
      <c r="CI602" s="1266"/>
      <c r="CJ602" s="1266"/>
      <c r="CK602" s="1266"/>
      <c r="CL602" s="1267"/>
      <c r="CM602" s="1274">
        <f t="shared" si="15"/>
        <v>0</v>
      </c>
      <c r="CN602" s="1275"/>
      <c r="CO602" s="1275"/>
      <c r="CP602" s="1275"/>
      <c r="CQ602" s="1276"/>
      <c r="CS602" s="1277">
        <f t="shared" si="18"/>
        <v>0</v>
      </c>
      <c r="CT602" s="1278"/>
      <c r="CU602" s="1278"/>
      <c r="CV602" s="1278"/>
      <c r="CW602" s="1279"/>
      <c r="CX602" s="1277">
        <f t="shared" si="19"/>
        <v>0</v>
      </c>
      <c r="CY602" s="1278"/>
      <c r="CZ602" s="1278"/>
      <c r="DA602" s="1278"/>
      <c r="DB602" s="1279"/>
      <c r="DC602" s="1277">
        <f t="shared" si="20"/>
        <v>0</v>
      </c>
      <c r="DD602" s="1278"/>
      <c r="DE602" s="1278"/>
      <c r="DF602" s="1278"/>
      <c r="DG602" s="1279"/>
      <c r="DH602" s="1277">
        <f t="shared" si="21"/>
        <v>0</v>
      </c>
      <c r="DI602" s="1278"/>
      <c r="DJ602" s="1278"/>
      <c r="DK602" s="1278"/>
      <c r="DL602" s="1279"/>
      <c r="DM602" s="1277">
        <f t="shared" si="22"/>
        <v>0</v>
      </c>
      <c r="DN602" s="1278"/>
      <c r="DO602" s="1278"/>
      <c r="DP602" s="1278"/>
      <c r="DQ602" s="1279"/>
      <c r="DR602" s="1277">
        <f t="shared" si="23"/>
        <v>0</v>
      </c>
      <c r="DS602" s="1278"/>
      <c r="DT602" s="1278"/>
      <c r="DU602" s="1278"/>
      <c r="DV602" s="1279"/>
    </row>
    <row r="603" spans="1:126" ht="13.2" customHeight="1">
      <c r="A603" s="61" t="s">
        <v>32</v>
      </c>
      <c r="B603" t="s">
        <v>81</v>
      </c>
      <c r="G603" s="1260">
        <f>C559</f>
        <v>0</v>
      </c>
      <c r="H603" s="1260"/>
      <c r="I603" s="1260"/>
      <c r="J603" s="1260"/>
      <c r="K603" s="1260"/>
      <c r="L603" s="1260"/>
      <c r="M603" s="1260"/>
      <c r="N603" s="1260"/>
      <c r="O603" s="1260"/>
      <c r="P603" s="1260"/>
      <c r="Q603" s="1260"/>
      <c r="R603" s="1260"/>
      <c r="T603" s="61" t="s">
        <v>33</v>
      </c>
      <c r="U603" t="s">
        <v>81</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6"/>
        <v>1</v>
      </c>
      <c r="BF603" s="1273"/>
      <c r="BG603" s="1265">
        <f t="shared" si="8"/>
        <v>10</v>
      </c>
      <c r="BH603" s="1267"/>
      <c r="BI603" s="1271">
        <f t="shared" si="17"/>
        <v>0</v>
      </c>
      <c r="BJ603" s="1273"/>
      <c r="BK603" s="1265">
        <f t="shared" si="9"/>
        <v>0</v>
      </c>
      <c r="BL603" s="1267"/>
      <c r="BN603" s="1265">
        <f t="shared" si="10"/>
        <v>0</v>
      </c>
      <c r="BO603" s="1266"/>
      <c r="BP603" s="1266"/>
      <c r="BQ603" s="1266"/>
      <c r="BR603" s="1276"/>
      <c r="BS603" s="1265">
        <f t="shared" si="11"/>
        <v>0</v>
      </c>
      <c r="BT603" s="1266"/>
      <c r="BU603" s="1266"/>
      <c r="BV603" s="1266"/>
      <c r="BW603" s="1267"/>
      <c r="BX603" s="1265">
        <f t="shared" si="12"/>
        <v>0</v>
      </c>
      <c r="BY603" s="1266"/>
      <c r="BZ603" s="1266"/>
      <c r="CA603" s="1266"/>
      <c r="CB603" s="1267"/>
      <c r="CC603" s="1265">
        <f t="shared" si="13"/>
        <v>9</v>
      </c>
      <c r="CD603" s="1266"/>
      <c r="CE603" s="1266"/>
      <c r="CF603" s="1266"/>
      <c r="CG603" s="1267"/>
      <c r="CH603" s="1265">
        <f t="shared" si="14"/>
        <v>0</v>
      </c>
      <c r="CI603" s="1266"/>
      <c r="CJ603" s="1266"/>
      <c r="CK603" s="1266"/>
      <c r="CL603" s="1267"/>
      <c r="CM603" s="1274">
        <f t="shared" si="15"/>
        <v>0</v>
      </c>
      <c r="CN603" s="1275"/>
      <c r="CO603" s="1275"/>
      <c r="CP603" s="1275"/>
      <c r="CQ603" s="1276"/>
      <c r="CS603" s="1277">
        <f t="shared" si="18"/>
        <v>0</v>
      </c>
      <c r="CT603" s="1278"/>
      <c r="CU603" s="1278"/>
      <c r="CV603" s="1278"/>
      <c r="CW603" s="1279"/>
      <c r="CX603" s="1277">
        <f t="shared" si="19"/>
        <v>0</v>
      </c>
      <c r="CY603" s="1278"/>
      <c r="CZ603" s="1278"/>
      <c r="DA603" s="1278"/>
      <c r="DB603" s="1279"/>
      <c r="DC603" s="1277">
        <f t="shared" si="20"/>
        <v>0</v>
      </c>
      <c r="DD603" s="1278"/>
      <c r="DE603" s="1278"/>
      <c r="DF603" s="1278"/>
      <c r="DG603" s="1279"/>
      <c r="DH603" s="1277">
        <f t="shared" si="21"/>
        <v>0</v>
      </c>
      <c r="DI603" s="1278"/>
      <c r="DJ603" s="1278"/>
      <c r="DK603" s="1278"/>
      <c r="DL603" s="1279"/>
      <c r="DM603" s="1277">
        <f t="shared" si="22"/>
        <v>0</v>
      </c>
      <c r="DN603" s="1278"/>
      <c r="DO603" s="1278"/>
      <c r="DP603" s="1278"/>
      <c r="DQ603" s="1279"/>
      <c r="DR603" s="1277">
        <f t="shared" si="23"/>
        <v>0</v>
      </c>
      <c r="DS603" s="1278"/>
      <c r="DT603" s="1278"/>
      <c r="DU603" s="1278"/>
      <c r="DV603" s="1279"/>
    </row>
    <row r="604" spans="1:126" ht="13.2" customHeight="1">
      <c r="B604" t="s">
        <v>371</v>
      </c>
      <c r="G604" s="1107"/>
      <c r="H604" s="1107"/>
      <c r="I604" s="1107"/>
      <c r="J604" s="1107"/>
      <c r="K604" s="1107"/>
      <c r="L604" s="1107"/>
      <c r="M604" s="1107"/>
      <c r="N604" s="1107"/>
      <c r="O604" s="1107"/>
      <c r="P604" s="1107"/>
      <c r="Q604" s="1107"/>
      <c r="R604" s="1107"/>
      <c r="U604" t="s">
        <v>371</v>
      </c>
      <c r="Z604" s="1107"/>
      <c r="AA604" s="1107"/>
      <c r="AB604" s="1107"/>
      <c r="AC604" s="1107"/>
      <c r="AD604" s="1107"/>
      <c r="AE604" s="1107"/>
      <c r="AF604" s="1107"/>
      <c r="AG604" s="1107"/>
      <c r="AH604" s="1107"/>
      <c r="AI604" s="1107"/>
      <c r="AJ604" s="1107"/>
      <c r="AK604" s="1107"/>
      <c r="AZ604" s="41"/>
      <c r="BA604" s="41"/>
      <c r="BB604" s="41"/>
      <c r="BC604" s="41"/>
      <c r="BD604" s="41"/>
      <c r="BE604" s="1271">
        <f t="shared" si="16"/>
        <v>1</v>
      </c>
      <c r="BF604" s="1273"/>
      <c r="BG604" s="1265">
        <f t="shared" si="8"/>
        <v>9</v>
      </c>
      <c r="BH604" s="1267"/>
      <c r="BI604" s="1271">
        <f t="shared" si="17"/>
        <v>0</v>
      </c>
      <c r="BJ604" s="1273"/>
      <c r="BK604" s="1265">
        <f t="shared" si="9"/>
        <v>0</v>
      </c>
      <c r="BL604" s="1267"/>
      <c r="BN604" s="1265">
        <f t="shared" si="10"/>
        <v>0</v>
      </c>
      <c r="BO604" s="1266"/>
      <c r="BP604" s="1266"/>
      <c r="BQ604" s="1266"/>
      <c r="BR604" s="1276"/>
      <c r="BS604" s="1265">
        <f t="shared" si="11"/>
        <v>3</v>
      </c>
      <c r="BT604" s="1266"/>
      <c r="BU604" s="1266"/>
      <c r="BV604" s="1266"/>
      <c r="BW604" s="1267"/>
      <c r="BX604" s="1265">
        <f t="shared" si="12"/>
        <v>0</v>
      </c>
      <c r="BY604" s="1266"/>
      <c r="BZ604" s="1266"/>
      <c r="CA604" s="1266"/>
      <c r="CB604" s="1267"/>
      <c r="CC604" s="1265">
        <f t="shared" si="13"/>
        <v>0</v>
      </c>
      <c r="CD604" s="1266"/>
      <c r="CE604" s="1266"/>
      <c r="CF604" s="1266"/>
      <c r="CG604" s="1267"/>
      <c r="CH604" s="1265">
        <f t="shared" si="14"/>
        <v>0</v>
      </c>
      <c r="CI604" s="1266"/>
      <c r="CJ604" s="1266"/>
      <c r="CK604" s="1266"/>
      <c r="CL604" s="1267"/>
      <c r="CM604" s="1274">
        <f t="shared" si="15"/>
        <v>0</v>
      </c>
      <c r="CN604" s="1275"/>
      <c r="CO604" s="1275"/>
      <c r="CP604" s="1275"/>
      <c r="CQ604" s="1276"/>
      <c r="CS604" s="1277">
        <f t="shared" si="18"/>
        <v>0</v>
      </c>
      <c r="CT604" s="1278"/>
      <c r="CU604" s="1278"/>
      <c r="CV604" s="1278"/>
      <c r="CW604" s="1279"/>
      <c r="CX604" s="1277">
        <f t="shared" si="19"/>
        <v>0</v>
      </c>
      <c r="CY604" s="1278"/>
      <c r="CZ604" s="1278"/>
      <c r="DA604" s="1278"/>
      <c r="DB604" s="1279"/>
      <c r="DC604" s="1277">
        <f t="shared" si="20"/>
        <v>0</v>
      </c>
      <c r="DD604" s="1278"/>
      <c r="DE604" s="1278"/>
      <c r="DF604" s="1278"/>
      <c r="DG604" s="1279"/>
      <c r="DH604" s="1277">
        <f t="shared" si="21"/>
        <v>0</v>
      </c>
      <c r="DI604" s="1278"/>
      <c r="DJ604" s="1278"/>
      <c r="DK604" s="1278"/>
      <c r="DL604" s="1279"/>
      <c r="DM604" s="1277">
        <f t="shared" si="22"/>
        <v>0</v>
      </c>
      <c r="DN604" s="1278"/>
      <c r="DO604" s="1278"/>
      <c r="DP604" s="1278"/>
      <c r="DQ604" s="1279"/>
      <c r="DR604" s="1277">
        <f t="shared" si="23"/>
        <v>0</v>
      </c>
      <c r="DS604" s="1278"/>
      <c r="DT604" s="1278"/>
      <c r="DU604" s="1278"/>
      <c r="DV604" s="1279"/>
    </row>
    <row r="605" spans="1:126" ht="13.2" customHeight="1">
      <c r="B605" t="s">
        <v>429</v>
      </c>
      <c r="G605" s="1107"/>
      <c r="H605" s="1107"/>
      <c r="I605" s="1107"/>
      <c r="J605" s="1107"/>
      <c r="K605" s="1107"/>
      <c r="L605" s="1107"/>
      <c r="M605" s="1107"/>
      <c r="N605" s="1107"/>
      <c r="O605" s="1107"/>
      <c r="P605" s="1107"/>
      <c r="Q605" s="1107"/>
      <c r="R605" s="1107"/>
      <c r="U605" t="s">
        <v>429</v>
      </c>
      <c r="Z605" s="1258"/>
      <c r="AA605" s="1258"/>
      <c r="AB605" s="1258"/>
      <c r="AC605" s="1258"/>
      <c r="AD605" s="1258"/>
      <c r="AE605" s="1258"/>
      <c r="AF605" s="1258"/>
      <c r="AG605" s="1258"/>
      <c r="AH605" s="1258"/>
      <c r="AI605" s="1258"/>
      <c r="AJ605" s="1258"/>
      <c r="AK605" s="1258"/>
      <c r="AL605" s="305"/>
      <c r="BA605" s="41"/>
      <c r="BB605" s="41"/>
      <c r="BC605" s="41"/>
      <c r="BD605" s="41"/>
      <c r="BE605" s="1271">
        <f t="shared" si="16"/>
        <v>0</v>
      </c>
      <c r="BF605" s="1273"/>
      <c r="BG605" s="1265">
        <f t="shared" si="8"/>
        <v>0</v>
      </c>
      <c r="BH605" s="1267"/>
      <c r="BI605" s="1271">
        <f t="shared" si="17"/>
        <v>0</v>
      </c>
      <c r="BJ605" s="1273"/>
      <c r="BK605" s="1265">
        <f t="shared" si="9"/>
        <v>0</v>
      </c>
      <c r="BL605" s="1267"/>
      <c r="BN605" s="1265">
        <f t="shared" si="10"/>
        <v>0</v>
      </c>
      <c r="BO605" s="1266"/>
      <c r="BP605" s="1266"/>
      <c r="BQ605" s="1266"/>
      <c r="BR605" s="1276"/>
      <c r="BS605" s="1265">
        <f t="shared" si="11"/>
        <v>0</v>
      </c>
      <c r="BT605" s="1266"/>
      <c r="BU605" s="1266"/>
      <c r="BV605" s="1266"/>
      <c r="BW605" s="1267"/>
      <c r="BX605" s="1265">
        <f t="shared" si="12"/>
        <v>5</v>
      </c>
      <c r="BY605" s="1266"/>
      <c r="BZ605" s="1266"/>
      <c r="CA605" s="1266"/>
      <c r="CB605" s="1267"/>
      <c r="CC605" s="1265">
        <f t="shared" si="13"/>
        <v>0</v>
      </c>
      <c r="CD605" s="1266"/>
      <c r="CE605" s="1266"/>
      <c r="CF605" s="1266"/>
      <c r="CG605" s="1267"/>
      <c r="CH605" s="1265">
        <f t="shared" si="14"/>
        <v>0</v>
      </c>
      <c r="CI605" s="1266"/>
      <c r="CJ605" s="1266"/>
      <c r="CK605" s="1266"/>
      <c r="CL605" s="1267"/>
      <c r="CM605" s="1274">
        <f t="shared" si="15"/>
        <v>0</v>
      </c>
      <c r="CN605" s="1275"/>
      <c r="CO605" s="1275"/>
      <c r="CP605" s="1275"/>
      <c r="CQ605" s="1276"/>
      <c r="CS605" s="1277">
        <f t="shared" si="18"/>
        <v>0</v>
      </c>
      <c r="CT605" s="1278"/>
      <c r="CU605" s="1278"/>
      <c r="CV605" s="1278"/>
      <c r="CW605" s="1279"/>
      <c r="CX605" s="1277">
        <f t="shared" si="19"/>
        <v>0</v>
      </c>
      <c r="CY605" s="1278"/>
      <c r="CZ605" s="1278"/>
      <c r="DA605" s="1278"/>
      <c r="DB605" s="1279"/>
      <c r="DC605" s="1277">
        <f t="shared" si="20"/>
        <v>0</v>
      </c>
      <c r="DD605" s="1278"/>
      <c r="DE605" s="1278"/>
      <c r="DF605" s="1278"/>
      <c r="DG605" s="1279"/>
      <c r="DH605" s="1277">
        <f t="shared" si="21"/>
        <v>0</v>
      </c>
      <c r="DI605" s="1278"/>
      <c r="DJ605" s="1278"/>
      <c r="DK605" s="1278"/>
      <c r="DL605" s="1279"/>
      <c r="DM605" s="1277">
        <f t="shared" si="22"/>
        <v>0</v>
      </c>
      <c r="DN605" s="1278"/>
      <c r="DO605" s="1278"/>
      <c r="DP605" s="1278"/>
      <c r="DQ605" s="1279"/>
      <c r="DR605" s="1277">
        <f t="shared" si="23"/>
        <v>0</v>
      </c>
      <c r="DS605" s="1278"/>
      <c r="DT605" s="1278"/>
      <c r="DU605" s="1278"/>
      <c r="DV605" s="1279"/>
    </row>
    <row r="606" spans="1:126" ht="13.2" customHeight="1">
      <c r="B606" t="s">
        <v>831</v>
      </c>
      <c r="G606" s="1107"/>
      <c r="H606" s="1107"/>
      <c r="I606" s="1107"/>
      <c r="J606" s="1107"/>
      <c r="K606" s="1107"/>
      <c r="L606" s="1107"/>
      <c r="M606" s="1107"/>
      <c r="N606" s="1107"/>
      <c r="O606" s="1107"/>
      <c r="P606" s="1107"/>
      <c r="Q606" s="1107"/>
      <c r="R606" s="1107"/>
      <c r="U606" t="s">
        <v>831</v>
      </c>
      <c r="Z606" s="1258"/>
      <c r="AA606" s="1258"/>
      <c r="AB606" s="1258"/>
      <c r="AC606" s="1258"/>
      <c r="AD606" s="1258"/>
      <c r="AE606" s="1258"/>
      <c r="AF606" s="1258"/>
      <c r="AG606" s="1258"/>
      <c r="AH606" s="1258"/>
      <c r="AI606" s="1258"/>
      <c r="AJ606" s="1258"/>
      <c r="AK606" s="1258"/>
      <c r="AL606" s="305"/>
      <c r="BA606" s="41"/>
      <c r="BB606" s="41"/>
      <c r="BC606" s="41"/>
      <c r="BD606" s="41"/>
      <c r="BE606" s="1271">
        <f t="shared" si="16"/>
        <v>0</v>
      </c>
      <c r="BF606" s="1273"/>
      <c r="BG606" s="1265">
        <f t="shared" si="8"/>
        <v>0</v>
      </c>
      <c r="BH606" s="1267"/>
      <c r="BI606" s="1271">
        <f t="shared" si="17"/>
        <v>0</v>
      </c>
      <c r="BJ606" s="1273"/>
      <c r="BK606" s="1265">
        <f t="shared" si="9"/>
        <v>0</v>
      </c>
      <c r="BL606" s="1267"/>
      <c r="BN606" s="1265">
        <f t="shared" si="10"/>
        <v>0</v>
      </c>
      <c r="BO606" s="1266"/>
      <c r="BP606" s="1266"/>
      <c r="BQ606" s="1266"/>
      <c r="BR606" s="1276"/>
      <c r="BS606" s="1265">
        <f t="shared" si="11"/>
        <v>0</v>
      </c>
      <c r="BT606" s="1266"/>
      <c r="BU606" s="1266"/>
      <c r="BV606" s="1266"/>
      <c r="BW606" s="1267"/>
      <c r="BX606" s="1265">
        <f t="shared" si="12"/>
        <v>0</v>
      </c>
      <c r="BY606" s="1266"/>
      <c r="BZ606" s="1266"/>
      <c r="CA606" s="1266"/>
      <c r="CB606" s="1267"/>
      <c r="CC606" s="1265">
        <f t="shared" si="13"/>
        <v>6</v>
      </c>
      <c r="CD606" s="1266"/>
      <c r="CE606" s="1266"/>
      <c r="CF606" s="1266"/>
      <c r="CG606" s="1267"/>
      <c r="CH606" s="1265">
        <f t="shared" si="14"/>
        <v>0</v>
      </c>
      <c r="CI606" s="1266"/>
      <c r="CJ606" s="1266"/>
      <c r="CK606" s="1266"/>
      <c r="CL606" s="1267"/>
      <c r="CM606" s="1274">
        <f t="shared" si="15"/>
        <v>0</v>
      </c>
      <c r="CN606" s="1275"/>
      <c r="CO606" s="1275"/>
      <c r="CP606" s="1275"/>
      <c r="CQ606" s="1276"/>
      <c r="CS606" s="1277">
        <f t="shared" si="18"/>
        <v>0</v>
      </c>
      <c r="CT606" s="1278"/>
      <c r="CU606" s="1278"/>
      <c r="CV606" s="1278"/>
      <c r="CW606" s="1279"/>
      <c r="CX606" s="1277">
        <f t="shared" si="19"/>
        <v>0</v>
      </c>
      <c r="CY606" s="1278"/>
      <c r="CZ606" s="1278"/>
      <c r="DA606" s="1278"/>
      <c r="DB606" s="1279"/>
      <c r="DC606" s="1277">
        <f t="shared" si="20"/>
        <v>0</v>
      </c>
      <c r="DD606" s="1278"/>
      <c r="DE606" s="1278"/>
      <c r="DF606" s="1278"/>
      <c r="DG606" s="1279"/>
      <c r="DH606" s="1277">
        <f t="shared" si="21"/>
        <v>0</v>
      </c>
      <c r="DI606" s="1278"/>
      <c r="DJ606" s="1278"/>
      <c r="DK606" s="1278"/>
      <c r="DL606" s="1279"/>
      <c r="DM606" s="1277">
        <f t="shared" si="22"/>
        <v>0</v>
      </c>
      <c r="DN606" s="1278"/>
      <c r="DO606" s="1278"/>
      <c r="DP606" s="1278"/>
      <c r="DQ606" s="1279"/>
      <c r="DR606" s="1277">
        <f t="shared" si="23"/>
        <v>0</v>
      </c>
      <c r="DS606" s="1278"/>
      <c r="DT606" s="1278"/>
      <c r="DU606" s="1278"/>
      <c r="DV606" s="1279"/>
    </row>
    <row r="607" spans="1:126" ht="13.2" customHeight="1">
      <c r="B607" t="s">
        <v>648</v>
      </c>
      <c r="G607" s="1264"/>
      <c r="H607" s="1264"/>
      <c r="I607" s="1264"/>
      <c r="J607" s="1264"/>
      <c r="K607" s="1264"/>
      <c r="L607" s="1264"/>
      <c r="O607" s="42" t="s">
        <v>816</v>
      </c>
      <c r="P607" s="1259"/>
      <c r="Q607" s="1259"/>
      <c r="R607" s="1259"/>
      <c r="U607" t="s">
        <v>648</v>
      </c>
      <c r="Z607" s="1264"/>
      <c r="AA607" s="1264"/>
      <c r="AB607" s="1264"/>
      <c r="AC607" s="1264"/>
      <c r="AD607" s="1264"/>
      <c r="AE607" s="1264"/>
      <c r="AH607" s="42" t="s">
        <v>816</v>
      </c>
      <c r="AI607" s="1259"/>
      <c r="AJ607" s="1259"/>
      <c r="AK607" s="1259"/>
      <c r="AZ607" s="41"/>
      <c r="BA607" s="41"/>
      <c r="BB607" s="41"/>
      <c r="BC607" s="41"/>
      <c r="BD607" s="41"/>
      <c r="BE607" s="1271">
        <f t="shared" si="16"/>
        <v>0</v>
      </c>
      <c r="BF607" s="1273"/>
      <c r="BG607" s="1265">
        <f t="shared" si="8"/>
        <v>0</v>
      </c>
      <c r="BH607" s="1267"/>
      <c r="BI607" s="1271">
        <f t="shared" si="17"/>
        <v>0</v>
      </c>
      <c r="BJ607" s="1273"/>
      <c r="BK607" s="1265">
        <f t="shared" si="9"/>
        <v>0</v>
      </c>
      <c r="BL607" s="1267"/>
      <c r="BN607" s="1265">
        <f t="shared" si="10"/>
        <v>0</v>
      </c>
      <c r="BO607" s="1266"/>
      <c r="BP607" s="1266"/>
      <c r="BQ607" s="1266"/>
      <c r="BR607" s="1276"/>
      <c r="BS607" s="1265">
        <f t="shared" si="11"/>
        <v>0</v>
      </c>
      <c r="BT607" s="1266"/>
      <c r="BU607" s="1266"/>
      <c r="BV607" s="1266"/>
      <c r="BW607" s="1267"/>
      <c r="BX607" s="1265">
        <f t="shared" si="12"/>
        <v>0</v>
      </c>
      <c r="BY607" s="1266"/>
      <c r="BZ607" s="1266"/>
      <c r="CA607" s="1266"/>
      <c r="CB607" s="1267"/>
      <c r="CC607" s="1265">
        <f t="shared" si="13"/>
        <v>0</v>
      </c>
      <c r="CD607" s="1266"/>
      <c r="CE607" s="1266"/>
      <c r="CF607" s="1266"/>
      <c r="CG607" s="1267"/>
      <c r="CH607" s="1265">
        <f t="shared" si="14"/>
        <v>0</v>
      </c>
      <c r="CI607" s="1266"/>
      <c r="CJ607" s="1266"/>
      <c r="CK607" s="1266"/>
      <c r="CL607" s="1267"/>
      <c r="CM607" s="1274">
        <f t="shared" si="15"/>
        <v>0</v>
      </c>
      <c r="CN607" s="1275"/>
      <c r="CO607" s="1275"/>
      <c r="CP607" s="1275"/>
      <c r="CQ607" s="1276"/>
      <c r="CS607" s="1277">
        <f t="shared" si="18"/>
        <v>0</v>
      </c>
      <c r="CT607" s="1278"/>
      <c r="CU607" s="1278"/>
      <c r="CV607" s="1278"/>
      <c r="CW607" s="1279"/>
      <c r="CX607" s="1277">
        <f t="shared" si="19"/>
        <v>0</v>
      </c>
      <c r="CY607" s="1278"/>
      <c r="CZ607" s="1278"/>
      <c r="DA607" s="1278"/>
      <c r="DB607" s="1279"/>
      <c r="DC607" s="1277">
        <f t="shared" si="20"/>
        <v>0</v>
      </c>
      <c r="DD607" s="1278"/>
      <c r="DE607" s="1278"/>
      <c r="DF607" s="1278"/>
      <c r="DG607" s="1279"/>
      <c r="DH607" s="1277">
        <f t="shared" si="21"/>
        <v>0</v>
      </c>
      <c r="DI607" s="1278"/>
      <c r="DJ607" s="1278"/>
      <c r="DK607" s="1278"/>
      <c r="DL607" s="1279"/>
      <c r="DM607" s="1277">
        <f t="shared" si="22"/>
        <v>0</v>
      </c>
      <c r="DN607" s="1278"/>
      <c r="DO607" s="1278"/>
      <c r="DP607" s="1278"/>
      <c r="DQ607" s="1279"/>
      <c r="DR607" s="1277">
        <f t="shared" si="23"/>
        <v>0</v>
      </c>
      <c r="DS607" s="1278"/>
      <c r="DT607" s="1278"/>
      <c r="DU607" s="1278"/>
      <c r="DV607" s="1279"/>
    </row>
    <row r="608" spans="1:126" ht="13.2" customHeight="1">
      <c r="B608" t="s">
        <v>832</v>
      </c>
      <c r="H608" s="1107"/>
      <c r="I608" s="1107"/>
      <c r="J608" s="1107"/>
      <c r="K608" s="1107"/>
      <c r="L608" s="1107"/>
      <c r="M608" s="1107"/>
      <c r="N608" s="1107"/>
      <c r="O608" s="1107"/>
      <c r="P608" s="1107"/>
      <c r="Q608" s="1107"/>
      <c r="R608" s="1107"/>
      <c r="U608" t="s">
        <v>832</v>
      </c>
      <c r="AA608" s="1107"/>
      <c r="AB608" s="1107"/>
      <c r="AC608" s="1107"/>
      <c r="AD608" s="1107"/>
      <c r="AE608" s="1107"/>
      <c r="AF608" s="1107"/>
      <c r="AG608" s="1107"/>
      <c r="AH608" s="1107"/>
      <c r="AI608" s="1107"/>
      <c r="AJ608" s="1107"/>
      <c r="AK608" s="1107"/>
      <c r="AZ608" s="41"/>
      <c r="BA608" s="41"/>
      <c r="BB608" s="41"/>
      <c r="BC608" s="41"/>
      <c r="BD608" s="41"/>
      <c r="BE608" s="1271">
        <f t="shared" si="16"/>
        <v>0</v>
      </c>
      <c r="BF608" s="1273"/>
      <c r="BG608" s="1265">
        <f t="shared" si="8"/>
        <v>0</v>
      </c>
      <c r="BH608" s="1267"/>
      <c r="BI608" s="1271">
        <f t="shared" si="17"/>
        <v>0</v>
      </c>
      <c r="BJ608" s="1273"/>
      <c r="BK608" s="1265">
        <f t="shared" si="9"/>
        <v>0</v>
      </c>
      <c r="BL608" s="1267"/>
      <c r="BN608" s="1265">
        <f t="shared" si="10"/>
        <v>0</v>
      </c>
      <c r="BO608" s="1266"/>
      <c r="BP608" s="1266"/>
      <c r="BQ608" s="1266"/>
      <c r="BR608" s="1276"/>
      <c r="BS608" s="1265">
        <f t="shared" si="11"/>
        <v>0</v>
      </c>
      <c r="BT608" s="1266"/>
      <c r="BU608" s="1266"/>
      <c r="BV608" s="1266"/>
      <c r="BW608" s="1267"/>
      <c r="BX608" s="1265">
        <f t="shared" si="12"/>
        <v>0</v>
      </c>
      <c r="BY608" s="1266"/>
      <c r="BZ608" s="1266"/>
      <c r="CA608" s="1266"/>
      <c r="CB608" s="1267"/>
      <c r="CC608" s="1265">
        <f t="shared" si="13"/>
        <v>0</v>
      </c>
      <c r="CD608" s="1266"/>
      <c r="CE608" s="1266"/>
      <c r="CF608" s="1266"/>
      <c r="CG608" s="1267"/>
      <c r="CH608" s="1265">
        <f t="shared" si="14"/>
        <v>0</v>
      </c>
      <c r="CI608" s="1266"/>
      <c r="CJ608" s="1266"/>
      <c r="CK608" s="1266"/>
      <c r="CL608" s="1267"/>
      <c r="CM608" s="1274">
        <f t="shared" si="15"/>
        <v>0</v>
      </c>
      <c r="CN608" s="1275"/>
      <c r="CO608" s="1275"/>
      <c r="CP608" s="1275"/>
      <c r="CQ608" s="1276"/>
      <c r="CS608" s="1277">
        <f t="shared" si="18"/>
        <v>0</v>
      </c>
      <c r="CT608" s="1278"/>
      <c r="CU608" s="1278"/>
      <c r="CV608" s="1278"/>
      <c r="CW608" s="1279"/>
      <c r="CX608" s="1277">
        <f t="shared" si="19"/>
        <v>0</v>
      </c>
      <c r="CY608" s="1278"/>
      <c r="CZ608" s="1278"/>
      <c r="DA608" s="1278"/>
      <c r="DB608" s="1279"/>
      <c r="DC608" s="1277">
        <f t="shared" si="20"/>
        <v>0</v>
      </c>
      <c r="DD608" s="1278"/>
      <c r="DE608" s="1278"/>
      <c r="DF608" s="1278"/>
      <c r="DG608" s="1279"/>
      <c r="DH608" s="1277">
        <f t="shared" si="21"/>
        <v>0</v>
      </c>
      <c r="DI608" s="1278"/>
      <c r="DJ608" s="1278"/>
      <c r="DK608" s="1278"/>
      <c r="DL608" s="1279"/>
      <c r="DM608" s="1277">
        <f t="shared" si="22"/>
        <v>0</v>
      </c>
      <c r="DN608" s="1278"/>
      <c r="DO608" s="1278"/>
      <c r="DP608" s="1278"/>
      <c r="DQ608" s="1279"/>
      <c r="DR608" s="1277">
        <f t="shared" si="23"/>
        <v>0</v>
      </c>
      <c r="DS608" s="1278"/>
      <c r="DT608" s="1278"/>
      <c r="DU608" s="1278"/>
      <c r="DV608" s="1279"/>
    </row>
    <row r="609" spans="1:126" ht="13.2" customHeight="1">
      <c r="B609" t="s">
        <v>834</v>
      </c>
      <c r="N609" s="1098" t="s">
        <v>481</v>
      </c>
      <c r="O609" s="1098"/>
      <c r="U609" t="s">
        <v>834</v>
      </c>
      <c r="AG609" s="1098" t="s">
        <v>481</v>
      </c>
      <c r="AH609" s="1098"/>
      <c r="AZ609" s="41"/>
      <c r="BA609" s="41"/>
      <c r="BB609" s="41"/>
      <c r="BC609" s="41"/>
      <c r="BD609" s="41"/>
      <c r="BE609" s="1271">
        <f t="shared" si="16"/>
        <v>0</v>
      </c>
      <c r="BF609" s="1273"/>
      <c r="BG609" s="1265">
        <f t="shared" si="8"/>
        <v>0</v>
      </c>
      <c r="BH609" s="1267"/>
      <c r="BI609" s="1271">
        <f t="shared" si="17"/>
        <v>0</v>
      </c>
      <c r="BJ609" s="1273"/>
      <c r="BK609" s="1265">
        <f t="shared" si="9"/>
        <v>0</v>
      </c>
      <c r="BL609" s="1267"/>
      <c r="BN609" s="1265">
        <f t="shared" si="10"/>
        <v>0</v>
      </c>
      <c r="BO609" s="1266"/>
      <c r="BP609" s="1266"/>
      <c r="BQ609" s="1266"/>
      <c r="BR609" s="1276"/>
      <c r="BS609" s="1265">
        <f t="shared" si="11"/>
        <v>0</v>
      </c>
      <c r="BT609" s="1266"/>
      <c r="BU609" s="1266"/>
      <c r="BV609" s="1266"/>
      <c r="BW609" s="1267"/>
      <c r="BX609" s="1265">
        <f t="shared" si="12"/>
        <v>0</v>
      </c>
      <c r="BY609" s="1266"/>
      <c r="BZ609" s="1266"/>
      <c r="CA609" s="1266"/>
      <c r="CB609" s="1267"/>
      <c r="CC609" s="1265">
        <f t="shared" si="13"/>
        <v>0</v>
      </c>
      <c r="CD609" s="1266"/>
      <c r="CE609" s="1266"/>
      <c r="CF609" s="1266"/>
      <c r="CG609" s="1267"/>
      <c r="CH609" s="1265">
        <f t="shared" si="14"/>
        <v>0</v>
      </c>
      <c r="CI609" s="1266"/>
      <c r="CJ609" s="1266"/>
      <c r="CK609" s="1266"/>
      <c r="CL609" s="1267"/>
      <c r="CM609" s="1274">
        <f t="shared" si="15"/>
        <v>0</v>
      </c>
      <c r="CN609" s="1275"/>
      <c r="CO609" s="1275"/>
      <c r="CP609" s="1275"/>
      <c r="CQ609" s="1276"/>
      <c r="CS609" s="1277">
        <f t="shared" si="18"/>
        <v>0</v>
      </c>
      <c r="CT609" s="1278"/>
      <c r="CU609" s="1278"/>
      <c r="CV609" s="1278"/>
      <c r="CW609" s="1279"/>
      <c r="CX609" s="1277">
        <f t="shared" si="19"/>
        <v>0</v>
      </c>
      <c r="CY609" s="1278"/>
      <c r="CZ609" s="1278"/>
      <c r="DA609" s="1278"/>
      <c r="DB609" s="1279"/>
      <c r="DC609" s="1277">
        <f t="shared" si="20"/>
        <v>0</v>
      </c>
      <c r="DD609" s="1278"/>
      <c r="DE609" s="1278"/>
      <c r="DF609" s="1278"/>
      <c r="DG609" s="1279"/>
      <c r="DH609" s="1277">
        <f t="shared" si="21"/>
        <v>0</v>
      </c>
      <c r="DI609" s="1278"/>
      <c r="DJ609" s="1278"/>
      <c r="DK609" s="1278"/>
      <c r="DL609" s="1279"/>
      <c r="DM609" s="1277">
        <f t="shared" si="22"/>
        <v>0</v>
      </c>
      <c r="DN609" s="1278"/>
      <c r="DO609" s="1278"/>
      <c r="DP609" s="1278"/>
      <c r="DQ609" s="1279"/>
      <c r="DR609" s="1277">
        <f t="shared" si="23"/>
        <v>0</v>
      </c>
      <c r="DS609" s="1278"/>
      <c r="DT609" s="1278"/>
      <c r="DU609" s="1278"/>
      <c r="DV609" s="1279"/>
    </row>
    <row r="610" spans="1:126" ht="13.2" customHeight="1">
      <c r="AZ610" s="41"/>
      <c r="BA610" s="41"/>
      <c r="BB610" s="41"/>
      <c r="BC610" s="41"/>
      <c r="BD610" s="41"/>
      <c r="BE610" s="1271">
        <f t="shared" si="16"/>
        <v>0</v>
      </c>
      <c r="BF610" s="1273"/>
      <c r="BG610" s="1265">
        <f t="shared" si="8"/>
        <v>0</v>
      </c>
      <c r="BH610" s="1267"/>
      <c r="BI610" s="1271">
        <f t="shared" si="17"/>
        <v>0</v>
      </c>
      <c r="BJ610" s="1273"/>
      <c r="BK610" s="1265">
        <f t="shared" si="9"/>
        <v>0</v>
      </c>
      <c r="BL610" s="1267"/>
      <c r="BN610" s="1265">
        <f t="shared" si="10"/>
        <v>0</v>
      </c>
      <c r="BO610" s="1266"/>
      <c r="BP610" s="1266"/>
      <c r="BQ610" s="1266"/>
      <c r="BR610" s="1276"/>
      <c r="BS610" s="1265">
        <f t="shared" si="11"/>
        <v>0</v>
      </c>
      <c r="BT610" s="1266"/>
      <c r="BU610" s="1266"/>
      <c r="BV610" s="1266"/>
      <c r="BW610" s="1267"/>
      <c r="BX610" s="1265">
        <f t="shared" si="12"/>
        <v>0</v>
      </c>
      <c r="BY610" s="1266"/>
      <c r="BZ610" s="1266"/>
      <c r="CA610" s="1266"/>
      <c r="CB610" s="1267"/>
      <c r="CC610" s="1265">
        <f t="shared" si="13"/>
        <v>0</v>
      </c>
      <c r="CD610" s="1266"/>
      <c r="CE610" s="1266"/>
      <c r="CF610" s="1266"/>
      <c r="CG610" s="1267"/>
      <c r="CH610" s="1265">
        <f t="shared" si="14"/>
        <v>0</v>
      </c>
      <c r="CI610" s="1266"/>
      <c r="CJ610" s="1266"/>
      <c r="CK610" s="1266"/>
      <c r="CL610" s="1267"/>
      <c r="CM610" s="1274">
        <f t="shared" si="15"/>
        <v>0</v>
      </c>
      <c r="CN610" s="1275"/>
      <c r="CO610" s="1275"/>
      <c r="CP610" s="1275"/>
      <c r="CQ610" s="1276"/>
      <c r="CS610" s="1277">
        <f t="shared" si="18"/>
        <v>0</v>
      </c>
      <c r="CT610" s="1278"/>
      <c r="CU610" s="1278"/>
      <c r="CV610" s="1278"/>
      <c r="CW610" s="1279"/>
      <c r="CX610" s="1277">
        <f t="shared" si="19"/>
        <v>0</v>
      </c>
      <c r="CY610" s="1278"/>
      <c r="CZ610" s="1278"/>
      <c r="DA610" s="1278"/>
      <c r="DB610" s="1279"/>
      <c r="DC610" s="1277">
        <f t="shared" si="20"/>
        <v>0</v>
      </c>
      <c r="DD610" s="1278"/>
      <c r="DE610" s="1278"/>
      <c r="DF610" s="1278"/>
      <c r="DG610" s="1279"/>
      <c r="DH610" s="1277">
        <f t="shared" si="21"/>
        <v>0</v>
      </c>
      <c r="DI610" s="1278"/>
      <c r="DJ610" s="1278"/>
      <c r="DK610" s="1278"/>
      <c r="DL610" s="1279"/>
      <c r="DM610" s="1277">
        <f t="shared" si="22"/>
        <v>0</v>
      </c>
      <c r="DN610" s="1278"/>
      <c r="DO610" s="1278"/>
      <c r="DP610" s="1278"/>
      <c r="DQ610" s="1279"/>
      <c r="DR610" s="1277">
        <f t="shared" si="23"/>
        <v>0</v>
      </c>
      <c r="DS610" s="1278"/>
      <c r="DT610" s="1278"/>
      <c r="DU610" s="1278"/>
      <c r="DV610" s="1279"/>
    </row>
    <row r="611" spans="1:126" ht="13.2" customHeight="1">
      <c r="A611" s="978" t="s">
        <v>125</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6"/>
        <v>0</v>
      </c>
      <c r="BF611" s="1273"/>
      <c r="BG611" s="1265">
        <f t="shared" si="8"/>
        <v>0</v>
      </c>
      <c r="BH611" s="1267"/>
      <c r="BI611" s="1271">
        <f t="shared" si="17"/>
        <v>0</v>
      </c>
      <c r="BJ611" s="1273"/>
      <c r="BK611" s="1265">
        <f t="shared" si="9"/>
        <v>0</v>
      </c>
      <c r="BL611" s="1267"/>
      <c r="BN611" s="1265">
        <f t="shared" si="10"/>
        <v>0</v>
      </c>
      <c r="BO611" s="1266"/>
      <c r="BP611" s="1266"/>
      <c r="BQ611" s="1266"/>
      <c r="BR611" s="1276"/>
      <c r="BS611" s="1265">
        <f t="shared" si="11"/>
        <v>0</v>
      </c>
      <c r="BT611" s="1266"/>
      <c r="BU611" s="1266"/>
      <c r="BV611" s="1266"/>
      <c r="BW611" s="1267"/>
      <c r="BX611" s="1265">
        <f t="shared" si="12"/>
        <v>0</v>
      </c>
      <c r="BY611" s="1266"/>
      <c r="BZ611" s="1266"/>
      <c r="CA611" s="1266"/>
      <c r="CB611" s="1267"/>
      <c r="CC611" s="1265">
        <f t="shared" si="13"/>
        <v>0</v>
      </c>
      <c r="CD611" s="1266"/>
      <c r="CE611" s="1266"/>
      <c r="CF611" s="1266"/>
      <c r="CG611" s="1267"/>
      <c r="CH611" s="1265">
        <f t="shared" si="14"/>
        <v>0</v>
      </c>
      <c r="CI611" s="1266"/>
      <c r="CJ611" s="1266"/>
      <c r="CK611" s="1266"/>
      <c r="CL611" s="1267"/>
      <c r="CM611" s="1274">
        <f t="shared" si="15"/>
        <v>0</v>
      </c>
      <c r="CN611" s="1275"/>
      <c r="CO611" s="1275"/>
      <c r="CP611" s="1275"/>
      <c r="CQ611" s="1276"/>
      <c r="CS611" s="1277">
        <f t="shared" si="18"/>
        <v>0</v>
      </c>
      <c r="CT611" s="1278"/>
      <c r="CU611" s="1278"/>
      <c r="CV611" s="1278"/>
      <c r="CW611" s="1279"/>
      <c r="CX611" s="1277">
        <f t="shared" si="19"/>
        <v>0</v>
      </c>
      <c r="CY611" s="1278"/>
      <c r="CZ611" s="1278"/>
      <c r="DA611" s="1278"/>
      <c r="DB611" s="1279"/>
      <c r="DC611" s="1277">
        <f t="shared" si="20"/>
        <v>0</v>
      </c>
      <c r="DD611" s="1278"/>
      <c r="DE611" s="1278"/>
      <c r="DF611" s="1278"/>
      <c r="DG611" s="1279"/>
      <c r="DH611" s="1277">
        <f t="shared" si="21"/>
        <v>0</v>
      </c>
      <c r="DI611" s="1278"/>
      <c r="DJ611" s="1278"/>
      <c r="DK611" s="1278"/>
      <c r="DL611" s="1279"/>
      <c r="DM611" s="1277">
        <f t="shared" si="22"/>
        <v>0</v>
      </c>
      <c r="DN611" s="1278"/>
      <c r="DO611" s="1278"/>
      <c r="DP611" s="1278"/>
      <c r="DQ611" s="1279"/>
      <c r="DR611" s="1277">
        <f t="shared" si="23"/>
        <v>0</v>
      </c>
      <c r="DS611" s="1278"/>
      <c r="DT611" s="1278"/>
      <c r="DU611" s="1278"/>
      <c r="DV611" s="1279"/>
    </row>
    <row r="612" spans="1:126" ht="13.2"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6"/>
        <v>0</v>
      </c>
      <c r="BF612" s="1273"/>
      <c r="BG612" s="1265">
        <f t="shared" si="8"/>
        <v>0</v>
      </c>
      <c r="BH612" s="1267"/>
      <c r="BI612" s="1271">
        <f t="shared" si="17"/>
        <v>0</v>
      </c>
      <c r="BJ612" s="1273"/>
      <c r="BK612" s="1265">
        <f t="shared" si="9"/>
        <v>0</v>
      </c>
      <c r="BL612" s="1267"/>
      <c r="BN612" s="1265">
        <f t="shared" si="10"/>
        <v>0</v>
      </c>
      <c r="BO612" s="1266"/>
      <c r="BP612" s="1266"/>
      <c r="BQ612" s="1266"/>
      <c r="BR612" s="1276"/>
      <c r="BS612" s="1265">
        <f t="shared" si="11"/>
        <v>0</v>
      </c>
      <c r="BT612" s="1266"/>
      <c r="BU612" s="1266"/>
      <c r="BV612" s="1266"/>
      <c r="BW612" s="1267"/>
      <c r="BX612" s="1265">
        <f t="shared" si="12"/>
        <v>0</v>
      </c>
      <c r="BY612" s="1266"/>
      <c r="BZ612" s="1266"/>
      <c r="CA612" s="1266"/>
      <c r="CB612" s="1267"/>
      <c r="CC612" s="1265">
        <f t="shared" si="13"/>
        <v>0</v>
      </c>
      <c r="CD612" s="1266"/>
      <c r="CE612" s="1266"/>
      <c r="CF612" s="1266"/>
      <c r="CG612" s="1267"/>
      <c r="CH612" s="1265">
        <f t="shared" si="14"/>
        <v>0</v>
      </c>
      <c r="CI612" s="1266"/>
      <c r="CJ612" s="1266"/>
      <c r="CK612" s="1266"/>
      <c r="CL612" s="1267"/>
      <c r="CM612" s="1274">
        <f t="shared" si="15"/>
        <v>0</v>
      </c>
      <c r="CN612" s="1275"/>
      <c r="CO612" s="1275"/>
      <c r="CP612" s="1275"/>
      <c r="CQ612" s="1276"/>
      <c r="CS612" s="1277">
        <f t="shared" si="18"/>
        <v>0</v>
      </c>
      <c r="CT612" s="1278"/>
      <c r="CU612" s="1278"/>
      <c r="CV612" s="1278"/>
      <c r="CW612" s="1279"/>
      <c r="CX612" s="1277">
        <f t="shared" si="19"/>
        <v>0</v>
      </c>
      <c r="CY612" s="1278"/>
      <c r="CZ612" s="1278"/>
      <c r="DA612" s="1278"/>
      <c r="DB612" s="1279"/>
      <c r="DC612" s="1277">
        <f t="shared" si="20"/>
        <v>0</v>
      </c>
      <c r="DD612" s="1278"/>
      <c r="DE612" s="1278"/>
      <c r="DF612" s="1278"/>
      <c r="DG612" s="1279"/>
      <c r="DH612" s="1277">
        <f t="shared" si="21"/>
        <v>0</v>
      </c>
      <c r="DI612" s="1278"/>
      <c r="DJ612" s="1278"/>
      <c r="DK612" s="1278"/>
      <c r="DL612" s="1279"/>
      <c r="DM612" s="1277">
        <f t="shared" si="22"/>
        <v>0</v>
      </c>
      <c r="DN612" s="1278"/>
      <c r="DO612" s="1278"/>
      <c r="DP612" s="1278"/>
      <c r="DQ612" s="1279"/>
      <c r="DR612" s="1277">
        <f t="shared" si="23"/>
        <v>0</v>
      </c>
      <c r="DS612" s="1278"/>
      <c r="DT612" s="1278"/>
      <c r="DU612" s="1278"/>
      <c r="DV612" s="1279"/>
    </row>
    <row r="613" spans="1:126" ht="13.2" customHeight="1">
      <c r="AZ613" s="41"/>
      <c r="BA613" s="41"/>
      <c r="BB613" s="41"/>
      <c r="BC613" s="41"/>
      <c r="BD613" s="41"/>
      <c r="BE613" s="1271">
        <f t="shared" si="16"/>
        <v>0</v>
      </c>
      <c r="BF613" s="1273"/>
      <c r="BG613" s="1265">
        <f t="shared" si="8"/>
        <v>0</v>
      </c>
      <c r="BH613" s="1267"/>
      <c r="BI613" s="1271">
        <f t="shared" si="17"/>
        <v>0</v>
      </c>
      <c r="BJ613" s="1273"/>
      <c r="BK613" s="1265">
        <f t="shared" si="9"/>
        <v>0</v>
      </c>
      <c r="BL613" s="1267"/>
      <c r="BN613" s="1265">
        <f t="shared" si="10"/>
        <v>0</v>
      </c>
      <c r="BO613" s="1266"/>
      <c r="BP613" s="1266"/>
      <c r="BQ613" s="1266"/>
      <c r="BR613" s="1276"/>
      <c r="BS613" s="1265">
        <f t="shared" si="11"/>
        <v>0</v>
      </c>
      <c r="BT613" s="1266"/>
      <c r="BU613" s="1266"/>
      <c r="BV613" s="1266"/>
      <c r="BW613" s="1267"/>
      <c r="BX613" s="1265">
        <f t="shared" si="12"/>
        <v>0</v>
      </c>
      <c r="BY613" s="1266"/>
      <c r="BZ613" s="1266"/>
      <c r="CA613" s="1266"/>
      <c r="CB613" s="1267"/>
      <c r="CC613" s="1265">
        <f t="shared" si="13"/>
        <v>0</v>
      </c>
      <c r="CD613" s="1266"/>
      <c r="CE613" s="1266"/>
      <c r="CF613" s="1266"/>
      <c r="CG613" s="1267"/>
      <c r="CH613" s="1265">
        <f t="shared" si="14"/>
        <v>0</v>
      </c>
      <c r="CI613" s="1266"/>
      <c r="CJ613" s="1266"/>
      <c r="CK613" s="1266"/>
      <c r="CL613" s="1267"/>
      <c r="CM613" s="1274">
        <f t="shared" si="15"/>
        <v>0</v>
      </c>
      <c r="CN613" s="1275"/>
      <c r="CO613" s="1275"/>
      <c r="CP613" s="1275"/>
      <c r="CQ613" s="1276"/>
      <c r="CS613" s="1277">
        <f t="shared" si="18"/>
        <v>0</v>
      </c>
      <c r="CT613" s="1278"/>
      <c r="CU613" s="1278"/>
      <c r="CV613" s="1278"/>
      <c r="CW613" s="1279"/>
      <c r="CX613" s="1277">
        <f t="shared" si="19"/>
        <v>0</v>
      </c>
      <c r="CY613" s="1278"/>
      <c r="CZ613" s="1278"/>
      <c r="DA613" s="1278"/>
      <c r="DB613" s="1279"/>
      <c r="DC613" s="1277">
        <f t="shared" si="20"/>
        <v>0</v>
      </c>
      <c r="DD613" s="1278"/>
      <c r="DE613" s="1278"/>
      <c r="DF613" s="1278"/>
      <c r="DG613" s="1279"/>
      <c r="DH613" s="1277">
        <f t="shared" si="21"/>
        <v>0</v>
      </c>
      <c r="DI613" s="1278"/>
      <c r="DJ613" s="1278"/>
      <c r="DK613" s="1278"/>
      <c r="DL613" s="1279"/>
      <c r="DM613" s="1277">
        <f t="shared" si="22"/>
        <v>0</v>
      </c>
      <c r="DN613" s="1278"/>
      <c r="DO613" s="1278"/>
      <c r="DP613" s="1278"/>
      <c r="DQ613" s="1279"/>
      <c r="DR613" s="1277">
        <f t="shared" si="23"/>
        <v>0</v>
      </c>
      <c r="DS613" s="1278"/>
      <c r="DT613" s="1278"/>
      <c r="DU613" s="1278"/>
      <c r="DV613" s="1279"/>
    </row>
    <row r="614" spans="1:126" ht="13.2" customHeight="1">
      <c r="A614" s="3" t="s">
        <v>651</v>
      </c>
      <c r="B614" s="3"/>
      <c r="C614" s="3" t="s">
        <v>835</v>
      </c>
      <c r="AZ614" s="41"/>
      <c r="BA614" s="41"/>
      <c r="BB614" s="41"/>
      <c r="BC614" s="41"/>
      <c r="BD614" s="41"/>
      <c r="BE614" s="1271">
        <f t="shared" si="16"/>
        <v>0</v>
      </c>
      <c r="BF614" s="1273"/>
      <c r="BG614" s="1265">
        <f t="shared" si="8"/>
        <v>0</v>
      </c>
      <c r="BH614" s="1267"/>
      <c r="BI614" s="1271">
        <f t="shared" si="17"/>
        <v>0</v>
      </c>
      <c r="BJ614" s="1273"/>
      <c r="BK614" s="1265">
        <f t="shared" si="9"/>
        <v>0</v>
      </c>
      <c r="BL614" s="1267"/>
      <c r="BN614" s="1265">
        <f t="shared" si="10"/>
        <v>0</v>
      </c>
      <c r="BO614" s="1266"/>
      <c r="BP614" s="1266"/>
      <c r="BQ614" s="1266"/>
      <c r="BR614" s="1276"/>
      <c r="BS614" s="1265">
        <f t="shared" si="11"/>
        <v>0</v>
      </c>
      <c r="BT614" s="1266"/>
      <c r="BU614" s="1266"/>
      <c r="BV614" s="1266"/>
      <c r="BW614" s="1267"/>
      <c r="BX614" s="1265">
        <f t="shared" si="12"/>
        <v>0</v>
      </c>
      <c r="BY614" s="1266"/>
      <c r="BZ614" s="1266"/>
      <c r="CA614" s="1266"/>
      <c r="CB614" s="1267"/>
      <c r="CC614" s="1265">
        <f t="shared" si="13"/>
        <v>0</v>
      </c>
      <c r="CD614" s="1266"/>
      <c r="CE614" s="1266"/>
      <c r="CF614" s="1266"/>
      <c r="CG614" s="1267"/>
      <c r="CH614" s="1265">
        <f t="shared" si="14"/>
        <v>0</v>
      </c>
      <c r="CI614" s="1266"/>
      <c r="CJ614" s="1266"/>
      <c r="CK614" s="1266"/>
      <c r="CL614" s="1267"/>
      <c r="CM614" s="1274">
        <f t="shared" si="15"/>
        <v>0</v>
      </c>
      <c r="CN614" s="1275"/>
      <c r="CO614" s="1275"/>
      <c r="CP614" s="1275"/>
      <c r="CQ614" s="1276"/>
      <c r="CS614" s="1277">
        <f t="shared" si="18"/>
        <v>0</v>
      </c>
      <c r="CT614" s="1278"/>
      <c r="CU614" s="1278"/>
      <c r="CV614" s="1278"/>
      <c r="CW614" s="1279"/>
      <c r="CX614" s="1277">
        <f t="shared" si="19"/>
        <v>0</v>
      </c>
      <c r="CY614" s="1278"/>
      <c r="CZ614" s="1278"/>
      <c r="DA614" s="1278"/>
      <c r="DB614" s="1279"/>
      <c r="DC614" s="1277">
        <f t="shared" si="20"/>
        <v>0</v>
      </c>
      <c r="DD614" s="1278"/>
      <c r="DE614" s="1278"/>
      <c r="DF614" s="1278"/>
      <c r="DG614" s="1279"/>
      <c r="DH614" s="1277">
        <f t="shared" si="21"/>
        <v>0</v>
      </c>
      <c r="DI614" s="1278"/>
      <c r="DJ614" s="1278"/>
      <c r="DK614" s="1278"/>
      <c r="DL614" s="1279"/>
      <c r="DM614" s="1277">
        <f t="shared" si="22"/>
        <v>0</v>
      </c>
      <c r="DN614" s="1278"/>
      <c r="DO614" s="1278"/>
      <c r="DP614" s="1278"/>
      <c r="DQ614" s="1279"/>
      <c r="DR614" s="1277">
        <f t="shared" si="23"/>
        <v>0</v>
      </c>
      <c r="DS614" s="1278"/>
      <c r="DT614" s="1278"/>
      <c r="DU614" s="1278"/>
      <c r="DV614" s="1279"/>
    </row>
    <row r="615" spans="1:126" ht="13.2" customHeight="1">
      <c r="A615" s="3"/>
      <c r="B615" s="3"/>
      <c r="C615" s="3"/>
      <c r="AZ615" s="41"/>
      <c r="BA615" s="41"/>
      <c r="BB615" s="41"/>
      <c r="BC615" s="41"/>
      <c r="BD615" s="41"/>
      <c r="BE615" s="1271">
        <f t="shared" si="16"/>
        <v>0</v>
      </c>
      <c r="BF615" s="1273"/>
      <c r="BG615" s="1265">
        <f t="shared" si="8"/>
        <v>0</v>
      </c>
      <c r="BH615" s="1267"/>
      <c r="BI615" s="1271">
        <f t="shared" si="17"/>
        <v>0</v>
      </c>
      <c r="BJ615" s="1273"/>
      <c r="BK615" s="1265">
        <f t="shared" si="9"/>
        <v>0</v>
      </c>
      <c r="BL615" s="1267"/>
      <c r="BN615" s="1265">
        <f t="shared" si="10"/>
        <v>0</v>
      </c>
      <c r="BO615" s="1266"/>
      <c r="BP615" s="1266"/>
      <c r="BQ615" s="1266"/>
      <c r="BR615" s="1276"/>
      <c r="BS615" s="1265">
        <f t="shared" si="11"/>
        <v>0</v>
      </c>
      <c r="BT615" s="1266"/>
      <c r="BU615" s="1266"/>
      <c r="BV615" s="1266"/>
      <c r="BW615" s="1267"/>
      <c r="BX615" s="1265">
        <f t="shared" si="12"/>
        <v>0</v>
      </c>
      <c r="BY615" s="1266"/>
      <c r="BZ615" s="1266"/>
      <c r="CA615" s="1266"/>
      <c r="CB615" s="1267"/>
      <c r="CC615" s="1265">
        <f t="shared" si="13"/>
        <v>0</v>
      </c>
      <c r="CD615" s="1266"/>
      <c r="CE615" s="1266"/>
      <c r="CF615" s="1266"/>
      <c r="CG615" s="1267"/>
      <c r="CH615" s="1265">
        <f t="shared" si="14"/>
        <v>0</v>
      </c>
      <c r="CI615" s="1266"/>
      <c r="CJ615" s="1266"/>
      <c r="CK615" s="1266"/>
      <c r="CL615" s="1267"/>
      <c r="CM615" s="1274">
        <f t="shared" si="15"/>
        <v>0</v>
      </c>
      <c r="CN615" s="1275"/>
      <c r="CO615" s="1275"/>
      <c r="CP615" s="1275"/>
      <c r="CQ615" s="1276"/>
      <c r="CS615" s="1277">
        <f t="shared" si="18"/>
        <v>0</v>
      </c>
      <c r="CT615" s="1278"/>
      <c r="CU615" s="1278"/>
      <c r="CV615" s="1278"/>
      <c r="CW615" s="1279"/>
      <c r="CX615" s="1277">
        <f t="shared" si="19"/>
        <v>0</v>
      </c>
      <c r="CY615" s="1278"/>
      <c r="CZ615" s="1278"/>
      <c r="DA615" s="1278"/>
      <c r="DB615" s="1279"/>
      <c r="DC615" s="1277">
        <f t="shared" si="20"/>
        <v>0</v>
      </c>
      <c r="DD615" s="1278"/>
      <c r="DE615" s="1278"/>
      <c r="DF615" s="1278"/>
      <c r="DG615" s="1279"/>
      <c r="DH615" s="1277">
        <f t="shared" si="21"/>
        <v>0</v>
      </c>
      <c r="DI615" s="1278"/>
      <c r="DJ615" s="1278"/>
      <c r="DK615" s="1278"/>
      <c r="DL615" s="1279"/>
      <c r="DM615" s="1277">
        <f t="shared" si="22"/>
        <v>0</v>
      </c>
      <c r="DN615" s="1278"/>
      <c r="DO615" s="1278"/>
      <c r="DP615" s="1278"/>
      <c r="DQ615" s="1279"/>
      <c r="DR615" s="1277">
        <f t="shared" si="23"/>
        <v>0</v>
      </c>
      <c r="DS615" s="1278"/>
      <c r="DT615" s="1278"/>
      <c r="DU615" s="1278"/>
      <c r="DV615" s="1279"/>
    </row>
    <row r="616" spans="1:126" ht="13.2" customHeight="1">
      <c r="C616" s="3" t="s">
        <v>2123</v>
      </c>
      <c r="AZ616" s="41"/>
      <c r="BA616" s="41"/>
      <c r="BB616" s="41"/>
      <c r="BC616" s="41"/>
      <c r="BD616" s="41"/>
      <c r="BE616" s="1271">
        <f t="shared" ref="BE616:BE625" si="24">IF(AND(AH719&lt;=0.5,AH719&gt;=0.36),1,0)</f>
        <v>0</v>
      </c>
      <c r="BF616" s="1273"/>
      <c r="BG616" s="1265">
        <f t="shared" ref="BG616:BG625" si="25">IF(BE616=1,G719,0)</f>
        <v>0</v>
      </c>
      <c r="BH616" s="1267"/>
      <c r="BI616" s="1271">
        <f t="shared" ref="BI616:BI625" si="26">IF(AND(AH719&lt;=0.35,AH719&gt;0),1,0)</f>
        <v>0</v>
      </c>
      <c r="BJ616" s="1273"/>
      <c r="BK616" s="1265">
        <f t="shared" ref="BK616:BK625" si="27">IF(BI616=1,G719,0)</f>
        <v>0</v>
      </c>
      <c r="BL616" s="1267"/>
      <c r="BN616" s="1265">
        <f t="shared" si="10"/>
        <v>0</v>
      </c>
      <c r="BO616" s="1266"/>
      <c r="BP616" s="1266"/>
      <c r="BQ616" s="1266"/>
      <c r="BR616" s="1276"/>
      <c r="BS616" s="1265">
        <f t="shared" si="11"/>
        <v>0</v>
      </c>
      <c r="BT616" s="1266"/>
      <c r="BU616" s="1266"/>
      <c r="BV616" s="1266"/>
      <c r="BW616" s="1267"/>
      <c r="BX616" s="1265">
        <f t="shared" si="12"/>
        <v>0</v>
      </c>
      <c r="BY616" s="1266"/>
      <c r="BZ616" s="1266"/>
      <c r="CA616" s="1266"/>
      <c r="CB616" s="1267"/>
      <c r="CC616" s="1265">
        <f t="shared" si="13"/>
        <v>0</v>
      </c>
      <c r="CD616" s="1266"/>
      <c r="CE616" s="1266"/>
      <c r="CF616" s="1266"/>
      <c r="CG616" s="1267"/>
      <c r="CH616" s="1265">
        <f t="shared" si="14"/>
        <v>0</v>
      </c>
      <c r="CI616" s="1266"/>
      <c r="CJ616" s="1266"/>
      <c r="CK616" s="1266"/>
      <c r="CL616" s="1267"/>
      <c r="CM616" s="1274">
        <f t="shared" si="15"/>
        <v>0</v>
      </c>
      <c r="CN616" s="1275"/>
      <c r="CO616" s="1275"/>
      <c r="CP616" s="1275"/>
      <c r="CQ616" s="1276"/>
      <c r="CS616" s="1277">
        <f t="shared" ref="CS616:CS625" si="28">IF(AND(B719="SRO/Studio",AH719&lt;=0.3),G719,0)</f>
        <v>0</v>
      </c>
      <c r="CT616" s="1278"/>
      <c r="CU616" s="1278"/>
      <c r="CV616" s="1278"/>
      <c r="CW616" s="1279"/>
      <c r="CX616" s="1277">
        <f t="shared" ref="CX616:CX625" si="29">IF(AND(B719="1 Bedroom",AH719&lt;=0.3),G719,0)</f>
        <v>0</v>
      </c>
      <c r="CY616" s="1278"/>
      <c r="CZ616" s="1278"/>
      <c r="DA616" s="1278"/>
      <c r="DB616" s="1279"/>
      <c r="DC616" s="1277">
        <f t="shared" ref="DC616:DC625" si="30">IF(AND(B719="2 Bedrooms",AH719&lt;=0.3),G719,0)</f>
        <v>0</v>
      </c>
      <c r="DD616" s="1278"/>
      <c r="DE616" s="1278"/>
      <c r="DF616" s="1278"/>
      <c r="DG616" s="1279"/>
      <c r="DH616" s="1277">
        <f t="shared" ref="DH616:DH625" si="31">IF(AND(B719="3 Bedrooms",AH719&lt;=0.3),G719,0)</f>
        <v>0</v>
      </c>
      <c r="DI616" s="1278"/>
      <c r="DJ616" s="1278"/>
      <c r="DK616" s="1278"/>
      <c r="DL616" s="1279"/>
      <c r="DM616" s="1277">
        <f t="shared" ref="DM616:DM625" si="32">IF(AND(B719="4 Bedrooms",AH719&lt;=0.3),G719,0)</f>
        <v>0</v>
      </c>
      <c r="DN616" s="1278"/>
      <c r="DO616" s="1278"/>
      <c r="DP616" s="1278"/>
      <c r="DQ616" s="1279"/>
      <c r="DR616" s="1277">
        <f t="shared" ref="DR616:DR625" si="33">IF(AND(B719="5 Bedrooms",AH719&lt;=0.3),G719,0)</f>
        <v>0</v>
      </c>
      <c r="DS616" s="1278"/>
      <c r="DT616" s="1278"/>
      <c r="DU616" s="1278"/>
      <c r="DV616" s="1279"/>
    </row>
    <row r="617" spans="1:126" ht="13.2" customHeight="1">
      <c r="B617" s="838"/>
      <c r="C617" s="3"/>
      <c r="AZ617" s="41"/>
      <c r="BA617" s="41"/>
      <c r="BB617" s="41"/>
      <c r="BC617" s="41"/>
      <c r="BD617" s="41"/>
      <c r="BE617" s="1271">
        <f t="shared" si="24"/>
        <v>0</v>
      </c>
      <c r="BF617" s="1273"/>
      <c r="BG617" s="1265">
        <f t="shared" si="25"/>
        <v>0</v>
      </c>
      <c r="BH617" s="1267"/>
      <c r="BI617" s="1271">
        <f t="shared" si="26"/>
        <v>0</v>
      </c>
      <c r="BJ617" s="1273"/>
      <c r="BK617" s="1265">
        <f t="shared" si="27"/>
        <v>0</v>
      </c>
      <c r="BL617" s="1267"/>
      <c r="BN617" s="1265">
        <f t="shared" si="10"/>
        <v>0</v>
      </c>
      <c r="BO617" s="1266"/>
      <c r="BP617" s="1266"/>
      <c r="BQ617" s="1266"/>
      <c r="BR617" s="1276"/>
      <c r="BS617" s="1265">
        <f t="shared" si="11"/>
        <v>0</v>
      </c>
      <c r="BT617" s="1266"/>
      <c r="BU617" s="1266"/>
      <c r="BV617" s="1266"/>
      <c r="BW617" s="1267"/>
      <c r="BX617" s="1265">
        <f t="shared" si="12"/>
        <v>0</v>
      </c>
      <c r="BY617" s="1266"/>
      <c r="BZ617" s="1266"/>
      <c r="CA617" s="1266"/>
      <c r="CB617" s="1267"/>
      <c r="CC617" s="1265">
        <f t="shared" si="13"/>
        <v>0</v>
      </c>
      <c r="CD617" s="1266"/>
      <c r="CE617" s="1266"/>
      <c r="CF617" s="1266"/>
      <c r="CG617" s="1267"/>
      <c r="CH617" s="1265">
        <f t="shared" si="14"/>
        <v>0</v>
      </c>
      <c r="CI617" s="1266"/>
      <c r="CJ617" s="1266"/>
      <c r="CK617" s="1266"/>
      <c r="CL617" s="1267"/>
      <c r="CM617" s="1274">
        <f t="shared" si="15"/>
        <v>0</v>
      </c>
      <c r="CN617" s="1275"/>
      <c r="CO617" s="1275"/>
      <c r="CP617" s="1275"/>
      <c r="CQ617" s="1276"/>
      <c r="CS617" s="1277">
        <f t="shared" si="28"/>
        <v>0</v>
      </c>
      <c r="CT617" s="1278"/>
      <c r="CU617" s="1278"/>
      <c r="CV617" s="1278"/>
      <c r="CW617" s="1279"/>
      <c r="CX617" s="1277">
        <f t="shared" si="29"/>
        <v>0</v>
      </c>
      <c r="CY617" s="1278"/>
      <c r="CZ617" s="1278"/>
      <c r="DA617" s="1278"/>
      <c r="DB617" s="1279"/>
      <c r="DC617" s="1277">
        <f t="shared" si="30"/>
        <v>0</v>
      </c>
      <c r="DD617" s="1278"/>
      <c r="DE617" s="1278"/>
      <c r="DF617" s="1278"/>
      <c r="DG617" s="1279"/>
      <c r="DH617" s="1277">
        <f t="shared" si="31"/>
        <v>0</v>
      </c>
      <c r="DI617" s="1278"/>
      <c r="DJ617" s="1278"/>
      <c r="DK617" s="1278"/>
      <c r="DL617" s="1279"/>
      <c r="DM617" s="1277">
        <f t="shared" si="32"/>
        <v>0</v>
      </c>
      <c r="DN617" s="1278"/>
      <c r="DO617" s="1278"/>
      <c r="DP617" s="1278"/>
      <c r="DQ617" s="1279"/>
      <c r="DR617" s="1277">
        <f t="shared" si="33"/>
        <v>0</v>
      </c>
      <c r="DS617" s="1278"/>
      <c r="DT617" s="1278"/>
      <c r="DU617" s="1278"/>
      <c r="DV617" s="1279"/>
    </row>
    <row r="618" spans="1:126" ht="13.2" customHeight="1">
      <c r="B618" s="1569" t="s">
        <v>2192</v>
      </c>
      <c r="C618" s="1570"/>
      <c r="D618" s="1570"/>
      <c r="E618" s="1570"/>
      <c r="F618" s="1570"/>
      <c r="G618" s="1570"/>
      <c r="H618" s="1570"/>
      <c r="I618" s="1570"/>
      <c r="J618" s="1570"/>
      <c r="K618" s="1570"/>
      <c r="L618" s="1570"/>
      <c r="M618" s="1412" t="s">
        <v>2166</v>
      </c>
      <c r="N618" s="1412"/>
      <c r="O618" s="1412"/>
      <c r="P618" s="1412"/>
      <c r="Q618" s="1297" t="s">
        <v>2196</v>
      </c>
      <c r="R618" s="1298"/>
      <c r="S618" s="1299"/>
      <c r="T618" s="1297" t="s">
        <v>2195</v>
      </c>
      <c r="U618" s="1298"/>
      <c r="V618" s="1299"/>
      <c r="W618" s="1431" t="s">
        <v>738</v>
      </c>
      <c r="X618" s="1431"/>
      <c r="Y618" s="1432"/>
      <c r="Z618" s="1412" t="s">
        <v>2193</v>
      </c>
      <c r="AA618" s="1412"/>
      <c r="AB618" s="1412"/>
      <c r="AC618" s="1419" t="s">
        <v>1988</v>
      </c>
      <c r="AD618" s="1420"/>
      <c r="AE618" s="1421"/>
      <c r="AF618" s="1297" t="s">
        <v>2124</v>
      </c>
      <c r="AG618" s="1298"/>
      <c r="AH618" s="1298"/>
      <c r="AI618" s="1298"/>
      <c r="AJ618" s="1299"/>
      <c r="AK618" s="1508" t="s">
        <v>2125</v>
      </c>
      <c r="AL618" s="1509"/>
      <c r="AM618" s="1509"/>
      <c r="AN618" s="1510"/>
      <c r="AO618" s="1412" t="s">
        <v>739</v>
      </c>
      <c r="AP618" s="1412"/>
      <c r="AQ618" s="1412"/>
      <c r="AR618" s="1412"/>
      <c r="AS618" s="1412"/>
      <c r="AT618" s="41"/>
      <c r="AU618" s="41"/>
      <c r="AV618" s="41"/>
      <c r="AW618" s="41"/>
      <c r="AX618" s="41"/>
      <c r="AY618" s="41"/>
      <c r="AZ618" s="41"/>
      <c r="BE618" s="1271">
        <f t="shared" si="24"/>
        <v>0</v>
      </c>
      <c r="BF618" s="1273"/>
      <c r="BG618" s="1265">
        <f t="shared" si="25"/>
        <v>0</v>
      </c>
      <c r="BH618" s="1267"/>
      <c r="BI618" s="1271">
        <f t="shared" si="26"/>
        <v>0</v>
      </c>
      <c r="BJ618" s="1273"/>
      <c r="BK618" s="1265">
        <f t="shared" si="27"/>
        <v>0</v>
      </c>
      <c r="BL618" s="1267"/>
      <c r="BN618" s="1265">
        <f t="shared" si="10"/>
        <v>0</v>
      </c>
      <c r="BO618" s="1266"/>
      <c r="BP618" s="1266"/>
      <c r="BQ618" s="1266"/>
      <c r="BR618" s="1276"/>
      <c r="BS618" s="1265">
        <f t="shared" si="11"/>
        <v>0</v>
      </c>
      <c r="BT618" s="1266"/>
      <c r="BU618" s="1266"/>
      <c r="BV618" s="1266"/>
      <c r="BW618" s="1267"/>
      <c r="BX618" s="1265">
        <f t="shared" si="12"/>
        <v>0</v>
      </c>
      <c r="BY618" s="1266"/>
      <c r="BZ618" s="1266"/>
      <c r="CA618" s="1266"/>
      <c r="CB618" s="1267"/>
      <c r="CC618" s="1265">
        <f t="shared" si="13"/>
        <v>0</v>
      </c>
      <c r="CD618" s="1266"/>
      <c r="CE618" s="1266"/>
      <c r="CF618" s="1266"/>
      <c r="CG618" s="1267"/>
      <c r="CH618" s="1265">
        <f t="shared" si="14"/>
        <v>0</v>
      </c>
      <c r="CI618" s="1266"/>
      <c r="CJ618" s="1266"/>
      <c r="CK618" s="1266"/>
      <c r="CL618" s="1267"/>
      <c r="CM618" s="1274">
        <f t="shared" si="15"/>
        <v>0</v>
      </c>
      <c r="CN618" s="1275"/>
      <c r="CO618" s="1275"/>
      <c r="CP618" s="1275"/>
      <c r="CQ618" s="1276"/>
      <c r="CS618" s="1277">
        <f t="shared" si="28"/>
        <v>0</v>
      </c>
      <c r="CT618" s="1278"/>
      <c r="CU618" s="1278"/>
      <c r="CV618" s="1278"/>
      <c r="CW618" s="1279"/>
      <c r="CX618" s="1277">
        <f t="shared" si="29"/>
        <v>0</v>
      </c>
      <c r="CY618" s="1278"/>
      <c r="CZ618" s="1278"/>
      <c r="DA618" s="1278"/>
      <c r="DB618" s="1279"/>
      <c r="DC618" s="1277">
        <f t="shared" si="30"/>
        <v>0</v>
      </c>
      <c r="DD618" s="1278"/>
      <c r="DE618" s="1278"/>
      <c r="DF618" s="1278"/>
      <c r="DG618" s="1279"/>
      <c r="DH618" s="1277">
        <f t="shared" si="31"/>
        <v>0</v>
      </c>
      <c r="DI618" s="1278"/>
      <c r="DJ618" s="1278"/>
      <c r="DK618" s="1278"/>
      <c r="DL618" s="1279"/>
      <c r="DM618" s="1277">
        <f t="shared" si="32"/>
        <v>0</v>
      </c>
      <c r="DN618" s="1278"/>
      <c r="DO618" s="1278"/>
      <c r="DP618" s="1278"/>
      <c r="DQ618" s="1279"/>
      <c r="DR618" s="1277">
        <f t="shared" si="33"/>
        <v>0</v>
      </c>
      <c r="DS618" s="1278"/>
      <c r="DT618" s="1278"/>
      <c r="DU618" s="1278"/>
      <c r="DV618" s="1279"/>
    </row>
    <row r="619" spans="1:126" ht="13.2" customHeight="1">
      <c r="B619" s="1571"/>
      <c r="C619" s="1467"/>
      <c r="D619" s="1467"/>
      <c r="E619" s="1467"/>
      <c r="F619" s="1467"/>
      <c r="G619" s="1467"/>
      <c r="H619" s="1467"/>
      <c r="I619" s="1467"/>
      <c r="J619" s="1467"/>
      <c r="K619" s="1467"/>
      <c r="L619" s="1467"/>
      <c r="M619" s="1412"/>
      <c r="N619" s="1412"/>
      <c r="O619" s="1412"/>
      <c r="P619" s="1412"/>
      <c r="Q619" s="1300"/>
      <c r="R619" s="1301"/>
      <c r="S619" s="1302"/>
      <c r="T619" s="1300"/>
      <c r="U619" s="1301"/>
      <c r="V619" s="1302"/>
      <c r="W619" s="1433"/>
      <c r="X619" s="1433"/>
      <c r="Y619" s="1434"/>
      <c r="Z619" s="1412"/>
      <c r="AA619" s="1412"/>
      <c r="AB619" s="1412"/>
      <c r="AC619" s="1422"/>
      <c r="AD619" s="1423"/>
      <c r="AE619" s="1424"/>
      <c r="AF619" s="1300"/>
      <c r="AG619" s="1301"/>
      <c r="AH619" s="1301"/>
      <c r="AI619" s="1301"/>
      <c r="AJ619" s="1302"/>
      <c r="AK619" s="1511"/>
      <c r="AL619" s="1512"/>
      <c r="AM619" s="1512"/>
      <c r="AN619" s="1513"/>
      <c r="AO619" s="1412"/>
      <c r="AP619" s="1412"/>
      <c r="AQ619" s="1412"/>
      <c r="AR619" s="1412"/>
      <c r="AS619" s="1412"/>
      <c r="AT619" s="41"/>
      <c r="AU619" s="41"/>
      <c r="AV619" s="41"/>
      <c r="AW619" s="41"/>
      <c r="AX619" s="41"/>
      <c r="AY619" s="41"/>
      <c r="AZ619" s="41"/>
      <c r="BE619" s="1271">
        <f t="shared" si="24"/>
        <v>0</v>
      </c>
      <c r="BF619" s="1273"/>
      <c r="BG619" s="1265">
        <f t="shared" si="25"/>
        <v>0</v>
      </c>
      <c r="BH619" s="1267"/>
      <c r="BI619" s="1271">
        <f t="shared" si="26"/>
        <v>0</v>
      </c>
      <c r="BJ619" s="1273"/>
      <c r="BK619" s="1265">
        <f t="shared" si="27"/>
        <v>0</v>
      </c>
      <c r="BL619" s="1267"/>
      <c r="BN619" s="1265">
        <f t="shared" si="10"/>
        <v>0</v>
      </c>
      <c r="BO619" s="1266"/>
      <c r="BP619" s="1266"/>
      <c r="BQ619" s="1266"/>
      <c r="BR619" s="1276"/>
      <c r="BS619" s="1265">
        <f t="shared" si="11"/>
        <v>0</v>
      </c>
      <c r="BT619" s="1266"/>
      <c r="BU619" s="1266"/>
      <c r="BV619" s="1266"/>
      <c r="BW619" s="1267"/>
      <c r="BX619" s="1265">
        <f t="shared" si="12"/>
        <v>0</v>
      </c>
      <c r="BY619" s="1266"/>
      <c r="BZ619" s="1266"/>
      <c r="CA619" s="1266"/>
      <c r="CB619" s="1267"/>
      <c r="CC619" s="1265">
        <f t="shared" si="13"/>
        <v>0</v>
      </c>
      <c r="CD619" s="1266"/>
      <c r="CE619" s="1266"/>
      <c r="CF619" s="1266"/>
      <c r="CG619" s="1267"/>
      <c r="CH619" s="1265">
        <f t="shared" si="14"/>
        <v>0</v>
      </c>
      <c r="CI619" s="1266"/>
      <c r="CJ619" s="1266"/>
      <c r="CK619" s="1266"/>
      <c r="CL619" s="1267"/>
      <c r="CM619" s="1274">
        <f t="shared" si="15"/>
        <v>0</v>
      </c>
      <c r="CN619" s="1275"/>
      <c r="CO619" s="1275"/>
      <c r="CP619" s="1275"/>
      <c r="CQ619" s="1276"/>
      <c r="CS619" s="1277">
        <f t="shared" si="28"/>
        <v>0</v>
      </c>
      <c r="CT619" s="1278"/>
      <c r="CU619" s="1278"/>
      <c r="CV619" s="1278"/>
      <c r="CW619" s="1279"/>
      <c r="CX619" s="1277">
        <f t="shared" si="29"/>
        <v>0</v>
      </c>
      <c r="CY619" s="1278"/>
      <c r="CZ619" s="1278"/>
      <c r="DA619" s="1278"/>
      <c r="DB619" s="1279"/>
      <c r="DC619" s="1277">
        <f t="shared" si="30"/>
        <v>0</v>
      </c>
      <c r="DD619" s="1278"/>
      <c r="DE619" s="1278"/>
      <c r="DF619" s="1278"/>
      <c r="DG619" s="1279"/>
      <c r="DH619" s="1277">
        <f t="shared" si="31"/>
        <v>0</v>
      </c>
      <c r="DI619" s="1278"/>
      <c r="DJ619" s="1278"/>
      <c r="DK619" s="1278"/>
      <c r="DL619" s="1279"/>
      <c r="DM619" s="1277">
        <f t="shared" si="32"/>
        <v>0</v>
      </c>
      <c r="DN619" s="1278"/>
      <c r="DO619" s="1278"/>
      <c r="DP619" s="1278"/>
      <c r="DQ619" s="1279"/>
      <c r="DR619" s="1277">
        <f t="shared" si="33"/>
        <v>0</v>
      </c>
      <c r="DS619" s="1278"/>
      <c r="DT619" s="1278"/>
      <c r="DU619" s="1278"/>
      <c r="DV619" s="1279"/>
    </row>
    <row r="620" spans="1:126" ht="13.2" customHeight="1">
      <c r="B620" s="1572"/>
      <c r="C620" s="1573"/>
      <c r="D620" s="1573"/>
      <c r="E620" s="1573"/>
      <c r="F620" s="1573"/>
      <c r="G620" s="1573"/>
      <c r="H620" s="1573"/>
      <c r="I620" s="1573"/>
      <c r="J620" s="1573"/>
      <c r="K620" s="1573"/>
      <c r="L620" s="1573"/>
      <c r="M620" s="1412"/>
      <c r="N620" s="1412"/>
      <c r="O620" s="1412"/>
      <c r="P620" s="1412"/>
      <c r="Q620" s="1303"/>
      <c r="R620" s="1304"/>
      <c r="S620" s="1305"/>
      <c r="T620" s="1303"/>
      <c r="U620" s="1304"/>
      <c r="V620" s="1305"/>
      <c r="W620" s="1435"/>
      <c r="X620" s="1435"/>
      <c r="Y620" s="1436"/>
      <c r="Z620" s="1412"/>
      <c r="AA620" s="1412"/>
      <c r="AB620" s="1412"/>
      <c r="AC620" s="1425"/>
      <c r="AD620" s="1426"/>
      <c r="AE620" s="1427"/>
      <c r="AF620" s="1303"/>
      <c r="AG620" s="1304"/>
      <c r="AH620" s="1304"/>
      <c r="AI620" s="1304"/>
      <c r="AJ620" s="1305"/>
      <c r="AK620" s="1514"/>
      <c r="AL620" s="1515"/>
      <c r="AM620" s="1515"/>
      <c r="AN620" s="1516"/>
      <c r="AO620" s="1412"/>
      <c r="AP620" s="1412"/>
      <c r="AQ620" s="1412"/>
      <c r="AR620" s="1412"/>
      <c r="AS620" s="1412"/>
      <c r="AT620" s="43"/>
      <c r="AU620" s="43"/>
      <c r="AV620" s="43"/>
      <c r="AW620" s="43"/>
      <c r="AX620" s="43"/>
      <c r="AY620" s="43"/>
      <c r="AZ620" s="43"/>
      <c r="BE620" s="1271">
        <f t="shared" si="24"/>
        <v>0</v>
      </c>
      <c r="BF620" s="1273"/>
      <c r="BG620" s="1265">
        <f t="shared" si="25"/>
        <v>0</v>
      </c>
      <c r="BH620" s="1267"/>
      <c r="BI620" s="1271">
        <f t="shared" si="26"/>
        <v>0</v>
      </c>
      <c r="BJ620" s="1273"/>
      <c r="BK620" s="1265">
        <f t="shared" si="27"/>
        <v>0</v>
      </c>
      <c r="BL620" s="1267"/>
      <c r="BN620" s="1265">
        <f t="shared" si="10"/>
        <v>0</v>
      </c>
      <c r="BO620" s="1266"/>
      <c r="BP620" s="1266"/>
      <c r="BQ620" s="1266"/>
      <c r="BR620" s="1276"/>
      <c r="BS620" s="1265">
        <f t="shared" si="11"/>
        <v>0</v>
      </c>
      <c r="BT620" s="1266"/>
      <c r="BU620" s="1266"/>
      <c r="BV620" s="1266"/>
      <c r="BW620" s="1267"/>
      <c r="BX620" s="1265">
        <f t="shared" si="12"/>
        <v>0</v>
      </c>
      <c r="BY620" s="1266"/>
      <c r="BZ620" s="1266"/>
      <c r="CA620" s="1266"/>
      <c r="CB620" s="1267"/>
      <c r="CC620" s="1265">
        <f t="shared" si="13"/>
        <v>0</v>
      </c>
      <c r="CD620" s="1266"/>
      <c r="CE620" s="1266"/>
      <c r="CF620" s="1266"/>
      <c r="CG620" s="1267"/>
      <c r="CH620" s="1265">
        <f t="shared" si="14"/>
        <v>0</v>
      </c>
      <c r="CI620" s="1266"/>
      <c r="CJ620" s="1266"/>
      <c r="CK620" s="1266"/>
      <c r="CL620" s="1267"/>
      <c r="CM620" s="1274">
        <f t="shared" si="15"/>
        <v>0</v>
      </c>
      <c r="CN620" s="1275"/>
      <c r="CO620" s="1275"/>
      <c r="CP620" s="1275"/>
      <c r="CQ620" s="1276"/>
      <c r="CS620" s="1277">
        <f t="shared" si="28"/>
        <v>0</v>
      </c>
      <c r="CT620" s="1278"/>
      <c r="CU620" s="1278"/>
      <c r="CV620" s="1278"/>
      <c r="CW620" s="1279"/>
      <c r="CX620" s="1277">
        <f t="shared" si="29"/>
        <v>0</v>
      </c>
      <c r="CY620" s="1278"/>
      <c r="CZ620" s="1278"/>
      <c r="DA620" s="1278"/>
      <c r="DB620" s="1279"/>
      <c r="DC620" s="1277">
        <f t="shared" si="30"/>
        <v>0</v>
      </c>
      <c r="DD620" s="1278"/>
      <c r="DE620" s="1278"/>
      <c r="DF620" s="1278"/>
      <c r="DG620" s="1279"/>
      <c r="DH620" s="1277">
        <f t="shared" si="31"/>
        <v>0</v>
      </c>
      <c r="DI620" s="1278"/>
      <c r="DJ620" s="1278"/>
      <c r="DK620" s="1278"/>
      <c r="DL620" s="1279"/>
      <c r="DM620" s="1277">
        <f t="shared" si="32"/>
        <v>0</v>
      </c>
      <c r="DN620" s="1278"/>
      <c r="DO620" s="1278"/>
      <c r="DP620" s="1278"/>
      <c r="DQ620" s="1279"/>
      <c r="DR620" s="1277">
        <f t="shared" si="33"/>
        <v>0</v>
      </c>
      <c r="DS620" s="1278"/>
      <c r="DT620" s="1278"/>
      <c r="DU620" s="1278"/>
      <c r="DV620" s="1279"/>
    </row>
    <row r="621" spans="1:126" ht="13.2" customHeight="1">
      <c r="B621" s="57" t="s">
        <v>898</v>
      </c>
      <c r="C621" s="1295" t="s">
        <v>2456</v>
      </c>
      <c r="D621" s="1295"/>
      <c r="E621" s="1295"/>
      <c r="F621" s="1295"/>
      <c r="G621" s="1295"/>
      <c r="H621" s="1295"/>
      <c r="I621" s="1295"/>
      <c r="J621" s="1295"/>
      <c r="K621" s="1295"/>
      <c r="L621" s="1295"/>
      <c r="M621" s="1372" t="s">
        <v>2176</v>
      </c>
      <c r="N621" s="1372"/>
      <c r="O621" s="1372"/>
      <c r="P621" s="1372"/>
      <c r="Q621" s="1373">
        <v>240</v>
      </c>
      <c r="R621" s="1374"/>
      <c r="S621" s="1375"/>
      <c r="T621" s="1416">
        <v>240</v>
      </c>
      <c r="U621" s="1417"/>
      <c r="V621" s="1418"/>
      <c r="W621" s="1428">
        <v>7.9500000000000001E-2</v>
      </c>
      <c r="X621" s="1429"/>
      <c r="Y621" s="1430"/>
      <c r="Z621" s="1413" t="s">
        <v>2194</v>
      </c>
      <c r="AA621" s="1414"/>
      <c r="AB621" s="1415"/>
      <c r="AC621" s="1326">
        <v>1</v>
      </c>
      <c r="AD621" s="1327"/>
      <c r="AE621" s="1328"/>
      <c r="AF621" s="1208">
        <v>214299</v>
      </c>
      <c r="AG621" s="1209"/>
      <c r="AH621" s="1209"/>
      <c r="AI621" s="1209"/>
      <c r="AJ621" s="1210"/>
      <c r="AK621" s="1369"/>
      <c r="AL621" s="1370"/>
      <c r="AM621" s="1370"/>
      <c r="AN621" s="1371"/>
      <c r="AO621" s="1211">
        <v>2143000</v>
      </c>
      <c r="AP621" s="1211"/>
      <c r="AQ621" s="1211"/>
      <c r="AR621" s="1211"/>
      <c r="AS621" s="1211"/>
      <c r="AT621" s="945" t="str">
        <f t="shared" ref="AT621:AT632" si="34">IF(AND(NOT(C620=""),C621="",NOT(C622="")),"!","")</f>
        <v/>
      </c>
      <c r="AU621" s="43"/>
      <c r="AV621" s="43"/>
      <c r="AW621" s="43"/>
      <c r="AX621" s="43"/>
      <c r="AY621" s="43"/>
      <c r="BA621" s="41" t="s">
        <v>1975</v>
      </c>
      <c r="BC621" s="43"/>
      <c r="BD621" s="43"/>
      <c r="BE621" s="1271">
        <f t="shared" si="24"/>
        <v>0</v>
      </c>
      <c r="BF621" s="1273"/>
      <c r="BG621" s="1265">
        <f t="shared" si="25"/>
        <v>0</v>
      </c>
      <c r="BH621" s="1267"/>
      <c r="BI621" s="1271">
        <f t="shared" si="26"/>
        <v>0</v>
      </c>
      <c r="BJ621" s="1273"/>
      <c r="BK621" s="1265">
        <f t="shared" si="27"/>
        <v>0</v>
      </c>
      <c r="BL621" s="1267"/>
      <c r="BN621" s="1265">
        <f t="shared" si="10"/>
        <v>0</v>
      </c>
      <c r="BO621" s="1266"/>
      <c r="BP621" s="1266"/>
      <c r="BQ621" s="1266"/>
      <c r="BR621" s="1276"/>
      <c r="BS621" s="1265">
        <f t="shared" si="11"/>
        <v>0</v>
      </c>
      <c r="BT621" s="1266"/>
      <c r="BU621" s="1266"/>
      <c r="BV621" s="1266"/>
      <c r="BW621" s="1267"/>
      <c r="BX621" s="1265">
        <f t="shared" si="12"/>
        <v>0</v>
      </c>
      <c r="BY621" s="1266"/>
      <c r="BZ621" s="1266"/>
      <c r="CA621" s="1266"/>
      <c r="CB621" s="1267"/>
      <c r="CC621" s="1265">
        <f t="shared" si="13"/>
        <v>0</v>
      </c>
      <c r="CD621" s="1266"/>
      <c r="CE621" s="1266"/>
      <c r="CF621" s="1266"/>
      <c r="CG621" s="1267"/>
      <c r="CH621" s="1265">
        <f t="shared" si="14"/>
        <v>0</v>
      </c>
      <c r="CI621" s="1266"/>
      <c r="CJ621" s="1266"/>
      <c r="CK621" s="1266"/>
      <c r="CL621" s="1267"/>
      <c r="CM621" s="1274">
        <f t="shared" si="15"/>
        <v>0</v>
      </c>
      <c r="CN621" s="1275"/>
      <c r="CO621" s="1275"/>
      <c r="CP621" s="1275"/>
      <c r="CQ621" s="1276"/>
      <c r="CS621" s="1277">
        <f t="shared" si="28"/>
        <v>0</v>
      </c>
      <c r="CT621" s="1278"/>
      <c r="CU621" s="1278"/>
      <c r="CV621" s="1278"/>
      <c r="CW621" s="1279"/>
      <c r="CX621" s="1277">
        <f t="shared" si="29"/>
        <v>0</v>
      </c>
      <c r="CY621" s="1278"/>
      <c r="CZ621" s="1278"/>
      <c r="DA621" s="1278"/>
      <c r="DB621" s="1279"/>
      <c r="DC621" s="1277">
        <f t="shared" si="30"/>
        <v>0</v>
      </c>
      <c r="DD621" s="1278"/>
      <c r="DE621" s="1278"/>
      <c r="DF621" s="1278"/>
      <c r="DG621" s="1279"/>
      <c r="DH621" s="1277">
        <f t="shared" si="31"/>
        <v>0</v>
      </c>
      <c r="DI621" s="1278"/>
      <c r="DJ621" s="1278"/>
      <c r="DK621" s="1278"/>
      <c r="DL621" s="1279"/>
      <c r="DM621" s="1277">
        <f t="shared" si="32"/>
        <v>0</v>
      </c>
      <c r="DN621" s="1278"/>
      <c r="DO621" s="1278"/>
      <c r="DP621" s="1278"/>
      <c r="DQ621" s="1279"/>
      <c r="DR621" s="1277">
        <f t="shared" si="33"/>
        <v>0</v>
      </c>
      <c r="DS621" s="1278"/>
      <c r="DT621" s="1278"/>
      <c r="DU621" s="1278"/>
      <c r="DV621" s="1279"/>
    </row>
    <row r="622" spans="1:126" ht="13.2" customHeight="1">
      <c r="B622" s="58" t="s">
        <v>899</v>
      </c>
      <c r="C622" s="1295" t="str">
        <f>+C550</f>
        <v>HCD - Joe Serna</v>
      </c>
      <c r="D622" s="1295"/>
      <c r="E622" s="1295"/>
      <c r="F622" s="1295"/>
      <c r="G622" s="1295"/>
      <c r="H622" s="1295"/>
      <c r="I622" s="1295"/>
      <c r="J622" s="1295"/>
      <c r="K622" s="1295"/>
      <c r="L622" s="1295"/>
      <c r="M622" s="1372" t="str">
        <f>+M550</f>
        <v>Loan, Residual Receipts</v>
      </c>
      <c r="N622" s="1372"/>
      <c r="O622" s="1372"/>
      <c r="P622" s="1372"/>
      <c r="Q622" s="1373">
        <v>660</v>
      </c>
      <c r="R622" s="1374"/>
      <c r="S622" s="1375"/>
      <c r="T622" s="1416"/>
      <c r="U622" s="1417"/>
      <c r="V622" s="1418"/>
      <c r="W622" s="1428">
        <v>0.03</v>
      </c>
      <c r="X622" s="1429"/>
      <c r="Y622" s="1430"/>
      <c r="Z622" s="1413" t="s">
        <v>786</v>
      </c>
      <c r="AA622" s="1414"/>
      <c r="AB622" s="1415"/>
      <c r="AC622" s="1326">
        <v>2</v>
      </c>
      <c r="AD622" s="1327"/>
      <c r="AE622" s="1328"/>
      <c r="AF622" s="1208">
        <f>+AO622*0.0042</f>
        <v>76857.404399999999</v>
      </c>
      <c r="AG622" s="1209"/>
      <c r="AH622" s="1209"/>
      <c r="AI622" s="1209"/>
      <c r="AJ622" s="1210"/>
      <c r="AK622" s="1369"/>
      <c r="AL622" s="1370"/>
      <c r="AM622" s="1370"/>
      <c r="AN622" s="1371"/>
      <c r="AO622" s="1211">
        <v>18299382</v>
      </c>
      <c r="AP622" s="1211"/>
      <c r="AQ622" s="1211"/>
      <c r="AR622" s="1211"/>
      <c r="AS622" s="1211"/>
      <c r="AT622" s="945" t="str">
        <f t="shared" si="34"/>
        <v/>
      </c>
      <c r="AU622" s="43"/>
      <c r="AV622" s="43"/>
      <c r="AW622" s="43"/>
      <c r="AX622" s="43"/>
      <c r="AY622" s="43"/>
      <c r="BA622" s="41" t="s">
        <v>787</v>
      </c>
      <c r="BC622" s="43"/>
      <c r="BD622" s="43"/>
      <c r="BE622" s="1271">
        <f t="shared" si="24"/>
        <v>0</v>
      </c>
      <c r="BF622" s="1273"/>
      <c r="BG622" s="1265">
        <f t="shared" si="25"/>
        <v>0</v>
      </c>
      <c r="BH622" s="1267"/>
      <c r="BI622" s="1271">
        <f t="shared" si="26"/>
        <v>0</v>
      </c>
      <c r="BJ622" s="1273"/>
      <c r="BK622" s="1265">
        <f t="shared" si="27"/>
        <v>0</v>
      </c>
      <c r="BL622" s="1267"/>
      <c r="BN622" s="1265">
        <f t="shared" si="10"/>
        <v>0</v>
      </c>
      <c r="BO622" s="1266"/>
      <c r="BP622" s="1266"/>
      <c r="BQ622" s="1266"/>
      <c r="BR622" s="1276"/>
      <c r="BS622" s="1265">
        <f t="shared" si="11"/>
        <v>0</v>
      </c>
      <c r="BT622" s="1266"/>
      <c r="BU622" s="1266"/>
      <c r="BV622" s="1266"/>
      <c r="BW622" s="1267"/>
      <c r="BX622" s="1265">
        <f t="shared" si="12"/>
        <v>0</v>
      </c>
      <c r="BY622" s="1266"/>
      <c r="BZ622" s="1266"/>
      <c r="CA622" s="1266"/>
      <c r="CB622" s="1267"/>
      <c r="CC622" s="1265">
        <f t="shared" si="13"/>
        <v>0</v>
      </c>
      <c r="CD622" s="1266"/>
      <c r="CE622" s="1266"/>
      <c r="CF622" s="1266"/>
      <c r="CG622" s="1267"/>
      <c r="CH622" s="1265">
        <f t="shared" si="14"/>
        <v>0</v>
      </c>
      <c r="CI622" s="1266"/>
      <c r="CJ622" s="1266"/>
      <c r="CK622" s="1266"/>
      <c r="CL622" s="1267"/>
      <c r="CM622" s="1274">
        <f t="shared" si="15"/>
        <v>0</v>
      </c>
      <c r="CN622" s="1275"/>
      <c r="CO622" s="1275"/>
      <c r="CP622" s="1275"/>
      <c r="CQ622" s="1276"/>
      <c r="CS622" s="1277">
        <f t="shared" si="28"/>
        <v>0</v>
      </c>
      <c r="CT622" s="1278"/>
      <c r="CU622" s="1278"/>
      <c r="CV622" s="1278"/>
      <c r="CW622" s="1279"/>
      <c r="CX622" s="1277">
        <f t="shared" si="29"/>
        <v>0</v>
      </c>
      <c r="CY622" s="1278"/>
      <c r="CZ622" s="1278"/>
      <c r="DA622" s="1278"/>
      <c r="DB622" s="1279"/>
      <c r="DC622" s="1277">
        <f t="shared" si="30"/>
        <v>0</v>
      </c>
      <c r="DD622" s="1278"/>
      <c r="DE622" s="1278"/>
      <c r="DF622" s="1278"/>
      <c r="DG622" s="1279"/>
      <c r="DH622" s="1277">
        <f t="shared" si="31"/>
        <v>0</v>
      </c>
      <c r="DI622" s="1278"/>
      <c r="DJ622" s="1278"/>
      <c r="DK622" s="1278"/>
      <c r="DL622" s="1279"/>
      <c r="DM622" s="1277">
        <f t="shared" si="32"/>
        <v>0</v>
      </c>
      <c r="DN622" s="1278"/>
      <c r="DO622" s="1278"/>
      <c r="DP622" s="1278"/>
      <c r="DQ622" s="1279"/>
      <c r="DR622" s="1277">
        <f t="shared" si="33"/>
        <v>0</v>
      </c>
      <c r="DS622" s="1278"/>
      <c r="DT622" s="1278"/>
      <c r="DU622" s="1278"/>
      <c r="DV622" s="1279"/>
    </row>
    <row r="623" spans="1:126" ht="13.2" customHeight="1">
      <c r="B623" s="58" t="s">
        <v>905</v>
      </c>
      <c r="C623" s="1295" t="str">
        <f t="shared" ref="C623:C627" si="35">+C551</f>
        <v>HCD - IIG</v>
      </c>
      <c r="D623" s="1295"/>
      <c r="E623" s="1295"/>
      <c r="F623" s="1295"/>
      <c r="G623" s="1295"/>
      <c r="H623" s="1295"/>
      <c r="I623" s="1295"/>
      <c r="J623" s="1295"/>
      <c r="K623" s="1295"/>
      <c r="L623" s="1295"/>
      <c r="M623" s="1372" t="str">
        <f t="shared" ref="M623:M627" si="36">+M551</f>
        <v>Loan, Residual Receipts</v>
      </c>
      <c r="N623" s="1372"/>
      <c r="O623" s="1372"/>
      <c r="P623" s="1372"/>
      <c r="Q623" s="1373">
        <f>+Q622</f>
        <v>660</v>
      </c>
      <c r="R623" s="1374"/>
      <c r="S623" s="1375"/>
      <c r="T623" s="1416"/>
      <c r="U623" s="1417"/>
      <c r="V623" s="1418"/>
      <c r="W623" s="1428">
        <v>0</v>
      </c>
      <c r="X623" s="1429"/>
      <c r="Y623" s="1430"/>
      <c r="Z623" s="1413" t="s">
        <v>786</v>
      </c>
      <c r="AA623" s="1414"/>
      <c r="AB623" s="1415"/>
      <c r="AC623" s="1326">
        <v>3</v>
      </c>
      <c r="AD623" s="1327"/>
      <c r="AE623" s="1328"/>
      <c r="AF623" s="1208"/>
      <c r="AG623" s="1209"/>
      <c r="AH623" s="1209"/>
      <c r="AI623" s="1209"/>
      <c r="AJ623" s="1210"/>
      <c r="AK623" s="1369"/>
      <c r="AL623" s="1370"/>
      <c r="AM623" s="1370"/>
      <c r="AN623" s="1371"/>
      <c r="AO623" s="1211">
        <f>+AM551</f>
        <v>3611400</v>
      </c>
      <c r="AP623" s="1211"/>
      <c r="AQ623" s="1211"/>
      <c r="AR623" s="1211"/>
      <c r="AS623" s="1211"/>
      <c r="AT623" s="945" t="str">
        <f t="shared" si="34"/>
        <v/>
      </c>
      <c r="AU623" s="43"/>
      <c r="AV623" s="43"/>
      <c r="AW623" s="43"/>
      <c r="AX623" s="43"/>
      <c r="AY623" s="43"/>
      <c r="AZ623" s="43"/>
      <c r="BA623" s="41" t="s">
        <v>786</v>
      </c>
      <c r="BB623" s="43"/>
      <c r="BC623" s="43"/>
      <c r="BD623" s="43"/>
      <c r="BE623" s="1271">
        <f t="shared" si="24"/>
        <v>0</v>
      </c>
      <c r="BF623" s="1273"/>
      <c r="BG623" s="1265">
        <f t="shared" si="25"/>
        <v>0</v>
      </c>
      <c r="BH623" s="1267"/>
      <c r="BI623" s="1271">
        <f t="shared" si="26"/>
        <v>0</v>
      </c>
      <c r="BJ623" s="1273"/>
      <c r="BK623" s="1265">
        <f t="shared" si="27"/>
        <v>0</v>
      </c>
      <c r="BL623" s="1267"/>
      <c r="BN623" s="1265">
        <f t="shared" si="10"/>
        <v>0</v>
      </c>
      <c r="BO623" s="1266"/>
      <c r="BP623" s="1266"/>
      <c r="BQ623" s="1266"/>
      <c r="BR623" s="1276"/>
      <c r="BS623" s="1265">
        <f t="shared" si="11"/>
        <v>0</v>
      </c>
      <c r="BT623" s="1266"/>
      <c r="BU623" s="1266"/>
      <c r="BV623" s="1266"/>
      <c r="BW623" s="1267"/>
      <c r="BX623" s="1265">
        <f t="shared" si="12"/>
        <v>0</v>
      </c>
      <c r="BY623" s="1266"/>
      <c r="BZ623" s="1266"/>
      <c r="CA623" s="1266"/>
      <c r="CB623" s="1267"/>
      <c r="CC623" s="1265">
        <f t="shared" si="13"/>
        <v>0</v>
      </c>
      <c r="CD623" s="1266"/>
      <c r="CE623" s="1266"/>
      <c r="CF623" s="1266"/>
      <c r="CG623" s="1267"/>
      <c r="CH623" s="1265">
        <f t="shared" si="14"/>
        <v>0</v>
      </c>
      <c r="CI623" s="1266"/>
      <c r="CJ623" s="1266"/>
      <c r="CK623" s="1266"/>
      <c r="CL623" s="1267"/>
      <c r="CM623" s="1274">
        <f t="shared" si="15"/>
        <v>0</v>
      </c>
      <c r="CN623" s="1275"/>
      <c r="CO623" s="1275"/>
      <c r="CP623" s="1275"/>
      <c r="CQ623" s="1276"/>
      <c r="CS623" s="1277">
        <f t="shared" si="28"/>
        <v>0</v>
      </c>
      <c r="CT623" s="1278"/>
      <c r="CU623" s="1278"/>
      <c r="CV623" s="1278"/>
      <c r="CW623" s="1279"/>
      <c r="CX623" s="1277">
        <f t="shared" si="29"/>
        <v>0</v>
      </c>
      <c r="CY623" s="1278"/>
      <c r="CZ623" s="1278"/>
      <c r="DA623" s="1278"/>
      <c r="DB623" s="1279"/>
      <c r="DC623" s="1277">
        <f t="shared" si="30"/>
        <v>0</v>
      </c>
      <c r="DD623" s="1278"/>
      <c r="DE623" s="1278"/>
      <c r="DF623" s="1278"/>
      <c r="DG623" s="1279"/>
      <c r="DH623" s="1277">
        <f t="shared" si="31"/>
        <v>0</v>
      </c>
      <c r="DI623" s="1278"/>
      <c r="DJ623" s="1278"/>
      <c r="DK623" s="1278"/>
      <c r="DL623" s="1279"/>
      <c r="DM623" s="1277">
        <f t="shared" si="32"/>
        <v>0</v>
      </c>
      <c r="DN623" s="1278"/>
      <c r="DO623" s="1278"/>
      <c r="DP623" s="1278"/>
      <c r="DQ623" s="1279"/>
      <c r="DR623" s="1277">
        <f t="shared" si="33"/>
        <v>0</v>
      </c>
      <c r="DS623" s="1278"/>
      <c r="DT623" s="1278"/>
      <c r="DU623" s="1278"/>
      <c r="DV623" s="1279"/>
    </row>
    <row r="624" spans="1:126" ht="13.2" customHeight="1">
      <c r="B624" s="58" t="s">
        <v>430</v>
      </c>
      <c r="C624" s="1295" t="str">
        <f t="shared" si="35"/>
        <v>Sonoma County - HOME</v>
      </c>
      <c r="D624" s="1295"/>
      <c r="E624" s="1295"/>
      <c r="F624" s="1295"/>
      <c r="G624" s="1295"/>
      <c r="H624" s="1295"/>
      <c r="I624" s="1295"/>
      <c r="J624" s="1295"/>
      <c r="K624" s="1295"/>
      <c r="L624" s="1295"/>
      <c r="M624" s="1372" t="str">
        <f t="shared" si="36"/>
        <v>Loan, Residual Receipts</v>
      </c>
      <c r="N624" s="1372"/>
      <c r="O624" s="1372"/>
      <c r="P624" s="1372"/>
      <c r="Q624" s="1373">
        <f t="shared" ref="Q624:Q626" si="37">+Q623</f>
        <v>660</v>
      </c>
      <c r="R624" s="1374"/>
      <c r="S624" s="1375"/>
      <c r="T624" s="1416"/>
      <c r="U624" s="1417"/>
      <c r="V624" s="1418"/>
      <c r="W624" s="1428">
        <v>0.03</v>
      </c>
      <c r="X624" s="1429"/>
      <c r="Y624" s="1430"/>
      <c r="Z624" s="1413" t="s">
        <v>787</v>
      </c>
      <c r="AA624" s="1414"/>
      <c r="AB624" s="1415"/>
      <c r="AC624" s="1326">
        <v>4</v>
      </c>
      <c r="AD624" s="1327"/>
      <c r="AE624" s="1328"/>
      <c r="AF624" s="1208"/>
      <c r="AG624" s="1209"/>
      <c r="AH624" s="1209"/>
      <c r="AI624" s="1209"/>
      <c r="AJ624" s="1210"/>
      <c r="AK624" s="1369"/>
      <c r="AL624" s="1370"/>
      <c r="AM624" s="1370"/>
      <c r="AN624" s="1371"/>
      <c r="AO624" s="1211">
        <f t="shared" ref="AO624:AO627" si="38">+AM552</f>
        <v>1834186</v>
      </c>
      <c r="AP624" s="1211"/>
      <c r="AQ624" s="1211"/>
      <c r="AR624" s="1211"/>
      <c r="AS624" s="1211"/>
      <c r="AT624" s="945" t="str">
        <f t="shared" si="34"/>
        <v/>
      </c>
      <c r="AU624" s="43"/>
      <c r="AV624" s="43"/>
      <c r="AW624" s="43"/>
      <c r="AX624" s="43"/>
      <c r="AY624" s="43"/>
      <c r="AZ624" s="43"/>
      <c r="BA624" s="41" t="s">
        <v>2194</v>
      </c>
      <c r="BE624" s="1271">
        <f t="shared" si="24"/>
        <v>0</v>
      </c>
      <c r="BF624" s="1273"/>
      <c r="BG624" s="1265">
        <f t="shared" si="25"/>
        <v>0</v>
      </c>
      <c r="BH624" s="1267"/>
      <c r="BI624" s="1271">
        <f t="shared" si="26"/>
        <v>0</v>
      </c>
      <c r="BJ624" s="1273"/>
      <c r="BK624" s="1265">
        <f t="shared" si="27"/>
        <v>0</v>
      </c>
      <c r="BL624" s="1267"/>
      <c r="BN624" s="1265">
        <f t="shared" si="10"/>
        <v>0</v>
      </c>
      <c r="BO624" s="1266"/>
      <c r="BP624" s="1266"/>
      <c r="BQ624" s="1266"/>
      <c r="BR624" s="1276"/>
      <c r="BS624" s="1265">
        <f t="shared" si="11"/>
        <v>0</v>
      </c>
      <c r="BT624" s="1266"/>
      <c r="BU624" s="1266"/>
      <c r="BV624" s="1266"/>
      <c r="BW624" s="1267"/>
      <c r="BX624" s="1265">
        <f t="shared" si="12"/>
        <v>0</v>
      </c>
      <c r="BY624" s="1266"/>
      <c r="BZ624" s="1266"/>
      <c r="CA624" s="1266"/>
      <c r="CB624" s="1267"/>
      <c r="CC624" s="1265">
        <f t="shared" si="13"/>
        <v>0</v>
      </c>
      <c r="CD624" s="1266"/>
      <c r="CE624" s="1266"/>
      <c r="CF624" s="1266"/>
      <c r="CG624" s="1267"/>
      <c r="CH624" s="1265">
        <f t="shared" si="14"/>
        <v>0</v>
      </c>
      <c r="CI624" s="1266"/>
      <c r="CJ624" s="1266"/>
      <c r="CK624" s="1266"/>
      <c r="CL624" s="1267"/>
      <c r="CM624" s="1274">
        <f t="shared" si="15"/>
        <v>0</v>
      </c>
      <c r="CN624" s="1275"/>
      <c r="CO624" s="1275"/>
      <c r="CP624" s="1275"/>
      <c r="CQ624" s="1276"/>
      <c r="CS624" s="1277">
        <f t="shared" si="28"/>
        <v>0</v>
      </c>
      <c r="CT624" s="1278"/>
      <c r="CU624" s="1278"/>
      <c r="CV624" s="1278"/>
      <c r="CW624" s="1279"/>
      <c r="CX624" s="1277">
        <f t="shared" si="29"/>
        <v>0</v>
      </c>
      <c r="CY624" s="1278"/>
      <c r="CZ624" s="1278"/>
      <c r="DA624" s="1278"/>
      <c r="DB624" s="1279"/>
      <c r="DC624" s="1277">
        <f t="shared" si="30"/>
        <v>0</v>
      </c>
      <c r="DD624" s="1278"/>
      <c r="DE624" s="1278"/>
      <c r="DF624" s="1278"/>
      <c r="DG624" s="1279"/>
      <c r="DH624" s="1277">
        <f t="shared" si="31"/>
        <v>0</v>
      </c>
      <c r="DI624" s="1278"/>
      <c r="DJ624" s="1278"/>
      <c r="DK624" s="1278"/>
      <c r="DL624" s="1279"/>
      <c r="DM624" s="1277">
        <f t="shared" si="32"/>
        <v>0</v>
      </c>
      <c r="DN624" s="1278"/>
      <c r="DO624" s="1278"/>
      <c r="DP624" s="1278"/>
      <c r="DQ624" s="1279"/>
      <c r="DR624" s="1277">
        <f t="shared" si="33"/>
        <v>0</v>
      </c>
      <c r="DS624" s="1278"/>
      <c r="DT624" s="1278"/>
      <c r="DU624" s="1278"/>
      <c r="DV624" s="1279"/>
    </row>
    <row r="625" spans="1:126" ht="13.2" customHeight="1">
      <c r="B625" s="58" t="s">
        <v>170</v>
      </c>
      <c r="C625" s="1295" t="str">
        <f t="shared" si="35"/>
        <v>Sonoma County - CDBG</v>
      </c>
      <c r="D625" s="1295"/>
      <c r="E625" s="1295"/>
      <c r="F625" s="1295"/>
      <c r="G625" s="1295"/>
      <c r="H625" s="1295"/>
      <c r="I625" s="1295"/>
      <c r="J625" s="1295"/>
      <c r="K625" s="1295"/>
      <c r="L625" s="1295"/>
      <c r="M625" s="1372" t="str">
        <f t="shared" si="36"/>
        <v>Loan, Residual Receipts</v>
      </c>
      <c r="N625" s="1372"/>
      <c r="O625" s="1372"/>
      <c r="P625" s="1372"/>
      <c r="Q625" s="1373">
        <f t="shared" si="37"/>
        <v>660</v>
      </c>
      <c r="R625" s="1374"/>
      <c r="S625" s="1375"/>
      <c r="T625" s="1416"/>
      <c r="U625" s="1417"/>
      <c r="V625" s="1418"/>
      <c r="W625" s="1428">
        <v>0.03</v>
      </c>
      <c r="X625" s="1429"/>
      <c r="Y625" s="1430"/>
      <c r="Z625" s="1413" t="s">
        <v>787</v>
      </c>
      <c r="AA625" s="1414"/>
      <c r="AB625" s="1415"/>
      <c r="AC625" s="1326">
        <v>5</v>
      </c>
      <c r="AD625" s="1327"/>
      <c r="AE625" s="1328"/>
      <c r="AF625" s="1208"/>
      <c r="AG625" s="1209"/>
      <c r="AH625" s="1209"/>
      <c r="AI625" s="1209"/>
      <c r="AJ625" s="1210"/>
      <c r="AK625" s="1369"/>
      <c r="AL625" s="1370"/>
      <c r="AM625" s="1370"/>
      <c r="AN625" s="1371"/>
      <c r="AO625" s="1211">
        <f t="shared" si="38"/>
        <v>935758</v>
      </c>
      <c r="AP625" s="1211"/>
      <c r="AQ625" s="1211"/>
      <c r="AR625" s="1211"/>
      <c r="AS625" s="1211"/>
      <c r="AT625" s="945" t="str">
        <f t="shared" si="34"/>
        <v/>
      </c>
      <c r="AU625" s="43"/>
      <c r="AV625" s="43"/>
      <c r="AW625" s="43"/>
      <c r="AX625" s="43"/>
      <c r="AY625" s="43"/>
      <c r="AZ625" s="43"/>
      <c r="BA625" s="41" t="s">
        <v>498</v>
      </c>
      <c r="BE625" s="1271">
        <f t="shared" si="24"/>
        <v>0</v>
      </c>
      <c r="BF625" s="1273"/>
      <c r="BG625" s="1265">
        <f t="shared" si="25"/>
        <v>0</v>
      </c>
      <c r="BH625" s="1267"/>
      <c r="BI625" s="1271">
        <f t="shared" si="26"/>
        <v>0</v>
      </c>
      <c r="BJ625" s="1273"/>
      <c r="BK625" s="1265">
        <f t="shared" si="27"/>
        <v>0</v>
      </c>
      <c r="BL625" s="1267"/>
      <c r="BN625" s="1265">
        <f t="shared" si="10"/>
        <v>0</v>
      </c>
      <c r="BO625" s="1266"/>
      <c r="BP625" s="1266"/>
      <c r="BQ625" s="1266"/>
      <c r="BR625" s="1276"/>
      <c r="BS625" s="1265">
        <f t="shared" si="11"/>
        <v>0</v>
      </c>
      <c r="BT625" s="1266"/>
      <c r="BU625" s="1266"/>
      <c r="BV625" s="1266"/>
      <c r="BW625" s="1267"/>
      <c r="BX625" s="1265">
        <f t="shared" si="12"/>
        <v>0</v>
      </c>
      <c r="BY625" s="1266"/>
      <c r="BZ625" s="1266"/>
      <c r="CA625" s="1266"/>
      <c r="CB625" s="1267"/>
      <c r="CC625" s="1265">
        <f t="shared" si="13"/>
        <v>0</v>
      </c>
      <c r="CD625" s="1266"/>
      <c r="CE625" s="1266"/>
      <c r="CF625" s="1266"/>
      <c r="CG625" s="1267"/>
      <c r="CH625" s="1265">
        <f t="shared" si="14"/>
        <v>0</v>
      </c>
      <c r="CI625" s="1266"/>
      <c r="CJ625" s="1266"/>
      <c r="CK625" s="1266"/>
      <c r="CL625" s="1267"/>
      <c r="CM625" s="1274">
        <f t="shared" si="15"/>
        <v>0</v>
      </c>
      <c r="CN625" s="1275"/>
      <c r="CO625" s="1275"/>
      <c r="CP625" s="1275"/>
      <c r="CQ625" s="1276"/>
      <c r="CS625" s="1277">
        <f t="shared" si="28"/>
        <v>0</v>
      </c>
      <c r="CT625" s="1278"/>
      <c r="CU625" s="1278"/>
      <c r="CV625" s="1278"/>
      <c r="CW625" s="1279"/>
      <c r="CX625" s="1277">
        <f t="shared" si="29"/>
        <v>0</v>
      </c>
      <c r="CY625" s="1278"/>
      <c r="CZ625" s="1278"/>
      <c r="DA625" s="1278"/>
      <c r="DB625" s="1279"/>
      <c r="DC625" s="1277">
        <f t="shared" si="30"/>
        <v>0</v>
      </c>
      <c r="DD625" s="1278"/>
      <c r="DE625" s="1278"/>
      <c r="DF625" s="1278"/>
      <c r="DG625" s="1279"/>
      <c r="DH625" s="1277">
        <f t="shared" si="31"/>
        <v>0</v>
      </c>
      <c r="DI625" s="1278"/>
      <c r="DJ625" s="1278"/>
      <c r="DK625" s="1278"/>
      <c r="DL625" s="1279"/>
      <c r="DM625" s="1277">
        <f t="shared" si="32"/>
        <v>0</v>
      </c>
      <c r="DN625" s="1278"/>
      <c r="DO625" s="1278"/>
      <c r="DP625" s="1278"/>
      <c r="DQ625" s="1279"/>
      <c r="DR625" s="1277">
        <f t="shared" si="33"/>
        <v>0</v>
      </c>
      <c r="DS625" s="1278"/>
      <c r="DT625" s="1278"/>
      <c r="DU625" s="1278"/>
      <c r="DV625" s="1279"/>
    </row>
    <row r="626" spans="1:126" ht="13.2" customHeight="1">
      <c r="B626" s="58" t="s">
        <v>433</v>
      </c>
      <c r="C626" s="1295" t="str">
        <f t="shared" si="35"/>
        <v>FHLB - AHP</v>
      </c>
      <c r="D626" s="1295"/>
      <c r="E626" s="1295"/>
      <c r="F626" s="1295"/>
      <c r="G626" s="1295"/>
      <c r="H626" s="1295"/>
      <c r="I626" s="1295"/>
      <c r="J626" s="1295"/>
      <c r="K626" s="1295"/>
      <c r="L626" s="1295"/>
      <c r="M626" s="1372" t="str">
        <f t="shared" si="36"/>
        <v>Loan, Residual Receipts</v>
      </c>
      <c r="N626" s="1372"/>
      <c r="O626" s="1372"/>
      <c r="P626" s="1372"/>
      <c r="Q626" s="1373">
        <f t="shared" si="37"/>
        <v>660</v>
      </c>
      <c r="R626" s="1374"/>
      <c r="S626" s="1375"/>
      <c r="T626" s="1416"/>
      <c r="U626" s="1417"/>
      <c r="V626" s="1418"/>
      <c r="W626" s="1428">
        <v>0</v>
      </c>
      <c r="X626" s="1429"/>
      <c r="Y626" s="1430"/>
      <c r="Z626" s="1413" t="s">
        <v>787</v>
      </c>
      <c r="AA626" s="1414"/>
      <c r="AB626" s="1415"/>
      <c r="AC626" s="1326">
        <v>6</v>
      </c>
      <c r="AD626" s="1327"/>
      <c r="AE626" s="1328"/>
      <c r="AF626" s="1208"/>
      <c r="AG626" s="1209"/>
      <c r="AH626" s="1209"/>
      <c r="AI626" s="1209"/>
      <c r="AJ626" s="1210"/>
      <c r="AK626" s="1369"/>
      <c r="AL626" s="1370"/>
      <c r="AM626" s="1370"/>
      <c r="AN626" s="1371"/>
      <c r="AO626" s="1211">
        <f t="shared" si="38"/>
        <v>1000000</v>
      </c>
      <c r="AP626" s="1211"/>
      <c r="AQ626" s="1211"/>
      <c r="AR626" s="1211"/>
      <c r="AS626" s="1211"/>
      <c r="AT626" s="945" t="str">
        <f t="shared" si="34"/>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9">SUM(BS591:BW625)</f>
        <v>32</v>
      </c>
      <c r="BT626" s="1272"/>
      <c r="BU626" s="1272"/>
      <c r="BV626" s="1272"/>
      <c r="BW626" s="1273"/>
      <c r="BX626" s="1271">
        <f t="shared" ref="BX626" si="40">SUM(BX591:CB625)</f>
        <v>21</v>
      </c>
      <c r="BY626" s="1272"/>
      <c r="BZ626" s="1272"/>
      <c r="CA626" s="1272"/>
      <c r="CB626" s="1273"/>
      <c r="CC626" s="1271">
        <f t="shared" ref="CC626" si="41">SUM(CC591:CG625)</f>
        <v>18</v>
      </c>
      <c r="CD626" s="1272"/>
      <c r="CE626" s="1272"/>
      <c r="CF626" s="1272"/>
      <c r="CG626" s="1273"/>
      <c r="CH626" s="1271">
        <f t="shared" ref="CH626" si="42">SUM(CH591:CL625)</f>
        <v>0</v>
      </c>
      <c r="CI626" s="1272"/>
      <c r="CJ626" s="1272"/>
      <c r="CK626" s="1272"/>
      <c r="CL626" s="1273"/>
      <c r="CM626" s="1271">
        <f t="shared" ref="CM626" si="43">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3.2" customHeight="1" thickBot="1">
      <c r="B627" s="58" t="s">
        <v>740</v>
      </c>
      <c r="C627" s="1295" t="str">
        <f t="shared" si="35"/>
        <v>Deferred Developer Fee</v>
      </c>
      <c r="D627" s="1295"/>
      <c r="E627" s="1295"/>
      <c r="F627" s="1295"/>
      <c r="G627" s="1295"/>
      <c r="H627" s="1295"/>
      <c r="I627" s="1295"/>
      <c r="J627" s="1295"/>
      <c r="K627" s="1295"/>
      <c r="L627" s="1295"/>
      <c r="M627" s="1372" t="str">
        <f t="shared" si="36"/>
        <v>Developer Fee, Deferral</v>
      </c>
      <c r="N627" s="1372"/>
      <c r="O627" s="1372"/>
      <c r="P627" s="1372"/>
      <c r="Q627" s="1373"/>
      <c r="R627" s="1374"/>
      <c r="S627" s="1375"/>
      <c r="T627" s="1416"/>
      <c r="U627" s="1417"/>
      <c r="V627" s="1418"/>
      <c r="W627" s="1428"/>
      <c r="X627" s="1429"/>
      <c r="Y627" s="1430"/>
      <c r="Z627" s="1413" t="s">
        <v>787</v>
      </c>
      <c r="AA627" s="1414"/>
      <c r="AB627" s="1415"/>
      <c r="AC627" s="1326"/>
      <c r="AD627" s="1327"/>
      <c r="AE627" s="1328"/>
      <c r="AF627" s="1208"/>
      <c r="AG627" s="1209"/>
      <c r="AH627" s="1209"/>
      <c r="AI627" s="1209"/>
      <c r="AJ627" s="1210"/>
      <c r="AK627" s="1369"/>
      <c r="AL627" s="1370"/>
      <c r="AM627" s="1370"/>
      <c r="AN627" s="1371"/>
      <c r="AO627" s="1211">
        <f t="shared" si="38"/>
        <v>300000</v>
      </c>
      <c r="AP627" s="1211"/>
      <c r="AQ627" s="1211"/>
      <c r="AR627" s="1211"/>
      <c r="AS627" s="1211"/>
      <c r="AT627" s="945" t="str">
        <f t="shared" si="34"/>
        <v/>
      </c>
      <c r="AU627" s="43"/>
      <c r="AV627" s="43"/>
      <c r="AW627" s="43"/>
      <c r="AX627" s="43"/>
      <c r="AY627" s="43"/>
      <c r="AZ627" s="43"/>
      <c r="BE627" s="41"/>
      <c r="BF627" s="41"/>
      <c r="BG627" s="1271">
        <f>SUM(BG592:BH626)</f>
        <v>46</v>
      </c>
      <c r="BH627" s="1273"/>
      <c r="BI627" s="41"/>
      <c r="BJ627" s="41"/>
      <c r="BK627" s="1271">
        <f>SUM(BK592:BL626)</f>
        <v>11</v>
      </c>
      <c r="BL627" s="1273"/>
      <c r="BN627" s="41" t="s">
        <v>1721</v>
      </c>
      <c r="BO627" s="41"/>
      <c r="BP627" s="41"/>
      <c r="BQ627" s="41"/>
      <c r="BR627" s="466">
        <f>BN626*1</f>
        <v>0</v>
      </c>
      <c r="BS627" s="41"/>
      <c r="BT627" s="41"/>
      <c r="BU627" s="41"/>
      <c r="BV627" s="41"/>
      <c r="BW627" s="466">
        <f>BS626*1</f>
        <v>32</v>
      </c>
      <c r="BX627" s="41"/>
      <c r="BY627" s="41"/>
      <c r="BZ627" s="41"/>
      <c r="CA627" s="41"/>
      <c r="CB627" s="466">
        <f>BX626*2</f>
        <v>42</v>
      </c>
      <c r="CC627" s="41"/>
      <c r="CD627" s="41"/>
      <c r="CE627" s="41"/>
      <c r="CF627" s="41"/>
      <c r="CG627" s="466">
        <f>CC626*3</f>
        <v>54</v>
      </c>
      <c r="CH627" s="41"/>
      <c r="CI627" s="41"/>
      <c r="CJ627" s="41"/>
      <c r="CK627" s="41"/>
      <c r="CL627" s="466">
        <f>CH626*4</f>
        <v>0</v>
      </c>
      <c r="CM627" s="41"/>
      <c r="CN627" s="41"/>
      <c r="CO627" s="41"/>
      <c r="CP627" s="41"/>
      <c r="CQ627" s="465">
        <f>CM626*5</f>
        <v>0</v>
      </c>
      <c r="CS627" s="1271">
        <f>SUM(CS592:CW626)</f>
        <v>0</v>
      </c>
      <c r="CT627" s="1272"/>
      <c r="CU627" s="1272"/>
      <c r="CV627" s="1272"/>
      <c r="CW627" s="1273"/>
      <c r="CX627" s="1271">
        <f>SUM(CX592:DB626)</f>
        <v>5</v>
      </c>
      <c r="CY627" s="1272"/>
      <c r="CZ627" s="1272"/>
      <c r="DA627" s="1272"/>
      <c r="DB627" s="1273"/>
      <c r="DC627" s="1271">
        <f>SUM(DC592:DG626)</f>
        <v>4</v>
      </c>
      <c r="DD627" s="1272"/>
      <c r="DE627" s="1272"/>
      <c r="DF627" s="1272"/>
      <c r="DG627" s="1273"/>
      <c r="DH627" s="1271">
        <f>SUM(DH592:DL626)</f>
        <v>2</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3.2" customHeight="1" thickBot="1">
      <c r="B628" s="58" t="s">
        <v>741</v>
      </c>
      <c r="C628" s="1295"/>
      <c r="D628" s="1295"/>
      <c r="E628" s="1295"/>
      <c r="F628" s="1295"/>
      <c r="G628" s="1295"/>
      <c r="H628" s="1295"/>
      <c r="I628" s="1295"/>
      <c r="J628" s="1295"/>
      <c r="K628" s="1295"/>
      <c r="L628" s="1295"/>
      <c r="M628" s="1372"/>
      <c r="N628" s="1372"/>
      <c r="O628" s="1372"/>
      <c r="P628" s="1372"/>
      <c r="Q628" s="1373"/>
      <c r="R628" s="1374"/>
      <c r="S628" s="1375"/>
      <c r="T628" s="1416"/>
      <c r="U628" s="1417"/>
      <c r="V628" s="1418"/>
      <c r="W628" s="1428"/>
      <c r="X628" s="1429"/>
      <c r="Y628" s="1430"/>
      <c r="Z628" s="1413"/>
      <c r="AA628" s="1414"/>
      <c r="AB628" s="1415"/>
      <c r="AC628" s="1326"/>
      <c r="AD628" s="1327"/>
      <c r="AE628" s="1328"/>
      <c r="AF628" s="1208"/>
      <c r="AG628" s="1209"/>
      <c r="AH628" s="1209"/>
      <c r="AI628" s="1209"/>
      <c r="AJ628" s="1210"/>
      <c r="AK628" s="1369"/>
      <c r="AL628" s="1370"/>
      <c r="AM628" s="1370"/>
      <c r="AN628" s="1371"/>
      <c r="AO628" s="1211"/>
      <c r="AP628" s="1211"/>
      <c r="AQ628" s="1211"/>
      <c r="AR628" s="1211"/>
      <c r="AS628" s="1211"/>
      <c r="AT628" s="945" t="str">
        <f t="shared" si="34"/>
        <v/>
      </c>
      <c r="AU628" s="43"/>
      <c r="AV628" s="43"/>
      <c r="AW628" s="43"/>
      <c r="AX628" s="43"/>
      <c r="AY628" s="43"/>
      <c r="AZ628" s="43"/>
      <c r="BN628" s="41" t="s">
        <v>862</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1722</v>
      </c>
      <c r="CQ628" s="467">
        <f>BR627+BW627+CB627+CG627+CL627+CQ627</f>
        <v>128</v>
      </c>
      <c r="CR628" s="41"/>
      <c r="CS628" s="41"/>
    </row>
    <row r="629" spans="1:126" ht="13.2" customHeight="1">
      <c r="B629" s="58" t="s">
        <v>544</v>
      </c>
      <c r="C629" s="1295"/>
      <c r="D629" s="1295"/>
      <c r="E629" s="1295"/>
      <c r="F629" s="1295"/>
      <c r="G629" s="1295"/>
      <c r="H629" s="1295"/>
      <c r="I629" s="1295"/>
      <c r="J629" s="1295"/>
      <c r="K629" s="1295"/>
      <c r="L629" s="1295"/>
      <c r="M629" s="1372"/>
      <c r="N629" s="1372"/>
      <c r="O629" s="1372"/>
      <c r="P629" s="1372"/>
      <c r="Q629" s="1373"/>
      <c r="R629" s="1374"/>
      <c r="S629" s="1375"/>
      <c r="T629" s="1416"/>
      <c r="U629" s="1417"/>
      <c r="V629" s="1418"/>
      <c r="W629" s="1428"/>
      <c r="X629" s="1429"/>
      <c r="Y629" s="1430"/>
      <c r="Z629" s="1413"/>
      <c r="AA629" s="1414"/>
      <c r="AB629" s="1415"/>
      <c r="AC629" s="1326"/>
      <c r="AD629" s="1327"/>
      <c r="AE629" s="1328"/>
      <c r="AF629" s="1208"/>
      <c r="AG629" s="1209"/>
      <c r="AH629" s="1209"/>
      <c r="AI629" s="1209"/>
      <c r="AJ629" s="1210"/>
      <c r="AK629" s="1369"/>
      <c r="AL629" s="1370"/>
      <c r="AM629" s="1370"/>
      <c r="AN629" s="1371"/>
      <c r="AO629" s="1211"/>
      <c r="AP629" s="1211"/>
      <c r="AQ629" s="1211"/>
      <c r="AR629" s="1211"/>
      <c r="AS629" s="1211"/>
      <c r="AT629" s="945" t="str">
        <f t="shared" si="34"/>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3.2" customHeight="1">
      <c r="B630" s="58" t="s">
        <v>173</v>
      </c>
      <c r="C630" s="1295"/>
      <c r="D630" s="1295"/>
      <c r="E630" s="1295"/>
      <c r="F630" s="1295"/>
      <c r="G630" s="1295"/>
      <c r="H630" s="1295"/>
      <c r="I630" s="1295"/>
      <c r="J630" s="1295"/>
      <c r="K630" s="1295"/>
      <c r="L630" s="1295"/>
      <c r="M630" s="1372"/>
      <c r="N630" s="1372"/>
      <c r="O630" s="1372"/>
      <c r="P630" s="1372"/>
      <c r="Q630" s="1373"/>
      <c r="R630" s="1374"/>
      <c r="S630" s="1375"/>
      <c r="T630" s="1416"/>
      <c r="U630" s="1417"/>
      <c r="V630" s="1418"/>
      <c r="W630" s="1428"/>
      <c r="X630" s="1429"/>
      <c r="Y630" s="1430"/>
      <c r="Z630" s="1413"/>
      <c r="AA630" s="1414"/>
      <c r="AB630" s="1415"/>
      <c r="AC630" s="1326"/>
      <c r="AD630" s="1327"/>
      <c r="AE630" s="1328"/>
      <c r="AF630" s="1208"/>
      <c r="AG630" s="1209"/>
      <c r="AH630" s="1209"/>
      <c r="AI630" s="1209"/>
      <c r="AJ630" s="1210"/>
      <c r="AK630" s="1369"/>
      <c r="AL630" s="1370"/>
      <c r="AM630" s="1370"/>
      <c r="AN630" s="1371"/>
      <c r="AO630" s="1211"/>
      <c r="AP630" s="1211"/>
      <c r="AQ630" s="1211"/>
      <c r="AR630" s="1211"/>
      <c r="AS630" s="1211"/>
      <c r="AT630" s="945" t="str">
        <f t="shared" si="34"/>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3.2" customHeight="1">
      <c r="B631" s="58" t="s">
        <v>32</v>
      </c>
      <c r="C631" s="1295"/>
      <c r="D631" s="1295"/>
      <c r="E631" s="1295"/>
      <c r="F631" s="1295"/>
      <c r="G631" s="1295"/>
      <c r="H631" s="1295"/>
      <c r="I631" s="1295"/>
      <c r="J631" s="1295"/>
      <c r="K631" s="1295"/>
      <c r="L631" s="1295"/>
      <c r="M631" s="1372"/>
      <c r="N631" s="1372"/>
      <c r="O631" s="1372"/>
      <c r="P631" s="1372"/>
      <c r="Q631" s="1373"/>
      <c r="R631" s="1374"/>
      <c r="S631" s="1375"/>
      <c r="T631" s="1416"/>
      <c r="U631" s="1417"/>
      <c r="V631" s="1418"/>
      <c r="W631" s="1428"/>
      <c r="X631" s="1429"/>
      <c r="Y631" s="1430"/>
      <c r="Z631" s="1413"/>
      <c r="AA631" s="1414"/>
      <c r="AB631" s="1415"/>
      <c r="AC631" s="1326"/>
      <c r="AD631" s="1327"/>
      <c r="AE631" s="1328"/>
      <c r="AF631" s="1208"/>
      <c r="AG631" s="1209"/>
      <c r="AH631" s="1209"/>
      <c r="AI631" s="1209"/>
      <c r="AJ631" s="1210"/>
      <c r="AK631" s="1369"/>
      <c r="AL631" s="1370"/>
      <c r="AM631" s="1370"/>
      <c r="AN631" s="1371"/>
      <c r="AO631" s="1211"/>
      <c r="AP631" s="1211"/>
      <c r="AQ631" s="1211"/>
      <c r="AR631" s="1211"/>
      <c r="AS631" s="1211"/>
      <c r="AT631" s="945" t="str">
        <f t="shared" si="34"/>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3.2" customHeight="1">
      <c r="B632" s="58" t="s">
        <v>33</v>
      </c>
      <c r="C632" s="1295"/>
      <c r="D632" s="1295"/>
      <c r="E632" s="1295"/>
      <c r="F632" s="1295"/>
      <c r="G632" s="1295"/>
      <c r="H632" s="1295"/>
      <c r="I632" s="1295"/>
      <c r="J632" s="1295"/>
      <c r="K632" s="1295"/>
      <c r="L632" s="1295"/>
      <c r="M632" s="1372"/>
      <c r="N632" s="1372"/>
      <c r="O632" s="1372"/>
      <c r="P632" s="1372"/>
      <c r="Q632" s="1373"/>
      <c r="R632" s="1374"/>
      <c r="S632" s="1375"/>
      <c r="T632" s="1416"/>
      <c r="U632" s="1417"/>
      <c r="V632" s="1418"/>
      <c r="W632" s="1428"/>
      <c r="X632" s="1429"/>
      <c r="Y632" s="1430"/>
      <c r="Z632" s="1413"/>
      <c r="AA632" s="1414"/>
      <c r="AB632" s="1415"/>
      <c r="AC632" s="1326"/>
      <c r="AD632" s="1327"/>
      <c r="AE632" s="1328"/>
      <c r="AF632" s="1208"/>
      <c r="AG632" s="1209"/>
      <c r="AH632" s="1209"/>
      <c r="AI632" s="1209"/>
      <c r="AJ632" s="1210"/>
      <c r="AK632" s="1369"/>
      <c r="AL632" s="1370"/>
      <c r="AM632" s="1370"/>
      <c r="AN632" s="1371"/>
      <c r="AO632" s="1211"/>
      <c r="AP632" s="1211"/>
      <c r="AQ632" s="1211"/>
      <c r="AR632" s="1211"/>
      <c r="AS632" s="1211"/>
      <c r="AT632" s="945" t="str">
        <f t="shared" si="34"/>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3.2" customHeight="1">
      <c r="B633" s="1182" t="s">
        <v>357</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28123726</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6">
        <f>BN633+BS633+BX633+CC633+CH633+CM633</f>
        <v>1</v>
      </c>
      <c r="CT633" s="63" t="s">
        <v>1979</v>
      </c>
      <c r="CU633" s="41"/>
    </row>
    <row r="634" spans="1:126" ht="13.2" customHeight="1">
      <c r="B634" s="1182" t="s">
        <v>358</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28984284</v>
      </c>
      <c r="AP634" s="1200"/>
      <c r="AQ634" s="1200"/>
      <c r="AR634" s="1200"/>
      <c r="AS634" s="1201"/>
      <c r="AT634" s="43"/>
      <c r="AU634" s="43"/>
      <c r="AV634" s="43"/>
      <c r="AW634" s="43"/>
      <c r="AX634" s="43"/>
      <c r="AY634" s="43"/>
      <c r="AZ634" s="43"/>
      <c r="BN634" s="43" t="s">
        <v>863</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2" customHeight="1">
      <c r="B635" s="1443" t="s">
        <v>938</v>
      </c>
      <c r="C635" s="1444"/>
      <c r="D635" s="1444"/>
      <c r="E635" s="1444"/>
      <c r="F635" s="1444"/>
      <c r="G635" s="1444"/>
      <c r="H635" s="1444"/>
      <c r="I635" s="1444"/>
      <c r="J635" s="1444"/>
      <c r="K635" s="1444"/>
      <c r="L635" s="1444"/>
      <c r="M635" s="1444"/>
      <c r="N635" s="1444"/>
      <c r="O635" s="1444"/>
      <c r="P635" s="1444"/>
      <c r="Q635" s="1444"/>
      <c r="R635" s="1444"/>
      <c r="S635" s="1444"/>
      <c r="T635" s="1444"/>
      <c r="U635" s="1444"/>
      <c r="V635" s="1444"/>
      <c r="W635" s="1444"/>
      <c r="X635" s="1444"/>
      <c r="Y635" s="1444"/>
      <c r="Z635" s="1444"/>
      <c r="AA635" s="1444"/>
      <c r="AB635" s="1444"/>
      <c r="AC635" s="1444"/>
      <c r="AD635" s="1444"/>
      <c r="AE635" s="1444"/>
      <c r="AF635" s="1444"/>
      <c r="AG635" s="1444"/>
      <c r="AH635" s="1444"/>
      <c r="AI635" s="1444"/>
      <c r="AJ635" s="1444"/>
      <c r="AK635" s="1444"/>
      <c r="AL635" s="1444"/>
      <c r="AM635" s="1444"/>
      <c r="AN635" s="1445"/>
      <c r="AO635" s="1193">
        <f>AO633+AO634</f>
        <v>57108010</v>
      </c>
      <c r="AP635" s="1194"/>
      <c r="AQ635" s="1194"/>
      <c r="AR635" s="1194"/>
      <c r="AS635" s="1195"/>
      <c r="AT635" s="43"/>
      <c r="AU635" s="43"/>
      <c r="AV635" s="43"/>
      <c r="AW635" s="43"/>
      <c r="AX635" s="43"/>
      <c r="AY635" s="43"/>
      <c r="AZ635" s="43"/>
      <c r="BN635" s="1265">
        <f t="shared" ref="BN635:BN644" si="44">IF(J766="SRO/Studio",O766,0)</f>
        <v>0</v>
      </c>
      <c r="BO635" s="1266"/>
      <c r="BP635" s="1266"/>
      <c r="BQ635" s="1266"/>
      <c r="BR635" s="1267"/>
      <c r="BS635" s="1265">
        <f t="shared" ref="BS635:BS644" si="45">IF(J766="1 Bedroom",O766,0)</f>
        <v>0</v>
      </c>
      <c r="BT635" s="1266"/>
      <c r="BU635" s="1266"/>
      <c r="BV635" s="1266"/>
      <c r="BW635" s="1267"/>
      <c r="BX635" s="1265">
        <f t="shared" ref="BX635:BX644" si="46">IF(J766="2 Bedrooms",O766,0)</f>
        <v>0</v>
      </c>
      <c r="BY635" s="1266"/>
      <c r="BZ635" s="1266"/>
      <c r="CA635" s="1266"/>
      <c r="CB635" s="1267"/>
      <c r="CC635" s="1265">
        <f t="shared" ref="CC635:CC644" si="47">IF(J766="3 Bedrooms",O766,0)</f>
        <v>0</v>
      </c>
      <c r="CD635" s="1266"/>
      <c r="CE635" s="1266"/>
      <c r="CF635" s="1266"/>
      <c r="CG635" s="1267"/>
      <c r="CH635" s="1265">
        <f t="shared" ref="CH635:CH644" si="48">IF(J766="4 Bedrooms",O766,0)</f>
        <v>0</v>
      </c>
      <c r="CI635" s="1266"/>
      <c r="CJ635" s="1266"/>
      <c r="CK635" s="1266"/>
      <c r="CL635" s="1267"/>
      <c r="CM635" s="1265">
        <f t="shared" ref="CM635:CM644" si="49">IF(J766="5 Bedrooms",O766,0)</f>
        <v>0</v>
      </c>
      <c r="CN635" s="1266"/>
      <c r="CO635" s="1266"/>
      <c r="CP635" s="1266"/>
      <c r="CQ635" s="1267"/>
      <c r="CR635" s="41"/>
      <c r="CS635" s="41"/>
    </row>
    <row r="636" spans="1:126" ht="13.2"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44"/>
        <v>0</v>
      </c>
      <c r="BO636" s="1266"/>
      <c r="BP636" s="1266"/>
      <c r="BQ636" s="1266"/>
      <c r="BR636" s="1267"/>
      <c r="BS636" s="1265">
        <f t="shared" si="45"/>
        <v>0</v>
      </c>
      <c r="BT636" s="1266"/>
      <c r="BU636" s="1266"/>
      <c r="BV636" s="1266"/>
      <c r="BW636" s="1267"/>
      <c r="BX636" s="1265">
        <f t="shared" si="46"/>
        <v>0</v>
      </c>
      <c r="BY636" s="1266"/>
      <c r="BZ636" s="1266"/>
      <c r="CA636" s="1266"/>
      <c r="CB636" s="1267"/>
      <c r="CC636" s="1265">
        <f t="shared" si="47"/>
        <v>0</v>
      </c>
      <c r="CD636" s="1266"/>
      <c r="CE636" s="1266"/>
      <c r="CF636" s="1266"/>
      <c r="CG636" s="1267"/>
      <c r="CH636" s="1265">
        <f t="shared" si="48"/>
        <v>0</v>
      </c>
      <c r="CI636" s="1266"/>
      <c r="CJ636" s="1266"/>
      <c r="CK636" s="1266"/>
      <c r="CL636" s="1267"/>
      <c r="CM636" s="1265">
        <f t="shared" si="49"/>
        <v>0</v>
      </c>
      <c r="CN636" s="1266"/>
      <c r="CO636" s="1266"/>
      <c r="CP636" s="1266"/>
      <c r="CQ636" s="1267"/>
      <c r="CR636" s="41"/>
      <c r="CS636" s="41"/>
    </row>
    <row r="637" spans="1:126" ht="13.2" customHeight="1">
      <c r="A637" s="61" t="s">
        <v>898</v>
      </c>
      <c r="B637" t="s">
        <v>81</v>
      </c>
      <c r="G637" s="1260" t="str">
        <f>C621</f>
        <v>Chase Perm Loan</v>
      </c>
      <c r="H637" s="1260"/>
      <c r="I637" s="1260"/>
      <c r="J637" s="1260"/>
      <c r="K637" s="1260"/>
      <c r="L637" s="1260"/>
      <c r="M637" s="1260"/>
      <c r="N637" s="1260"/>
      <c r="O637" s="1260"/>
      <c r="P637" s="1260"/>
      <c r="Q637" s="1260"/>
      <c r="R637" s="1260"/>
      <c r="S637" s="12"/>
      <c r="T637" s="61" t="s">
        <v>899</v>
      </c>
      <c r="U637" t="s">
        <v>81</v>
      </c>
      <c r="Z637" s="1260" t="str">
        <f>C622</f>
        <v>HCD - Joe Serna</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44"/>
        <v>0</v>
      </c>
      <c r="BO637" s="1266"/>
      <c r="BP637" s="1266"/>
      <c r="BQ637" s="1266"/>
      <c r="BR637" s="1267"/>
      <c r="BS637" s="1265">
        <f t="shared" si="45"/>
        <v>0</v>
      </c>
      <c r="BT637" s="1266"/>
      <c r="BU637" s="1266"/>
      <c r="BV637" s="1266"/>
      <c r="BW637" s="1267"/>
      <c r="BX637" s="1265">
        <f t="shared" si="46"/>
        <v>0</v>
      </c>
      <c r="BY637" s="1266"/>
      <c r="BZ637" s="1266"/>
      <c r="CA637" s="1266"/>
      <c r="CB637" s="1267"/>
      <c r="CC637" s="1265">
        <f t="shared" si="47"/>
        <v>0</v>
      </c>
      <c r="CD637" s="1266"/>
      <c r="CE637" s="1266"/>
      <c r="CF637" s="1266"/>
      <c r="CG637" s="1267"/>
      <c r="CH637" s="1265">
        <f t="shared" si="48"/>
        <v>0</v>
      </c>
      <c r="CI637" s="1266"/>
      <c r="CJ637" s="1266"/>
      <c r="CK637" s="1266"/>
      <c r="CL637" s="1267"/>
      <c r="CM637" s="1265">
        <f t="shared" si="49"/>
        <v>0</v>
      </c>
      <c r="CN637" s="1266"/>
      <c r="CO637" s="1266"/>
      <c r="CP637" s="1266"/>
      <c r="CQ637" s="1267"/>
      <c r="CR637" s="41"/>
      <c r="CS637" s="41"/>
    </row>
    <row r="638" spans="1:126" ht="13.2" customHeight="1">
      <c r="A638" s="4"/>
      <c r="B638" t="s">
        <v>371</v>
      </c>
      <c r="G638" s="1107" t="s">
        <v>2466</v>
      </c>
      <c r="H638" s="1107"/>
      <c r="I638" s="1107"/>
      <c r="J638" s="1107"/>
      <c r="K638" s="1107"/>
      <c r="L638" s="1107"/>
      <c r="M638" s="1107"/>
      <c r="N638" s="1107"/>
      <c r="O638" s="1107"/>
      <c r="P638" s="1107"/>
      <c r="Q638" s="1107"/>
      <c r="R638" s="1107"/>
      <c r="S638" s="12"/>
      <c r="T638" s="4"/>
      <c r="U638" t="s">
        <v>371</v>
      </c>
      <c r="Z638" s="1107" t="s">
        <v>2469</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44"/>
        <v>0</v>
      </c>
      <c r="BO638" s="1266"/>
      <c r="BP638" s="1266"/>
      <c r="BQ638" s="1266"/>
      <c r="BR638" s="1267"/>
      <c r="BS638" s="1265">
        <f t="shared" si="45"/>
        <v>0</v>
      </c>
      <c r="BT638" s="1266"/>
      <c r="BU638" s="1266"/>
      <c r="BV638" s="1266"/>
      <c r="BW638" s="1267"/>
      <c r="BX638" s="1265">
        <f t="shared" si="46"/>
        <v>0</v>
      </c>
      <c r="BY638" s="1266"/>
      <c r="BZ638" s="1266"/>
      <c r="CA638" s="1266"/>
      <c r="CB638" s="1267"/>
      <c r="CC638" s="1265">
        <f t="shared" si="47"/>
        <v>0</v>
      </c>
      <c r="CD638" s="1266"/>
      <c r="CE638" s="1266"/>
      <c r="CF638" s="1266"/>
      <c r="CG638" s="1267"/>
      <c r="CH638" s="1265">
        <f t="shared" si="48"/>
        <v>0</v>
      </c>
      <c r="CI638" s="1266"/>
      <c r="CJ638" s="1266"/>
      <c r="CK638" s="1266"/>
      <c r="CL638" s="1267"/>
      <c r="CM638" s="1265">
        <f t="shared" si="49"/>
        <v>0</v>
      </c>
      <c r="CN638" s="1266"/>
      <c r="CO638" s="1266"/>
      <c r="CP638" s="1266"/>
      <c r="CQ638" s="1267"/>
      <c r="CR638" s="41"/>
      <c r="CS638" s="41"/>
    </row>
    <row r="639" spans="1:126" ht="13.2" customHeight="1">
      <c r="A639" s="4"/>
      <c r="B639" t="s">
        <v>429</v>
      </c>
      <c r="G639" s="1107" t="s">
        <v>113</v>
      </c>
      <c r="H639" s="1107"/>
      <c r="I639" s="1107"/>
      <c r="J639" s="1107"/>
      <c r="K639" s="1107"/>
      <c r="L639" s="1107"/>
      <c r="M639" s="1107"/>
      <c r="N639" s="1107"/>
      <c r="O639" s="1107"/>
      <c r="P639" s="1107"/>
      <c r="Q639" s="1107"/>
      <c r="R639" s="1107"/>
      <c r="T639" s="4"/>
      <c r="U639" t="s">
        <v>429</v>
      </c>
      <c r="Z639" s="1258" t="s">
        <v>109</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44"/>
        <v>0</v>
      </c>
      <c r="BO639" s="1266"/>
      <c r="BP639" s="1266"/>
      <c r="BQ639" s="1266"/>
      <c r="BR639" s="1267"/>
      <c r="BS639" s="1265">
        <f t="shared" si="45"/>
        <v>0</v>
      </c>
      <c r="BT639" s="1266"/>
      <c r="BU639" s="1266"/>
      <c r="BV639" s="1266"/>
      <c r="BW639" s="1267"/>
      <c r="BX639" s="1265">
        <f t="shared" si="46"/>
        <v>0</v>
      </c>
      <c r="BY639" s="1266"/>
      <c r="BZ639" s="1266"/>
      <c r="CA639" s="1266"/>
      <c r="CB639" s="1267"/>
      <c r="CC639" s="1265">
        <f t="shared" si="47"/>
        <v>0</v>
      </c>
      <c r="CD639" s="1266"/>
      <c r="CE639" s="1266"/>
      <c r="CF639" s="1266"/>
      <c r="CG639" s="1267"/>
      <c r="CH639" s="1265">
        <f t="shared" si="48"/>
        <v>0</v>
      </c>
      <c r="CI639" s="1266"/>
      <c r="CJ639" s="1266"/>
      <c r="CK639" s="1266"/>
      <c r="CL639" s="1267"/>
      <c r="CM639" s="1265">
        <f t="shared" si="49"/>
        <v>0</v>
      </c>
      <c r="CN639" s="1266"/>
      <c r="CO639" s="1266"/>
      <c r="CP639" s="1266"/>
      <c r="CQ639" s="1267"/>
      <c r="CR639" s="41"/>
      <c r="CS639" s="41"/>
    </row>
    <row r="640" spans="1:126" ht="13.2" customHeight="1">
      <c r="A640" s="4"/>
      <c r="B640" t="s">
        <v>831</v>
      </c>
      <c r="G640" s="1107" t="s">
        <v>2464</v>
      </c>
      <c r="H640" s="1107"/>
      <c r="I640" s="1107"/>
      <c r="J640" s="1107"/>
      <c r="K640" s="1107"/>
      <c r="L640" s="1107"/>
      <c r="M640" s="1107"/>
      <c r="N640" s="1107"/>
      <c r="O640" s="1107"/>
      <c r="P640" s="1107"/>
      <c r="Q640" s="1107"/>
      <c r="R640" s="1107"/>
      <c r="S640" s="12"/>
      <c r="T640" s="4"/>
      <c r="U640" t="s">
        <v>831</v>
      </c>
      <c r="Z640" s="1258" t="s">
        <v>2467</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44"/>
        <v>0</v>
      </c>
      <c r="BO640" s="1266"/>
      <c r="BP640" s="1266"/>
      <c r="BQ640" s="1266"/>
      <c r="BR640" s="1267"/>
      <c r="BS640" s="1265">
        <f t="shared" si="45"/>
        <v>0</v>
      </c>
      <c r="BT640" s="1266"/>
      <c r="BU640" s="1266"/>
      <c r="BV640" s="1266"/>
      <c r="BW640" s="1267"/>
      <c r="BX640" s="1265">
        <f t="shared" si="46"/>
        <v>0</v>
      </c>
      <c r="BY640" s="1266"/>
      <c r="BZ640" s="1266"/>
      <c r="CA640" s="1266"/>
      <c r="CB640" s="1267"/>
      <c r="CC640" s="1265">
        <f t="shared" si="47"/>
        <v>0</v>
      </c>
      <c r="CD640" s="1266"/>
      <c r="CE640" s="1266"/>
      <c r="CF640" s="1266"/>
      <c r="CG640" s="1267"/>
      <c r="CH640" s="1265">
        <f t="shared" si="48"/>
        <v>0</v>
      </c>
      <c r="CI640" s="1266"/>
      <c r="CJ640" s="1266"/>
      <c r="CK640" s="1266"/>
      <c r="CL640" s="1267"/>
      <c r="CM640" s="1265">
        <f t="shared" si="49"/>
        <v>0</v>
      </c>
      <c r="CN640" s="1266"/>
      <c r="CO640" s="1266"/>
      <c r="CP640" s="1266"/>
      <c r="CQ640" s="1267"/>
      <c r="CR640" s="41"/>
      <c r="CS640" s="41"/>
    </row>
    <row r="641" spans="1:97" ht="13.2" customHeight="1">
      <c r="A641" s="4"/>
      <c r="B641" t="s">
        <v>648</v>
      </c>
      <c r="G641" s="1264" t="s">
        <v>2465</v>
      </c>
      <c r="H641" s="1264"/>
      <c r="I641" s="1264"/>
      <c r="J641" s="1264"/>
      <c r="K641" s="1264"/>
      <c r="L641" s="1264"/>
      <c r="O641" s="42" t="s">
        <v>816</v>
      </c>
      <c r="P641" s="1259"/>
      <c r="Q641" s="1259"/>
      <c r="R641" s="1259"/>
      <c r="S641" s="14"/>
      <c r="T641" s="4"/>
      <c r="U641" t="s">
        <v>648</v>
      </c>
      <c r="Z641" s="1264" t="s">
        <v>2468</v>
      </c>
      <c r="AA641" s="1264"/>
      <c r="AB641" s="1264"/>
      <c r="AC641" s="1264"/>
      <c r="AD641" s="1264"/>
      <c r="AE641" s="1264"/>
      <c r="AH641" s="42" t="s">
        <v>816</v>
      </c>
      <c r="AI641" s="1259"/>
      <c r="AJ641" s="1259"/>
      <c r="AK641" s="1259"/>
      <c r="AM641" s="43"/>
      <c r="AN641" s="43"/>
      <c r="AO641" s="43"/>
      <c r="AP641" s="43"/>
      <c r="AQ641" s="43"/>
      <c r="AR641" s="43"/>
      <c r="AS641" s="43"/>
      <c r="AT641" s="43"/>
      <c r="AU641" s="43"/>
      <c r="AV641" s="43"/>
      <c r="AW641" s="43"/>
      <c r="AX641" s="43"/>
      <c r="AY641" s="43"/>
      <c r="AZ641" s="43"/>
      <c r="BN641" s="1265">
        <f t="shared" si="44"/>
        <v>0</v>
      </c>
      <c r="BO641" s="1266"/>
      <c r="BP641" s="1266"/>
      <c r="BQ641" s="1266"/>
      <c r="BR641" s="1267"/>
      <c r="BS641" s="1265">
        <f t="shared" si="45"/>
        <v>0</v>
      </c>
      <c r="BT641" s="1266"/>
      <c r="BU641" s="1266"/>
      <c r="BV641" s="1266"/>
      <c r="BW641" s="1267"/>
      <c r="BX641" s="1265">
        <f t="shared" si="46"/>
        <v>0</v>
      </c>
      <c r="BY641" s="1266"/>
      <c r="BZ641" s="1266"/>
      <c r="CA641" s="1266"/>
      <c r="CB641" s="1267"/>
      <c r="CC641" s="1265">
        <f t="shared" si="47"/>
        <v>0</v>
      </c>
      <c r="CD641" s="1266"/>
      <c r="CE641" s="1266"/>
      <c r="CF641" s="1266"/>
      <c r="CG641" s="1267"/>
      <c r="CH641" s="1265">
        <f t="shared" si="48"/>
        <v>0</v>
      </c>
      <c r="CI641" s="1266"/>
      <c r="CJ641" s="1266"/>
      <c r="CK641" s="1266"/>
      <c r="CL641" s="1267"/>
      <c r="CM641" s="1265">
        <f t="shared" si="49"/>
        <v>0</v>
      </c>
      <c r="CN641" s="1266"/>
      <c r="CO641" s="1266"/>
      <c r="CP641" s="1266"/>
      <c r="CQ641" s="1267"/>
      <c r="CR641" s="41"/>
      <c r="CS641" s="41"/>
    </row>
    <row r="642" spans="1:97" ht="13.2" customHeight="1">
      <c r="A642" s="4"/>
      <c r="B642" t="s">
        <v>832</v>
      </c>
      <c r="H642" s="1107" t="str">
        <f>+M621</f>
        <v>Loan, Conventional</v>
      </c>
      <c r="I642" s="1107"/>
      <c r="J642" s="1107"/>
      <c r="K642" s="1107"/>
      <c r="L642" s="1107"/>
      <c r="M642" s="1107"/>
      <c r="N642" s="1107"/>
      <c r="O642" s="1107"/>
      <c r="P642" s="1107"/>
      <c r="Q642" s="1107"/>
      <c r="R642" s="1107"/>
      <c r="S642" s="12"/>
      <c r="T642" s="4"/>
      <c r="U642" t="s">
        <v>832</v>
      </c>
      <c r="AA642" s="1107" t="str">
        <f>+M622</f>
        <v>Loan, Residual Receipts</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44"/>
        <v>0</v>
      </c>
      <c r="BO642" s="1266"/>
      <c r="BP642" s="1266"/>
      <c r="BQ642" s="1266"/>
      <c r="BR642" s="1267"/>
      <c r="BS642" s="1265">
        <f t="shared" si="45"/>
        <v>0</v>
      </c>
      <c r="BT642" s="1266"/>
      <c r="BU642" s="1266"/>
      <c r="BV642" s="1266"/>
      <c r="BW642" s="1267"/>
      <c r="BX642" s="1265">
        <f t="shared" si="46"/>
        <v>0</v>
      </c>
      <c r="BY642" s="1266"/>
      <c r="BZ642" s="1266"/>
      <c r="CA642" s="1266"/>
      <c r="CB642" s="1267"/>
      <c r="CC642" s="1265">
        <f t="shared" si="47"/>
        <v>0</v>
      </c>
      <c r="CD642" s="1266"/>
      <c r="CE642" s="1266"/>
      <c r="CF642" s="1266"/>
      <c r="CG642" s="1267"/>
      <c r="CH642" s="1265">
        <f t="shared" si="48"/>
        <v>0</v>
      </c>
      <c r="CI642" s="1266"/>
      <c r="CJ642" s="1266"/>
      <c r="CK642" s="1266"/>
      <c r="CL642" s="1267"/>
      <c r="CM642" s="1265">
        <f t="shared" si="49"/>
        <v>0</v>
      </c>
      <c r="CN642" s="1266"/>
      <c r="CO642" s="1266"/>
      <c r="CP642" s="1266"/>
      <c r="CQ642" s="1267"/>
      <c r="CR642" s="41"/>
      <c r="CS642" s="41"/>
    </row>
    <row r="643" spans="1:97" ht="13.2" customHeight="1">
      <c r="A643" s="5"/>
      <c r="B643" t="s">
        <v>834</v>
      </c>
      <c r="N643" s="1098" t="s">
        <v>107</v>
      </c>
      <c r="O643" s="1098"/>
      <c r="T643" s="4"/>
      <c r="U643" t="s">
        <v>834</v>
      </c>
      <c r="AG643" s="1098" t="s">
        <v>107</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44"/>
        <v>0</v>
      </c>
      <c r="BO643" s="1266"/>
      <c r="BP643" s="1266"/>
      <c r="BQ643" s="1266"/>
      <c r="BR643" s="1267"/>
      <c r="BS643" s="1265">
        <f t="shared" si="45"/>
        <v>0</v>
      </c>
      <c r="BT643" s="1266"/>
      <c r="BU643" s="1266"/>
      <c r="BV643" s="1266"/>
      <c r="BW643" s="1267"/>
      <c r="BX643" s="1265">
        <f t="shared" si="46"/>
        <v>0</v>
      </c>
      <c r="BY643" s="1266"/>
      <c r="BZ643" s="1266"/>
      <c r="CA643" s="1266"/>
      <c r="CB643" s="1267"/>
      <c r="CC643" s="1265">
        <f t="shared" si="47"/>
        <v>0</v>
      </c>
      <c r="CD643" s="1266"/>
      <c r="CE643" s="1266"/>
      <c r="CF643" s="1266"/>
      <c r="CG643" s="1267"/>
      <c r="CH643" s="1265">
        <f t="shared" si="48"/>
        <v>0</v>
      </c>
      <c r="CI643" s="1266"/>
      <c r="CJ643" s="1266"/>
      <c r="CK643" s="1266"/>
      <c r="CL643" s="1267"/>
      <c r="CM643" s="1265">
        <f t="shared" si="49"/>
        <v>0</v>
      </c>
      <c r="CN643" s="1266"/>
      <c r="CO643" s="1266"/>
      <c r="CP643" s="1266"/>
      <c r="CQ643" s="1267"/>
      <c r="CR643" s="41"/>
      <c r="CS643" s="41"/>
    </row>
    <row r="644" spans="1:97" ht="13.2"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44"/>
        <v>0</v>
      </c>
      <c r="BO644" s="1266"/>
      <c r="BP644" s="1266"/>
      <c r="BQ644" s="1266"/>
      <c r="BR644" s="1267"/>
      <c r="BS644" s="1265">
        <f t="shared" si="45"/>
        <v>0</v>
      </c>
      <c r="BT644" s="1266"/>
      <c r="BU644" s="1266"/>
      <c r="BV644" s="1266"/>
      <c r="BW644" s="1267"/>
      <c r="BX644" s="1265">
        <f t="shared" si="46"/>
        <v>0</v>
      </c>
      <c r="BY644" s="1266"/>
      <c r="BZ644" s="1266"/>
      <c r="CA644" s="1266"/>
      <c r="CB644" s="1267"/>
      <c r="CC644" s="1265">
        <f t="shared" si="47"/>
        <v>0</v>
      </c>
      <c r="CD644" s="1266"/>
      <c r="CE644" s="1266"/>
      <c r="CF644" s="1266"/>
      <c r="CG644" s="1267"/>
      <c r="CH644" s="1265">
        <f t="shared" si="48"/>
        <v>0</v>
      </c>
      <c r="CI644" s="1266"/>
      <c r="CJ644" s="1266"/>
      <c r="CK644" s="1266"/>
      <c r="CL644" s="1267"/>
      <c r="CM644" s="1265">
        <f t="shared" si="49"/>
        <v>0</v>
      </c>
      <c r="CN644" s="1266"/>
      <c r="CO644" s="1266"/>
      <c r="CP644" s="1266"/>
      <c r="CQ644" s="1267"/>
      <c r="CR644" s="41"/>
      <c r="CS644" s="41"/>
    </row>
    <row r="645" spans="1:97" ht="13.2" customHeight="1">
      <c r="A645" s="61" t="s">
        <v>905</v>
      </c>
      <c r="B645" t="s">
        <v>81</v>
      </c>
      <c r="G645" s="1260" t="str">
        <f>C623</f>
        <v>HCD - IIG</v>
      </c>
      <c r="H645" s="1260"/>
      <c r="I645" s="1260"/>
      <c r="J645" s="1260"/>
      <c r="K645" s="1260"/>
      <c r="L645" s="1260"/>
      <c r="M645" s="1260"/>
      <c r="N645" s="1260"/>
      <c r="O645" s="1260"/>
      <c r="P645" s="1260"/>
      <c r="Q645" s="1260"/>
      <c r="R645" s="1260"/>
      <c r="T645" s="61" t="s">
        <v>430</v>
      </c>
      <c r="U645" t="s">
        <v>81</v>
      </c>
      <c r="Z645" s="1260" t="str">
        <f>C624</f>
        <v>Sonoma County - HOME</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3.2" customHeight="1" thickBot="1">
      <c r="A646" s="4"/>
      <c r="B646" t="s">
        <v>371</v>
      </c>
      <c r="G646" s="1107" t="s">
        <v>2469</v>
      </c>
      <c r="H646" s="1107"/>
      <c r="I646" s="1107"/>
      <c r="J646" s="1107"/>
      <c r="K646" s="1107"/>
      <c r="L646" s="1107"/>
      <c r="M646" s="1107"/>
      <c r="N646" s="1107"/>
      <c r="O646" s="1107"/>
      <c r="P646" s="1107"/>
      <c r="Q646" s="1107"/>
      <c r="R646" s="1107"/>
      <c r="T646" s="4"/>
      <c r="U646" t="s">
        <v>371</v>
      </c>
      <c r="Z646" s="1107" t="s">
        <v>2324</v>
      </c>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1724</v>
      </c>
      <c r="BO646" s="41"/>
      <c r="BP646" s="41"/>
      <c r="BQ646" s="41"/>
      <c r="BR646" s="466">
        <f>BN645*1</f>
        <v>0</v>
      </c>
      <c r="BS646" s="41"/>
      <c r="BT646" s="41"/>
      <c r="BU646" s="41"/>
      <c r="BV646" s="41"/>
      <c r="BW646" s="466">
        <f>BS645*1</f>
        <v>0</v>
      </c>
      <c r="BX646" s="41"/>
      <c r="BY646" s="41"/>
      <c r="BZ646" s="41"/>
      <c r="CA646" s="41"/>
      <c r="CB646" s="466">
        <f>BX645*2</f>
        <v>0</v>
      </c>
      <c r="CC646" s="41"/>
      <c r="CD646" s="41"/>
      <c r="CE646" s="41"/>
      <c r="CF646" s="41"/>
      <c r="CG646" s="466">
        <f>CC645*3</f>
        <v>0</v>
      </c>
      <c r="CH646" s="41"/>
      <c r="CI646" s="41"/>
      <c r="CJ646" s="41"/>
      <c r="CK646" s="41"/>
      <c r="CL646" s="466">
        <f>CH645*4</f>
        <v>0</v>
      </c>
      <c r="CM646" s="41"/>
      <c r="CN646" s="41"/>
      <c r="CO646" s="41"/>
      <c r="CP646" s="41"/>
      <c r="CQ646" s="465">
        <f>CM645*5</f>
        <v>0</v>
      </c>
      <c r="CR646" s="41"/>
      <c r="CS646" s="41"/>
    </row>
    <row r="647" spans="1:97" ht="13.2" customHeight="1" thickBot="1">
      <c r="A647" s="4"/>
      <c r="B647" t="s">
        <v>429</v>
      </c>
      <c r="G647" s="1258" t="s">
        <v>109</v>
      </c>
      <c r="H647" s="1258"/>
      <c r="I647" s="1258"/>
      <c r="J647" s="1258"/>
      <c r="K647" s="1258"/>
      <c r="L647" s="1258"/>
      <c r="M647" s="1258"/>
      <c r="N647" s="1258"/>
      <c r="O647" s="1258"/>
      <c r="P647" s="1258"/>
      <c r="Q647" s="1258"/>
      <c r="R647" s="1258"/>
      <c r="T647" s="4"/>
      <c r="U647" t="s">
        <v>429</v>
      </c>
      <c r="Z647" s="1258" t="s">
        <v>2325</v>
      </c>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1723</v>
      </c>
      <c r="CQ647" s="467">
        <f>BN645+BS645+BX645+CC645+CH645+CM645</f>
        <v>0</v>
      </c>
      <c r="CR647" s="41"/>
      <c r="CS647" s="41"/>
    </row>
    <row r="648" spans="1:97" ht="13.2" customHeight="1" thickBot="1">
      <c r="A648" s="4"/>
      <c r="B648" t="s">
        <v>831</v>
      </c>
      <c r="G648" s="1258" t="s">
        <v>2467</v>
      </c>
      <c r="H648" s="1258"/>
      <c r="I648" s="1258"/>
      <c r="J648" s="1258"/>
      <c r="K648" s="1258"/>
      <c r="L648" s="1258"/>
      <c r="M648" s="1258"/>
      <c r="N648" s="1258"/>
      <c r="O648" s="1258"/>
      <c r="P648" s="1258"/>
      <c r="Q648" s="1258"/>
      <c r="R648" s="1258"/>
      <c r="T648" s="4"/>
      <c r="U648" t="s">
        <v>831</v>
      </c>
      <c r="Z648" s="1258" t="s">
        <v>2470</v>
      </c>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2" customHeight="1" thickBot="1">
      <c r="A649" s="4"/>
      <c r="B649" t="s">
        <v>648</v>
      </c>
      <c r="G649" s="1264" t="s">
        <v>2468</v>
      </c>
      <c r="H649" s="1264"/>
      <c r="I649" s="1264"/>
      <c r="J649" s="1264"/>
      <c r="K649" s="1264"/>
      <c r="L649" s="1264"/>
      <c r="O649" s="42" t="s">
        <v>816</v>
      </c>
      <c r="P649" s="1259"/>
      <c r="Q649" s="1259"/>
      <c r="R649" s="1259"/>
      <c r="T649" s="4"/>
      <c r="U649" t="s">
        <v>648</v>
      </c>
      <c r="Z649" s="1264" t="s">
        <v>2471</v>
      </c>
      <c r="AA649" s="1264"/>
      <c r="AB649" s="1264"/>
      <c r="AC649" s="1264"/>
      <c r="AD649" s="1264"/>
      <c r="AE649" s="1264"/>
      <c r="AH649" s="42" t="s">
        <v>816</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1725</v>
      </c>
      <c r="CQ649" s="467">
        <f>CQ647+CQ628</f>
        <v>128</v>
      </c>
      <c r="CR649" s="41"/>
      <c r="CS649" s="41"/>
    </row>
    <row r="650" spans="1:97" ht="13.2" customHeight="1">
      <c r="A650" s="4"/>
      <c r="B650" t="s">
        <v>832</v>
      </c>
      <c r="H650" s="1107" t="str">
        <f>+M623</f>
        <v>Loan, Residual Receipts</v>
      </c>
      <c r="I650" s="1107"/>
      <c r="J650" s="1107"/>
      <c r="K650" s="1107"/>
      <c r="L650" s="1107"/>
      <c r="M650" s="1107"/>
      <c r="N650" s="1107"/>
      <c r="O650" s="1107"/>
      <c r="P650" s="1107"/>
      <c r="Q650" s="1107"/>
      <c r="R650" s="1107"/>
      <c r="T650" s="4"/>
      <c r="U650" t="s">
        <v>832</v>
      </c>
      <c r="AA650" s="1107" t="str">
        <f>+M623</f>
        <v>Loan, Residual Receipts</v>
      </c>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864</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B651" t="s">
        <v>834</v>
      </c>
      <c r="N651" s="1098" t="s">
        <v>107</v>
      </c>
      <c r="O651" s="1098"/>
      <c r="T651" s="4"/>
      <c r="U651" t="s">
        <v>834</v>
      </c>
      <c r="AG651" s="1098" t="s">
        <v>107</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32</v>
      </c>
      <c r="BT651" s="1269"/>
      <c r="BU651" s="1269"/>
      <c r="BV651" s="1269"/>
      <c r="BW651" s="1270"/>
      <c r="BX651" s="1268">
        <f>BX626+BX633+BX645</f>
        <v>22</v>
      </c>
      <c r="BY651" s="1269"/>
      <c r="BZ651" s="1269"/>
      <c r="CA651" s="1269"/>
      <c r="CB651" s="1270"/>
      <c r="CC651" s="1268">
        <f>CC626+CC633+CC645</f>
        <v>18</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3.2"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2" customHeight="1">
      <c r="A653" s="61" t="s">
        <v>170</v>
      </c>
      <c r="B653" t="s">
        <v>81</v>
      </c>
      <c r="G653" s="1260" t="str">
        <f>C625</f>
        <v>Sonoma County - CDBG</v>
      </c>
      <c r="H653" s="1260"/>
      <c r="I653" s="1260"/>
      <c r="J653" s="1260"/>
      <c r="K653" s="1260"/>
      <c r="L653" s="1260"/>
      <c r="M653" s="1260"/>
      <c r="N653" s="1260"/>
      <c r="O653" s="1260"/>
      <c r="P653" s="1260"/>
      <c r="Q653" s="1260"/>
      <c r="R653" s="1260"/>
      <c r="T653" s="61" t="s">
        <v>433</v>
      </c>
      <c r="U653" t="s">
        <v>81</v>
      </c>
      <c r="Z653" s="1260" t="str">
        <f>C626</f>
        <v>FHLB - AHP</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371</v>
      </c>
      <c r="G654" s="1107" t="s">
        <v>2324</v>
      </c>
      <c r="H654" s="1107"/>
      <c r="I654" s="1107"/>
      <c r="J654" s="1107"/>
      <c r="K654" s="1107"/>
      <c r="L654" s="1107"/>
      <c r="M654" s="1107"/>
      <c r="N654" s="1107"/>
      <c r="O654" s="1107"/>
      <c r="P654" s="1107"/>
      <c r="Q654" s="1107"/>
      <c r="R654" s="1107"/>
      <c r="T654" s="4"/>
      <c r="U654" t="s">
        <v>371</v>
      </c>
      <c r="Z654" s="1107" t="s">
        <v>2473</v>
      </c>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429</v>
      </c>
      <c r="G655" s="1107" t="s">
        <v>2325</v>
      </c>
      <c r="H655" s="1107"/>
      <c r="I655" s="1107"/>
      <c r="J655" s="1107"/>
      <c r="K655" s="1107"/>
      <c r="L655" s="1107"/>
      <c r="M655" s="1107"/>
      <c r="N655" s="1107"/>
      <c r="O655" s="1107"/>
      <c r="P655" s="1107"/>
      <c r="Q655" s="1107"/>
      <c r="R655" s="1107"/>
      <c r="T655" s="4"/>
      <c r="U655" t="s">
        <v>429</v>
      </c>
      <c r="Z655" s="1258" t="s">
        <v>2474</v>
      </c>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A656" s="4"/>
      <c r="B656" t="s">
        <v>831</v>
      </c>
      <c r="G656" s="1107" t="s">
        <v>2470</v>
      </c>
      <c r="H656" s="1107"/>
      <c r="I656" s="1107"/>
      <c r="J656" s="1107"/>
      <c r="K656" s="1107"/>
      <c r="L656" s="1107"/>
      <c r="M656" s="1107"/>
      <c r="N656" s="1107"/>
      <c r="O656" s="1107"/>
      <c r="P656" s="1107"/>
      <c r="Q656" s="1107"/>
      <c r="R656" s="1107"/>
      <c r="T656" s="4"/>
      <c r="U656" t="s">
        <v>831</v>
      </c>
      <c r="Z656" s="1258" t="s">
        <v>2472</v>
      </c>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B657" t="s">
        <v>648</v>
      </c>
      <c r="G657" s="1264" t="s">
        <v>2471</v>
      </c>
      <c r="H657" s="1264"/>
      <c r="I657" s="1264"/>
      <c r="J657" s="1264"/>
      <c r="K657" s="1264"/>
      <c r="L657" s="1264"/>
      <c r="O657" s="42" t="s">
        <v>816</v>
      </c>
      <c r="P657" s="1259"/>
      <c r="Q657" s="1259"/>
      <c r="R657" s="1259"/>
      <c r="T657" s="4"/>
      <c r="U657" t="s">
        <v>648</v>
      </c>
      <c r="Z657" s="1264" t="s">
        <v>2475</v>
      </c>
      <c r="AA657" s="1264"/>
      <c r="AB657" s="1264"/>
      <c r="AC657" s="1264"/>
      <c r="AD657" s="1264"/>
      <c r="AE657" s="1264"/>
      <c r="AH657" s="42" t="s">
        <v>816</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4"/>
      <c r="B658" t="s">
        <v>832</v>
      </c>
      <c r="H658" s="1107" t="str">
        <f>+M624</f>
        <v>Loan, Residual Receipts</v>
      </c>
      <c r="I658" s="1107"/>
      <c r="J658" s="1107"/>
      <c r="K658" s="1107"/>
      <c r="L658" s="1107"/>
      <c r="M658" s="1107"/>
      <c r="N658" s="1107"/>
      <c r="O658" s="1107"/>
      <c r="P658" s="1107"/>
      <c r="Q658" s="1107"/>
      <c r="R658" s="1107"/>
      <c r="T658" s="4"/>
      <c r="U658" t="s">
        <v>832</v>
      </c>
      <c r="AA658" s="1107" t="str">
        <f>+M625</f>
        <v>Loan, Residual Receipts</v>
      </c>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B659" t="s">
        <v>834</v>
      </c>
      <c r="N659" s="1098" t="s">
        <v>107</v>
      </c>
      <c r="O659" s="1098"/>
      <c r="T659" s="4"/>
      <c r="U659" t="s">
        <v>834</v>
      </c>
      <c r="AG659" s="1098" t="s">
        <v>107</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61" t="s">
        <v>740</v>
      </c>
      <c r="B661" t="s">
        <v>81</v>
      </c>
      <c r="G661" s="1260" t="str">
        <f>C627</f>
        <v>Deferred Developer Fee</v>
      </c>
      <c r="H661" s="1260"/>
      <c r="I661" s="1260"/>
      <c r="J661" s="1260"/>
      <c r="K661" s="1260"/>
      <c r="L661" s="1260"/>
      <c r="M661" s="1260"/>
      <c r="N661" s="1260"/>
      <c r="O661" s="1260"/>
      <c r="P661" s="1260"/>
      <c r="Q661" s="1260"/>
      <c r="R661" s="1260"/>
      <c r="T661" s="61" t="s">
        <v>741</v>
      </c>
      <c r="U661" t="s">
        <v>81</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371</v>
      </c>
      <c r="G662" s="1107" t="s">
        <v>2477</v>
      </c>
      <c r="H662" s="1107"/>
      <c r="I662" s="1107"/>
      <c r="J662" s="1107"/>
      <c r="K662" s="1107"/>
      <c r="L662" s="1107"/>
      <c r="M662" s="1107"/>
      <c r="N662" s="1107"/>
      <c r="O662" s="1107"/>
      <c r="P662" s="1107"/>
      <c r="Q662" s="1107"/>
      <c r="R662" s="1107"/>
      <c r="T662" s="4"/>
      <c r="U662" t="s">
        <v>371</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429</v>
      </c>
      <c r="G663" s="1107" t="s">
        <v>2321</v>
      </c>
      <c r="H663" s="1107"/>
      <c r="I663" s="1107"/>
      <c r="J663" s="1107"/>
      <c r="K663" s="1107"/>
      <c r="L663" s="1107"/>
      <c r="M663" s="1107"/>
      <c r="N663" s="1107"/>
      <c r="O663" s="1107"/>
      <c r="P663" s="1107"/>
      <c r="Q663" s="1107"/>
      <c r="R663" s="1107"/>
      <c r="T663" s="4"/>
      <c r="U663" t="s">
        <v>429</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A664" s="4"/>
      <c r="B664" t="s">
        <v>831</v>
      </c>
      <c r="G664" s="1107" t="s">
        <v>2478</v>
      </c>
      <c r="H664" s="1107"/>
      <c r="I664" s="1107"/>
      <c r="J664" s="1107"/>
      <c r="K664" s="1107"/>
      <c r="L664" s="1107"/>
      <c r="M664" s="1107"/>
      <c r="N664" s="1107"/>
      <c r="O664" s="1107"/>
      <c r="P664" s="1107"/>
      <c r="Q664" s="1107"/>
      <c r="R664" s="1107"/>
      <c r="T664" s="4"/>
      <c r="U664" t="s">
        <v>831</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B665" t="s">
        <v>648</v>
      </c>
      <c r="G665" s="1379" t="s">
        <v>2337</v>
      </c>
      <c r="H665" s="1264"/>
      <c r="I665" s="1264"/>
      <c r="J665" s="1264"/>
      <c r="K665" s="1264"/>
      <c r="L665" s="1264"/>
      <c r="O665" s="42" t="s">
        <v>816</v>
      </c>
      <c r="P665" s="1259"/>
      <c r="Q665" s="1259"/>
      <c r="R665" s="1259"/>
      <c r="T665" s="4"/>
      <c r="U665" t="s">
        <v>648</v>
      </c>
      <c r="Z665" s="1264"/>
      <c r="AA665" s="1264"/>
      <c r="AB665" s="1264"/>
      <c r="AC665" s="1264"/>
      <c r="AD665" s="1264"/>
      <c r="AE665" s="1264"/>
      <c r="AH665" s="42" t="s">
        <v>816</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4"/>
      <c r="B666" t="s">
        <v>832</v>
      </c>
      <c r="H666" s="1107" t="str">
        <f>+M627</f>
        <v>Developer Fee, Deferral</v>
      </c>
      <c r="I666" s="1107"/>
      <c r="J666" s="1107"/>
      <c r="K666" s="1107"/>
      <c r="L666" s="1107"/>
      <c r="M666" s="1107"/>
      <c r="N666" s="1107"/>
      <c r="O666" s="1107"/>
      <c r="P666" s="1107"/>
      <c r="Q666" s="1107"/>
      <c r="R666" s="1107"/>
      <c r="T666" s="4"/>
      <c r="U666" t="s">
        <v>832</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B667" t="s">
        <v>834</v>
      </c>
      <c r="N667" s="1098" t="s">
        <v>107</v>
      </c>
      <c r="O667" s="1098"/>
      <c r="T667" s="4"/>
      <c r="U667" t="s">
        <v>834</v>
      </c>
      <c r="AG667" s="1098" t="s">
        <v>481</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61" t="s">
        <v>544</v>
      </c>
      <c r="B669" t="s">
        <v>81</v>
      </c>
      <c r="G669" s="1260">
        <f>C629</f>
        <v>0</v>
      </c>
      <c r="H669" s="1260"/>
      <c r="I669" s="1260"/>
      <c r="J669" s="1260"/>
      <c r="K669" s="1260"/>
      <c r="L669" s="1260"/>
      <c r="M669" s="1260"/>
      <c r="N669" s="1260"/>
      <c r="O669" s="1260"/>
      <c r="P669" s="1260"/>
      <c r="Q669" s="1260"/>
      <c r="R669" s="1260"/>
      <c r="T669" s="61" t="s">
        <v>173</v>
      </c>
      <c r="U669" t="s">
        <v>81</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371</v>
      </c>
      <c r="G670" s="1107"/>
      <c r="H670" s="1107"/>
      <c r="I670" s="1107"/>
      <c r="J670" s="1107"/>
      <c r="K670" s="1107"/>
      <c r="L670" s="1107"/>
      <c r="M670" s="1107"/>
      <c r="N670" s="1107"/>
      <c r="O670" s="1107"/>
      <c r="P670" s="1107"/>
      <c r="Q670" s="1107"/>
      <c r="R670" s="1107"/>
      <c r="T670" s="4"/>
      <c r="U670" t="s">
        <v>371</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429</v>
      </c>
      <c r="G671" s="1107"/>
      <c r="H671" s="1107"/>
      <c r="I671" s="1107"/>
      <c r="J671" s="1107"/>
      <c r="K671" s="1107"/>
      <c r="L671" s="1107"/>
      <c r="M671" s="1107"/>
      <c r="N671" s="1107"/>
      <c r="O671" s="1107"/>
      <c r="P671" s="1107"/>
      <c r="Q671" s="1107"/>
      <c r="R671" s="1107"/>
      <c r="T671" s="4"/>
      <c r="U671" t="s">
        <v>429</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A672" s="4"/>
      <c r="B672" t="s">
        <v>831</v>
      </c>
      <c r="G672" s="1107"/>
      <c r="H672" s="1107"/>
      <c r="I672" s="1107"/>
      <c r="J672" s="1107"/>
      <c r="K672" s="1107"/>
      <c r="L672" s="1107"/>
      <c r="M672" s="1107"/>
      <c r="N672" s="1107"/>
      <c r="O672" s="1107"/>
      <c r="P672" s="1107"/>
      <c r="Q672" s="1107"/>
      <c r="R672" s="1107"/>
      <c r="T672" s="4"/>
      <c r="U672" t="s">
        <v>831</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 customHeight="1">
      <c r="A673" s="4"/>
      <c r="B673" t="s">
        <v>648</v>
      </c>
      <c r="G673" s="1264"/>
      <c r="H673" s="1264"/>
      <c r="I673" s="1264"/>
      <c r="J673" s="1264"/>
      <c r="K673" s="1264"/>
      <c r="L673" s="1264"/>
      <c r="O673" s="42" t="s">
        <v>816</v>
      </c>
      <c r="P673" s="1259"/>
      <c r="Q673" s="1259"/>
      <c r="R673" s="1259"/>
      <c r="T673" s="4"/>
      <c r="U673" t="s">
        <v>648</v>
      </c>
      <c r="Z673" s="1264"/>
      <c r="AA673" s="1264"/>
      <c r="AB673" s="1264"/>
      <c r="AC673" s="1264"/>
      <c r="AD673" s="1264"/>
      <c r="AE673" s="1264"/>
      <c r="AH673" s="42" t="s">
        <v>816</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 customHeight="1">
      <c r="A674" s="4"/>
      <c r="B674" t="s">
        <v>832</v>
      </c>
      <c r="H674" s="1107"/>
      <c r="I674" s="1107"/>
      <c r="J674" s="1107"/>
      <c r="K674" s="1107"/>
      <c r="L674" s="1107"/>
      <c r="M674" s="1107"/>
      <c r="N674" s="1107"/>
      <c r="O674" s="1107"/>
      <c r="P674" s="1107"/>
      <c r="Q674" s="1107"/>
      <c r="R674" s="1107"/>
      <c r="T674" s="4"/>
      <c r="U674" t="s">
        <v>832</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 customHeight="1">
      <c r="B675" t="s">
        <v>834</v>
      </c>
      <c r="N675" s="1098" t="s">
        <v>481</v>
      </c>
      <c r="O675" s="1098"/>
      <c r="T675" s="4"/>
      <c r="U675" t="s">
        <v>834</v>
      </c>
      <c r="AG675" s="1098" t="s">
        <v>481</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 customHeight="1">
      <c r="A677" s="61" t="s">
        <v>32</v>
      </c>
      <c r="B677" t="s">
        <v>81</v>
      </c>
      <c r="G677" s="1260">
        <f>C631</f>
        <v>0</v>
      </c>
      <c r="H677" s="1260"/>
      <c r="I677" s="1260"/>
      <c r="J677" s="1260"/>
      <c r="K677" s="1260"/>
      <c r="L677" s="1260"/>
      <c r="M677" s="1260"/>
      <c r="N677" s="1260"/>
      <c r="O677" s="1260"/>
      <c r="P677" s="1260"/>
      <c r="Q677" s="1260"/>
      <c r="R677" s="1260"/>
      <c r="T677" s="61" t="s">
        <v>33</v>
      </c>
      <c r="U677" t="s">
        <v>81</v>
      </c>
      <c r="Z677" s="1260">
        <f>C632</f>
        <v>0</v>
      </c>
      <c r="AA677" s="1260"/>
      <c r="AB677" s="1260"/>
      <c r="AC677" s="1260"/>
      <c r="AD677" s="1260"/>
      <c r="AE677" s="1260"/>
      <c r="AF677" s="1260"/>
      <c r="AG677" s="1260"/>
      <c r="AH677" s="1260"/>
      <c r="AI677" s="1260"/>
      <c r="AJ677" s="1260"/>
      <c r="AK677" s="126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 customHeight="1">
      <c r="B678" t="s">
        <v>371</v>
      </c>
      <c r="G678" s="1107"/>
      <c r="H678" s="1107"/>
      <c r="I678" s="1107"/>
      <c r="J678" s="1107"/>
      <c r="K678" s="1107"/>
      <c r="L678" s="1107"/>
      <c r="M678" s="1107"/>
      <c r="N678" s="1107"/>
      <c r="O678" s="1107"/>
      <c r="P678" s="1107"/>
      <c r="Q678" s="1107"/>
      <c r="R678" s="1107"/>
      <c r="T678" s="4"/>
      <c r="U678" t="s">
        <v>371</v>
      </c>
      <c r="Z678" s="1107"/>
      <c r="AA678" s="1107"/>
      <c r="AB678" s="1107"/>
      <c r="AC678" s="1107"/>
      <c r="AD678" s="1107"/>
      <c r="AE678" s="1107"/>
      <c r="AF678" s="1107"/>
      <c r="AG678" s="1107"/>
      <c r="AH678" s="1107"/>
      <c r="AI678" s="1107"/>
      <c r="AJ678" s="1107"/>
      <c r="AK678" s="110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 customHeight="1">
      <c r="B679" t="s">
        <v>429</v>
      </c>
      <c r="G679" s="1107"/>
      <c r="H679" s="1107"/>
      <c r="I679" s="1107"/>
      <c r="J679" s="1107"/>
      <c r="K679" s="1107"/>
      <c r="L679" s="1107"/>
      <c r="M679" s="1107"/>
      <c r="N679" s="1107"/>
      <c r="O679" s="1107"/>
      <c r="P679" s="1107"/>
      <c r="Q679" s="1107"/>
      <c r="R679" s="1107"/>
      <c r="U679" t="s">
        <v>429</v>
      </c>
      <c r="Z679" s="1258"/>
      <c r="AA679" s="1258"/>
      <c r="AB679" s="1258"/>
      <c r="AC679" s="1258"/>
      <c r="AD679" s="1258"/>
      <c r="AE679" s="1258"/>
      <c r="AF679" s="1258"/>
      <c r="AG679" s="1258"/>
      <c r="AH679" s="1258"/>
      <c r="AI679" s="1258"/>
      <c r="AJ679" s="1258"/>
      <c r="AK679" s="125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 customHeight="1">
      <c r="B680" t="s">
        <v>831</v>
      </c>
      <c r="G680" s="1107"/>
      <c r="H680" s="1107"/>
      <c r="I680" s="1107"/>
      <c r="J680" s="1107"/>
      <c r="K680" s="1107"/>
      <c r="L680" s="1107"/>
      <c r="M680" s="1107"/>
      <c r="N680" s="1107"/>
      <c r="O680" s="1107"/>
      <c r="P680" s="1107"/>
      <c r="Q680" s="1107"/>
      <c r="R680" s="1107"/>
      <c r="U680" t="s">
        <v>831</v>
      </c>
      <c r="Z680" s="1258"/>
      <c r="AA680" s="1258"/>
      <c r="AB680" s="1258"/>
      <c r="AC680" s="1258"/>
      <c r="AD680" s="1258"/>
      <c r="AE680" s="1258"/>
      <c r="AF680" s="1258"/>
      <c r="AG680" s="1258"/>
      <c r="AH680" s="1258"/>
      <c r="AI680" s="1258"/>
      <c r="AJ680" s="1258"/>
      <c r="AK680" s="125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 customHeight="1">
      <c r="B681" t="s">
        <v>648</v>
      </c>
      <c r="G681" s="1264"/>
      <c r="H681" s="1264"/>
      <c r="I681" s="1264"/>
      <c r="J681" s="1264"/>
      <c r="K681" s="1264"/>
      <c r="L681" s="1264"/>
      <c r="O681" s="42" t="s">
        <v>816</v>
      </c>
      <c r="P681" s="1259"/>
      <c r="Q681" s="1259"/>
      <c r="R681" s="1259"/>
      <c r="U681" t="s">
        <v>648</v>
      </c>
      <c r="Z681" s="1264"/>
      <c r="AA681" s="1264"/>
      <c r="AB681" s="1264"/>
      <c r="AC681" s="1264"/>
      <c r="AD681" s="1264"/>
      <c r="AE681" s="1264"/>
      <c r="AH681" s="42" t="s">
        <v>816</v>
      </c>
      <c r="AI681" s="1259"/>
      <c r="AJ681" s="1259"/>
      <c r="AK681" s="125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 customHeight="1">
      <c r="B682" t="s">
        <v>832</v>
      </c>
      <c r="H682" s="1107"/>
      <c r="I682" s="1107"/>
      <c r="J682" s="1107"/>
      <c r="K682" s="1107"/>
      <c r="L682" s="1107"/>
      <c r="M682" s="1107"/>
      <c r="N682" s="1107"/>
      <c r="O682" s="1107"/>
      <c r="P682" s="1107"/>
      <c r="Q682" s="1107"/>
      <c r="R682" s="1107"/>
      <c r="U682" t="s">
        <v>832</v>
      </c>
      <c r="AA682" s="1107"/>
      <c r="AB682" s="1107"/>
      <c r="AC682" s="1107"/>
      <c r="AD682" s="1107"/>
      <c r="AE682" s="1107"/>
      <c r="AF682" s="1107"/>
      <c r="AG682" s="1107"/>
      <c r="AH682" s="1107"/>
      <c r="AI682" s="1107"/>
      <c r="AJ682" s="1107"/>
      <c r="AK682" s="110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 customHeight="1">
      <c r="B683" t="s">
        <v>834</v>
      </c>
      <c r="N683" s="1098" t="s">
        <v>481</v>
      </c>
      <c r="O683" s="1098"/>
      <c r="U683" t="s">
        <v>834</v>
      </c>
      <c r="AG683" s="1098" t="s">
        <v>481</v>
      </c>
      <c r="AH683" s="109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 customHeight="1">
      <c r="N684" s="1"/>
      <c r="O684" s="1"/>
      <c r="AG684" s="1"/>
      <c r="AH684" s="1"/>
      <c r="AM684" s="41"/>
      <c r="BB684" s="41"/>
      <c r="BC684" s="41"/>
      <c r="BD684" s="41"/>
      <c r="BE684" s="43"/>
      <c r="BF684" s="43"/>
      <c r="BG684" s="43"/>
      <c r="BH684" s="43"/>
      <c r="BI684" s="43"/>
      <c r="BJ684" s="43"/>
      <c r="BK684" s="43"/>
      <c r="BL684" s="43"/>
      <c r="BM684" s="41"/>
      <c r="BN684" s="41"/>
      <c r="BO684" s="41"/>
      <c r="BP684" s="456" t="s">
        <v>2317</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 customHeight="1">
      <c r="AM685" s="41"/>
      <c r="BB685" s="41"/>
      <c r="BC685" s="41"/>
      <c r="BD685" s="41"/>
      <c r="BE685" s="43"/>
      <c r="BF685" s="43"/>
      <c r="BG685" s="43"/>
      <c r="BH685" s="43"/>
      <c r="BI685" s="43"/>
      <c r="BJ685" s="43"/>
      <c r="BK685" s="43"/>
      <c r="BL685" s="43"/>
      <c r="BM685" s="41"/>
      <c r="BN685" s="41"/>
      <c r="BO685" s="41"/>
      <c r="BP685" s="457"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2" customHeight="1">
      <c r="A686" s="1083" t="s">
        <v>126</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B686" s="41"/>
      <c r="BC686" s="41"/>
      <c r="BD686" s="41"/>
      <c r="BE686" s="43"/>
      <c r="BF686" s="43"/>
      <c r="BG686" s="43"/>
      <c r="BH686" s="43"/>
      <c r="BI686" s="43"/>
      <c r="BJ686" s="43"/>
      <c r="BK686" s="43"/>
      <c r="BL686" s="43"/>
      <c r="BM686" s="41"/>
      <c r="BN686" s="41"/>
      <c r="BO686" s="41"/>
      <c r="BP686" s="458"/>
      <c r="BQ686" s="314"/>
      <c r="BR686" s="459"/>
      <c r="BS686" s="459"/>
      <c r="BT686" s="459"/>
      <c r="BU686" s="459"/>
      <c r="BV686" s="459"/>
      <c r="BW686" s="459"/>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2"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E687" s="43"/>
      <c r="BJ687" s="43"/>
      <c r="BK687" s="43"/>
      <c r="BL687" s="43"/>
      <c r="BM687" s="41"/>
      <c r="BN687" s="41"/>
      <c r="BO687" s="41"/>
      <c r="BP687" s="569" t="s">
        <v>300</v>
      </c>
      <c r="BQ687" s="570" t="s">
        <v>440</v>
      </c>
      <c r="BR687" s="570" t="s">
        <v>441</v>
      </c>
      <c r="BS687" s="570" t="s">
        <v>778</v>
      </c>
      <c r="BT687" s="570" t="s">
        <v>779</v>
      </c>
      <c r="BU687" s="570" t="s">
        <v>780</v>
      </c>
      <c r="BV687" s="570"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2"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E688" s="43"/>
      <c r="BJ688" s="450"/>
      <c r="BK688" s="43"/>
      <c r="BL688" s="43"/>
      <c r="BM688" s="41"/>
      <c r="BN688" s="41"/>
      <c r="BO688" s="41"/>
      <c r="BP688" s="571" t="s">
        <v>28</v>
      </c>
      <c r="BQ688" s="572">
        <v>2724</v>
      </c>
      <c r="BR688" s="572">
        <v>2920</v>
      </c>
      <c r="BS688" s="572">
        <v>3504</v>
      </c>
      <c r="BT688" s="572">
        <v>4048</v>
      </c>
      <c r="BU688" s="572">
        <v>4516</v>
      </c>
      <c r="BV688" s="572">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2" customHeight="1">
      <c r="A689" s="3" t="s">
        <v>651</v>
      </c>
      <c r="B689" s="3"/>
      <c r="C689" s="3" t="s">
        <v>833</v>
      </c>
      <c r="BE689" s="43"/>
      <c r="BJ689" s="43"/>
      <c r="BK689" s="43"/>
      <c r="BL689" s="43"/>
      <c r="BM689" s="41"/>
      <c r="BN689" s="41"/>
      <c r="BO689" s="41"/>
      <c r="BP689" s="573" t="s">
        <v>29</v>
      </c>
      <c r="BQ689" s="572">
        <v>1850</v>
      </c>
      <c r="BR689" s="572">
        <v>1980</v>
      </c>
      <c r="BS689" s="572">
        <v>2376</v>
      </c>
      <c r="BT689" s="572">
        <v>2746</v>
      </c>
      <c r="BU689" s="572">
        <v>3064</v>
      </c>
      <c r="BV689" s="572">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2" customHeight="1">
      <c r="A690" s="3"/>
      <c r="B690" s="838"/>
      <c r="C690" s="3"/>
      <c r="BE690" s="43"/>
      <c r="BJ690" s="43"/>
      <c r="BK690" s="43"/>
      <c r="BL690" s="43"/>
      <c r="BM690" s="41"/>
      <c r="BN690" s="41"/>
      <c r="BO690" s="41"/>
      <c r="BP690" s="573" t="s">
        <v>383</v>
      </c>
      <c r="BQ690" s="572">
        <v>1764</v>
      </c>
      <c r="BR690" s="572">
        <v>1890</v>
      </c>
      <c r="BS690" s="572">
        <v>2270</v>
      </c>
      <c r="BT690" s="572">
        <v>2620</v>
      </c>
      <c r="BU690" s="572">
        <v>2924</v>
      </c>
      <c r="BV690" s="572">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2" customHeight="1">
      <c r="B691" s="1239" t="s">
        <v>53</v>
      </c>
      <c r="C691" s="1240"/>
      <c r="D691" s="1240"/>
      <c r="E691" s="1240"/>
      <c r="F691" s="1241"/>
      <c r="G691" s="1239" t="s">
        <v>255</v>
      </c>
      <c r="H691" s="1240"/>
      <c r="I691" s="1240"/>
      <c r="J691" s="1241"/>
      <c r="K691" s="1230" t="s">
        <v>1991</v>
      </c>
      <c r="L691" s="1231"/>
      <c r="M691" s="1231"/>
      <c r="N691" s="1232"/>
      <c r="O691" s="1239" t="s">
        <v>587</v>
      </c>
      <c r="P691" s="1240"/>
      <c r="Q691" s="1240"/>
      <c r="R691" s="1240"/>
      <c r="S691" s="1241"/>
      <c r="T691" s="1239" t="s">
        <v>256</v>
      </c>
      <c r="U691" s="1240"/>
      <c r="V691" s="1240"/>
      <c r="W691" s="1240"/>
      <c r="X691" s="1241"/>
      <c r="Y691" s="1239" t="s">
        <v>257</v>
      </c>
      <c r="Z691" s="1240"/>
      <c r="AA691" s="1240"/>
      <c r="AB691" s="1241"/>
      <c r="AC691" s="1239" t="s">
        <v>258</v>
      </c>
      <c r="AD691" s="1240"/>
      <c r="AE691" s="1240"/>
      <c r="AF691" s="1240"/>
      <c r="AG691" s="1241"/>
      <c r="AH691" s="1239" t="s">
        <v>1992</v>
      </c>
      <c r="AI691" s="1240"/>
      <c r="AJ691" s="1240"/>
      <c r="AK691" s="1240"/>
      <c r="AL691" s="1241"/>
      <c r="AM691" s="1239" t="s">
        <v>1993</v>
      </c>
      <c r="AN691" s="1240"/>
      <c r="AO691" s="1241"/>
      <c r="BB691" s="41"/>
      <c r="BC691" s="41"/>
      <c r="BD691" s="41"/>
      <c r="BE691" s="41"/>
      <c r="BJ691" s="41"/>
      <c r="BK691" s="41"/>
      <c r="BL691" s="41"/>
      <c r="BM691" s="41"/>
      <c r="BN691" s="41"/>
      <c r="BO691" s="41"/>
      <c r="BP691" s="573" t="s">
        <v>384</v>
      </c>
      <c r="BQ691" s="572">
        <v>1586</v>
      </c>
      <c r="BR691" s="572">
        <v>1700</v>
      </c>
      <c r="BS691" s="572">
        <v>2042</v>
      </c>
      <c r="BT691" s="572">
        <v>2358</v>
      </c>
      <c r="BU691" s="572">
        <v>2630</v>
      </c>
      <c r="BV691" s="572">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2"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B692" s="41"/>
      <c r="BC692" s="41"/>
      <c r="BD692" s="41"/>
      <c r="BE692" s="41"/>
      <c r="BJ692" s="41"/>
      <c r="BK692" s="41"/>
      <c r="BL692" s="41"/>
      <c r="BM692" s="41"/>
      <c r="BN692" s="41"/>
      <c r="BO692" s="41"/>
      <c r="BP692" s="573" t="s">
        <v>385</v>
      </c>
      <c r="BQ692" s="572">
        <v>1656</v>
      </c>
      <c r="BR692" s="572">
        <v>1774</v>
      </c>
      <c r="BS692" s="572">
        <v>2130</v>
      </c>
      <c r="BT692" s="572">
        <v>2460</v>
      </c>
      <c r="BU692" s="572">
        <v>2744</v>
      </c>
      <c r="BV692" s="572">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2"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AX693" s="43"/>
      <c r="AY693" s="3" t="s">
        <v>1133</v>
      </c>
      <c r="AZ693" s="43"/>
      <c r="BA693" s="43"/>
      <c r="BB693" s="41"/>
      <c r="BC693" s="41"/>
      <c r="BD693" s="41"/>
      <c r="BE693" s="845" t="s">
        <v>1994</v>
      </c>
      <c r="BF693" s="846"/>
      <c r="BG693" s="846"/>
      <c r="BJ693" s="41"/>
      <c r="BK693" s="41"/>
      <c r="BL693" s="41"/>
      <c r="BM693" s="41"/>
      <c r="BN693" s="41"/>
      <c r="BO693" s="41"/>
      <c r="BP693" s="573" t="s">
        <v>386</v>
      </c>
      <c r="BQ693" s="572">
        <v>1540</v>
      </c>
      <c r="BR693" s="572">
        <v>1650</v>
      </c>
      <c r="BS693" s="572">
        <v>1980</v>
      </c>
      <c r="BT693" s="572">
        <v>2286</v>
      </c>
      <c r="BU693" s="572">
        <v>2550</v>
      </c>
      <c r="BV693" s="572">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2"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AV694" s="269" t="s">
        <v>2311</v>
      </c>
      <c r="AX694" s="43"/>
      <c r="AY694" s="449" t="s">
        <v>1134</v>
      </c>
      <c r="AZ694" s="463" t="s">
        <v>1135</v>
      </c>
      <c r="BA694" s="462" t="s">
        <v>1136</v>
      </c>
      <c r="BB694" s="41"/>
      <c r="BC694" s="41"/>
      <c r="BD694" s="41"/>
      <c r="BE694" s="847" t="s">
        <v>1134</v>
      </c>
      <c r="BF694" s="848" t="s">
        <v>1135</v>
      </c>
      <c r="BG694" s="849" t="s">
        <v>1136</v>
      </c>
      <c r="BJ694" s="41"/>
      <c r="BK694" s="41"/>
      <c r="BL694" s="41"/>
      <c r="BM694" s="41"/>
      <c r="BN694" s="41"/>
      <c r="BO694" s="41"/>
      <c r="BP694" s="573" t="s">
        <v>387</v>
      </c>
      <c r="BQ694" s="572">
        <v>2724</v>
      </c>
      <c r="BR694" s="572">
        <v>2920</v>
      </c>
      <c r="BS694" s="572">
        <v>3504</v>
      </c>
      <c r="BT694" s="572">
        <v>4048</v>
      </c>
      <c r="BU694" s="572">
        <v>4516</v>
      </c>
      <c r="BV694" s="572">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2" customHeight="1">
      <c r="A695" s="41"/>
      <c r="B695" s="1331" t="s">
        <v>441</v>
      </c>
      <c r="C695" s="1332"/>
      <c r="D695" s="1332"/>
      <c r="E695" s="1332"/>
      <c r="F695" s="1333"/>
      <c r="G695" s="1261">
        <v>1</v>
      </c>
      <c r="H695" s="1262"/>
      <c r="I695" s="1262"/>
      <c r="J695" s="1263"/>
      <c r="K695" s="1248">
        <v>602</v>
      </c>
      <c r="L695" s="1249"/>
      <c r="M695" s="1249"/>
      <c r="N695" s="1250"/>
      <c r="O695" s="1251">
        <v>677</v>
      </c>
      <c r="P695" s="1252"/>
      <c r="Q695" s="1252"/>
      <c r="R695" s="1252"/>
      <c r="S695" s="1253"/>
      <c r="T695" s="1224">
        <f t="shared" ref="T695:T729" si="50">G695*O695</f>
        <v>677</v>
      </c>
      <c r="U695" s="1225"/>
      <c r="V695" s="1225"/>
      <c r="W695" s="1225"/>
      <c r="X695" s="1226"/>
      <c r="Y695" s="1251">
        <v>101</v>
      </c>
      <c r="Z695" s="1252"/>
      <c r="AA695" s="1252"/>
      <c r="AB695" s="1253"/>
      <c r="AC695" s="1224">
        <f t="shared" ref="AC695:AC729" si="51">O695+Y695</f>
        <v>778</v>
      </c>
      <c r="AD695" s="1225"/>
      <c r="AE695" s="1225"/>
      <c r="AF695" s="1225"/>
      <c r="AG695" s="1226"/>
      <c r="AH695" s="1468">
        <v>0.3</v>
      </c>
      <c r="AI695" s="1469"/>
      <c r="AJ695" s="1469"/>
      <c r="AK695" s="1469"/>
      <c r="AL695" s="1470"/>
      <c r="AM695" s="1221">
        <f>IF($AH695&gt;0,($AC695/$AV695),"")</f>
        <v>0.29992289899768698</v>
      </c>
      <c r="AN695" s="1222"/>
      <c r="AO695" s="1223"/>
      <c r="AV695" s="43">
        <f t="shared" ref="AV695:AV729" si="52">IF($G695=0,"N/A",VLOOKUP($T$189,TC_Rent,(MATCH($B695,bedrooms,FALSE))))</f>
        <v>2594</v>
      </c>
      <c r="AX695" s="43"/>
      <c r="AY695" s="444">
        <f t="shared" ref="AY695:AY718" si="53">G695</f>
        <v>1</v>
      </c>
      <c r="AZ695" s="451">
        <f t="shared" ref="AZ695:AZ718" si="54">IF($AY$730=0,"",AY695/$AY$730)</f>
        <v>1.4084507042253521E-2</v>
      </c>
      <c r="BA695" s="452">
        <f t="shared" ref="BA695:BA718" si="55">IF(AZ695="","",AZ695*AH695)</f>
        <v>4.2253521126760559E-3</v>
      </c>
      <c r="BB695" s="41"/>
      <c r="BC695" s="41"/>
      <c r="BD695" s="41"/>
      <c r="BE695" s="850">
        <f t="shared" ref="BE695:BE718" si="56">G695</f>
        <v>1</v>
      </c>
      <c r="BF695" s="854">
        <f t="shared" ref="BF695:BF718" si="57">IF(BE695=0,"",BE695/$BE$730)</f>
        <v>1.4084507042253521E-2</v>
      </c>
      <c r="BG695" s="855">
        <f t="shared" ref="BG695:BG718" si="58">IF(BF695="","",BF695*AM695)</f>
        <v>4.2242661830660137E-3</v>
      </c>
      <c r="BJ695" s="41"/>
      <c r="BK695" s="41"/>
      <c r="BL695" s="41"/>
      <c r="BM695" s="41"/>
      <c r="BN695" s="41"/>
      <c r="BO695" s="41"/>
      <c r="BP695" s="573" t="s">
        <v>388</v>
      </c>
      <c r="BQ695" s="572">
        <v>1540</v>
      </c>
      <c r="BR695" s="572">
        <v>1650</v>
      </c>
      <c r="BS695" s="572">
        <v>1980</v>
      </c>
      <c r="BT695" s="572">
        <v>2286</v>
      </c>
      <c r="BU695" s="572">
        <v>2550</v>
      </c>
      <c r="BV695" s="572">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2" customHeight="1">
      <c r="A696" s="41"/>
      <c r="B696" s="1331" t="s">
        <v>778</v>
      </c>
      <c r="C696" s="1332"/>
      <c r="D696" s="1332"/>
      <c r="E696" s="1332"/>
      <c r="F696" s="1333"/>
      <c r="G696" s="1261">
        <v>1</v>
      </c>
      <c r="H696" s="1262"/>
      <c r="I696" s="1262"/>
      <c r="J696" s="1263"/>
      <c r="K696" s="1248">
        <v>733</v>
      </c>
      <c r="L696" s="1249"/>
      <c r="M696" s="1249"/>
      <c r="N696" s="1250"/>
      <c r="O696" s="1251">
        <v>797</v>
      </c>
      <c r="P696" s="1252"/>
      <c r="Q696" s="1252"/>
      <c r="R696" s="1252"/>
      <c r="S696" s="1253"/>
      <c r="T696" s="1224">
        <f t="shared" si="50"/>
        <v>797</v>
      </c>
      <c r="U696" s="1225"/>
      <c r="V696" s="1225"/>
      <c r="W696" s="1225"/>
      <c r="X696" s="1226"/>
      <c r="Y696" s="1251">
        <v>136</v>
      </c>
      <c r="Z696" s="1252"/>
      <c r="AA696" s="1252"/>
      <c r="AB696" s="1253"/>
      <c r="AC696" s="1224">
        <f t="shared" si="51"/>
        <v>933</v>
      </c>
      <c r="AD696" s="1225"/>
      <c r="AE696" s="1225"/>
      <c r="AF696" s="1225"/>
      <c r="AG696" s="1226"/>
      <c r="AH696" s="1255">
        <v>0.3</v>
      </c>
      <c r="AI696" s="1256"/>
      <c r="AJ696" s="1256"/>
      <c r="AK696" s="1256"/>
      <c r="AL696" s="1257"/>
      <c r="AM696" s="1221">
        <f t="shared" ref="AM696:AM718" si="59">IF($AH696&gt;0,($AC696/$AV696), "")</f>
        <v>0.29980719794344474</v>
      </c>
      <c r="AN696" s="1222"/>
      <c r="AO696" s="1223"/>
      <c r="AV696" s="43">
        <f t="shared" si="52"/>
        <v>3112</v>
      </c>
      <c r="AX696" s="43"/>
      <c r="AY696" s="445">
        <f t="shared" si="53"/>
        <v>1</v>
      </c>
      <c r="AZ696" s="451">
        <f t="shared" si="54"/>
        <v>1.4084507042253521E-2</v>
      </c>
      <c r="BA696" s="452">
        <f t="shared" si="55"/>
        <v>4.2253521126760559E-3</v>
      </c>
      <c r="BB696" s="41"/>
      <c r="BC696" s="41"/>
      <c r="BD696" s="41"/>
      <c r="BE696" s="850">
        <f t="shared" si="56"/>
        <v>1</v>
      </c>
      <c r="BF696" s="854">
        <f t="shared" si="57"/>
        <v>1.4084507042253521E-2</v>
      </c>
      <c r="BG696" s="855">
        <f t="shared" si="58"/>
        <v>4.2226365907527428E-3</v>
      </c>
      <c r="BJ696" s="41"/>
      <c r="BK696" s="41"/>
      <c r="BL696" s="41"/>
      <c r="BM696" s="41"/>
      <c r="BN696" s="41"/>
      <c r="BO696" s="41"/>
      <c r="BP696" s="573" t="s">
        <v>389</v>
      </c>
      <c r="BQ696" s="572">
        <v>2064</v>
      </c>
      <c r="BR696" s="572">
        <v>2210</v>
      </c>
      <c r="BS696" s="572">
        <v>2652</v>
      </c>
      <c r="BT696" s="572">
        <v>3064</v>
      </c>
      <c r="BU696" s="572">
        <v>3420</v>
      </c>
      <c r="BV696" s="572">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2" customHeight="1">
      <c r="A697" s="41"/>
      <c r="B697" s="1331" t="s">
        <v>441</v>
      </c>
      <c r="C697" s="1332"/>
      <c r="D697" s="1332"/>
      <c r="E697" s="1332"/>
      <c r="F697" s="1333"/>
      <c r="G697" s="1261">
        <v>4</v>
      </c>
      <c r="H697" s="1262"/>
      <c r="I697" s="1262"/>
      <c r="J697" s="1263"/>
      <c r="K697" s="1248">
        <f>+K$695</f>
        <v>602</v>
      </c>
      <c r="L697" s="1249"/>
      <c r="M697" s="1249"/>
      <c r="N697" s="1250"/>
      <c r="O697" s="1251">
        <v>677</v>
      </c>
      <c r="P697" s="1252"/>
      <c r="Q697" s="1252"/>
      <c r="R697" s="1252"/>
      <c r="S697" s="1253"/>
      <c r="T697" s="1224">
        <f t="shared" si="50"/>
        <v>2708</v>
      </c>
      <c r="U697" s="1225"/>
      <c r="V697" s="1225"/>
      <c r="W697" s="1225"/>
      <c r="X697" s="1226"/>
      <c r="Y697" s="1251">
        <f>+Y$695</f>
        <v>101</v>
      </c>
      <c r="Z697" s="1252"/>
      <c r="AA697" s="1252"/>
      <c r="AB697" s="1253"/>
      <c r="AC697" s="1224">
        <f t="shared" si="51"/>
        <v>778</v>
      </c>
      <c r="AD697" s="1225"/>
      <c r="AE697" s="1225"/>
      <c r="AF697" s="1225"/>
      <c r="AG697" s="1226"/>
      <c r="AH697" s="1255">
        <v>0.3</v>
      </c>
      <c r="AI697" s="1256"/>
      <c r="AJ697" s="1256"/>
      <c r="AK697" s="1256"/>
      <c r="AL697" s="1257"/>
      <c r="AM697" s="1221">
        <f t="shared" si="59"/>
        <v>0.29992289899768698</v>
      </c>
      <c r="AN697" s="1222"/>
      <c r="AO697" s="1223"/>
      <c r="AV697" s="43">
        <f t="shared" si="52"/>
        <v>2594</v>
      </c>
      <c r="AX697" s="41"/>
      <c r="AY697" s="445">
        <f t="shared" si="53"/>
        <v>4</v>
      </c>
      <c r="AZ697" s="451">
        <f t="shared" si="54"/>
        <v>5.6338028169014086E-2</v>
      </c>
      <c r="BA697" s="452">
        <f t="shared" si="55"/>
        <v>1.6901408450704224E-2</v>
      </c>
      <c r="BB697" s="41"/>
      <c r="BC697" s="41"/>
      <c r="BD697" s="41"/>
      <c r="BE697" s="850">
        <f t="shared" si="56"/>
        <v>4</v>
      </c>
      <c r="BF697" s="854">
        <f t="shared" si="57"/>
        <v>5.6338028169014086E-2</v>
      </c>
      <c r="BG697" s="855">
        <f t="shared" si="58"/>
        <v>1.6897064732264055E-2</v>
      </c>
      <c r="BJ697" s="41"/>
      <c r="BK697" s="41"/>
      <c r="BL697" s="41"/>
      <c r="BM697" s="41"/>
      <c r="BN697" s="41"/>
      <c r="BO697" s="41"/>
      <c r="BP697" s="573" t="s">
        <v>390</v>
      </c>
      <c r="BQ697" s="572">
        <v>1540</v>
      </c>
      <c r="BR697" s="572">
        <v>1650</v>
      </c>
      <c r="BS697" s="572">
        <v>1980</v>
      </c>
      <c r="BT697" s="572">
        <v>2286</v>
      </c>
      <c r="BU697" s="572">
        <v>2550</v>
      </c>
      <c r="BV697" s="572">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2" customHeight="1">
      <c r="B698" s="1331" t="s">
        <v>778</v>
      </c>
      <c r="C698" s="1332"/>
      <c r="D698" s="1332"/>
      <c r="E698" s="1332"/>
      <c r="F698" s="1333"/>
      <c r="G698" s="1261">
        <v>3</v>
      </c>
      <c r="H698" s="1262"/>
      <c r="I698" s="1262"/>
      <c r="J698" s="1263"/>
      <c r="K698" s="1248">
        <f>+K$696</f>
        <v>733</v>
      </c>
      <c r="L698" s="1249"/>
      <c r="M698" s="1249"/>
      <c r="N698" s="1250"/>
      <c r="O698" s="1251">
        <v>797</v>
      </c>
      <c r="P698" s="1252"/>
      <c r="Q698" s="1252"/>
      <c r="R698" s="1252"/>
      <c r="S698" s="1253"/>
      <c r="T698" s="1224">
        <f t="shared" si="50"/>
        <v>2391</v>
      </c>
      <c r="U698" s="1225"/>
      <c r="V698" s="1225"/>
      <c r="W698" s="1225"/>
      <c r="X698" s="1226"/>
      <c r="Y698" s="1251">
        <f>+Y$696</f>
        <v>136</v>
      </c>
      <c r="Z698" s="1252"/>
      <c r="AA698" s="1252"/>
      <c r="AB698" s="1253"/>
      <c r="AC698" s="1224">
        <f t="shared" si="51"/>
        <v>933</v>
      </c>
      <c r="AD698" s="1225"/>
      <c r="AE698" s="1225"/>
      <c r="AF698" s="1225"/>
      <c r="AG698" s="1226"/>
      <c r="AH698" s="1255">
        <v>0.3</v>
      </c>
      <c r="AI698" s="1256"/>
      <c r="AJ698" s="1256"/>
      <c r="AK698" s="1256"/>
      <c r="AL698" s="1257"/>
      <c r="AM698" s="1221">
        <f t="shared" si="59"/>
        <v>0.29980719794344474</v>
      </c>
      <c r="AN698" s="1222"/>
      <c r="AO698" s="1223"/>
      <c r="AV698" s="43">
        <f t="shared" si="52"/>
        <v>3112</v>
      </c>
      <c r="AX698" s="41"/>
      <c r="AY698" s="445">
        <f t="shared" si="53"/>
        <v>3</v>
      </c>
      <c r="AZ698" s="451">
        <f t="shared" si="54"/>
        <v>4.2253521126760563E-2</v>
      </c>
      <c r="BA698" s="452">
        <f t="shared" si="55"/>
        <v>1.2676056338028168E-2</v>
      </c>
      <c r="BB698" s="41"/>
      <c r="BC698" s="41"/>
      <c r="BD698" s="41"/>
      <c r="BE698" s="850">
        <f t="shared" si="56"/>
        <v>3</v>
      </c>
      <c r="BF698" s="854">
        <f t="shared" si="57"/>
        <v>4.2253521126760563E-2</v>
      </c>
      <c r="BG698" s="855">
        <f t="shared" si="58"/>
        <v>1.2667909772258228E-2</v>
      </c>
      <c r="BJ698" s="41"/>
      <c r="BK698" s="41"/>
      <c r="BL698" s="41"/>
      <c r="BM698" s="41"/>
      <c r="BN698" s="41"/>
      <c r="BO698" s="41"/>
      <c r="BP698" s="573" t="s">
        <v>391</v>
      </c>
      <c r="BQ698" s="572">
        <v>1540</v>
      </c>
      <c r="BR698" s="572">
        <v>1650</v>
      </c>
      <c r="BS698" s="572">
        <v>1980</v>
      </c>
      <c r="BT698" s="572">
        <v>2286</v>
      </c>
      <c r="BU698" s="572">
        <v>2550</v>
      </c>
      <c r="BV698" s="572">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2" customHeight="1">
      <c r="B699" s="1331" t="s">
        <v>779</v>
      </c>
      <c r="C699" s="1332"/>
      <c r="D699" s="1332"/>
      <c r="E699" s="1332"/>
      <c r="F699" s="1333"/>
      <c r="G699" s="1261">
        <v>2</v>
      </c>
      <c r="H699" s="1262"/>
      <c r="I699" s="1262"/>
      <c r="J699" s="1263"/>
      <c r="K699" s="1248">
        <v>1014</v>
      </c>
      <c r="L699" s="1249"/>
      <c r="M699" s="1249"/>
      <c r="N699" s="1250"/>
      <c r="O699" s="1251">
        <v>915</v>
      </c>
      <c r="P699" s="1252"/>
      <c r="Q699" s="1252"/>
      <c r="R699" s="1252"/>
      <c r="S699" s="1253"/>
      <c r="T699" s="1224">
        <f t="shared" si="50"/>
        <v>1830</v>
      </c>
      <c r="U699" s="1225"/>
      <c r="V699" s="1225"/>
      <c r="W699" s="1225"/>
      <c r="X699" s="1226"/>
      <c r="Y699" s="1251">
        <v>163</v>
      </c>
      <c r="Z699" s="1252"/>
      <c r="AA699" s="1252"/>
      <c r="AB699" s="1253"/>
      <c r="AC699" s="1224">
        <f t="shared" si="51"/>
        <v>1078</v>
      </c>
      <c r="AD699" s="1225"/>
      <c r="AE699" s="1225"/>
      <c r="AF699" s="1225"/>
      <c r="AG699" s="1226"/>
      <c r="AH699" s="1255">
        <v>0.3</v>
      </c>
      <c r="AI699" s="1256"/>
      <c r="AJ699" s="1256"/>
      <c r="AK699" s="1256"/>
      <c r="AL699" s="1257"/>
      <c r="AM699" s="1221">
        <f t="shared" si="59"/>
        <v>0.29977753058954393</v>
      </c>
      <c r="AN699" s="1222"/>
      <c r="AO699" s="1223"/>
      <c r="AV699" s="43">
        <f t="shared" si="52"/>
        <v>3596</v>
      </c>
      <c r="AX699" s="41"/>
      <c r="AY699" s="445">
        <f t="shared" si="53"/>
        <v>2</v>
      </c>
      <c r="AZ699" s="451">
        <f t="shared" si="54"/>
        <v>2.8169014084507043E-2</v>
      </c>
      <c r="BA699" s="452">
        <f t="shared" si="55"/>
        <v>8.4507042253521118E-3</v>
      </c>
      <c r="BB699" s="41"/>
      <c r="BC699" s="41"/>
      <c r="BD699" s="41"/>
      <c r="BE699" s="850">
        <f t="shared" si="56"/>
        <v>2</v>
      </c>
      <c r="BF699" s="854">
        <f t="shared" si="57"/>
        <v>2.8169014084507043E-2</v>
      </c>
      <c r="BG699" s="855">
        <f t="shared" si="58"/>
        <v>8.444437481395603E-3</v>
      </c>
      <c r="BJ699" s="41"/>
      <c r="BK699" s="41"/>
      <c r="BL699" s="41"/>
      <c r="BM699" s="41"/>
      <c r="BN699" s="41"/>
      <c r="BO699" s="41"/>
      <c r="BP699" s="573" t="s">
        <v>392</v>
      </c>
      <c r="BQ699" s="572">
        <v>1546</v>
      </c>
      <c r="BR699" s="572">
        <v>1656</v>
      </c>
      <c r="BS699" s="572">
        <v>1986</v>
      </c>
      <c r="BT699" s="572">
        <v>2296</v>
      </c>
      <c r="BU699" s="572">
        <v>2562</v>
      </c>
      <c r="BV699" s="572">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2" customHeight="1">
      <c r="B700" s="1331" t="s">
        <v>441</v>
      </c>
      <c r="C700" s="1332"/>
      <c r="D700" s="1332"/>
      <c r="E700" s="1332"/>
      <c r="F700" s="1333"/>
      <c r="G700" s="1261">
        <v>3</v>
      </c>
      <c r="H700" s="1262"/>
      <c r="I700" s="1262"/>
      <c r="J700" s="1263"/>
      <c r="K700" s="1248">
        <f>+K$695</f>
        <v>602</v>
      </c>
      <c r="L700" s="1249"/>
      <c r="M700" s="1249"/>
      <c r="N700" s="1250"/>
      <c r="O700" s="1251">
        <v>937</v>
      </c>
      <c r="P700" s="1252"/>
      <c r="Q700" s="1252"/>
      <c r="R700" s="1252"/>
      <c r="S700" s="1253"/>
      <c r="T700" s="1224">
        <f t="shared" si="50"/>
        <v>2811</v>
      </c>
      <c r="U700" s="1225"/>
      <c r="V700" s="1225"/>
      <c r="W700" s="1225"/>
      <c r="X700" s="1226"/>
      <c r="Y700" s="1251">
        <f>+Y$695</f>
        <v>101</v>
      </c>
      <c r="Z700" s="1252"/>
      <c r="AA700" s="1252"/>
      <c r="AB700" s="1253"/>
      <c r="AC700" s="1224">
        <f t="shared" si="51"/>
        <v>1038</v>
      </c>
      <c r="AD700" s="1225"/>
      <c r="AE700" s="1225"/>
      <c r="AF700" s="1225"/>
      <c r="AG700" s="1226"/>
      <c r="AH700" s="1255">
        <v>0.4</v>
      </c>
      <c r="AI700" s="1256"/>
      <c r="AJ700" s="1256"/>
      <c r="AK700" s="1256"/>
      <c r="AL700" s="1257"/>
      <c r="AM700" s="1221">
        <f t="shared" si="59"/>
        <v>0.40015420200462604</v>
      </c>
      <c r="AN700" s="1222"/>
      <c r="AO700" s="1223"/>
      <c r="AV700" s="43">
        <f t="shared" si="52"/>
        <v>2594</v>
      </c>
      <c r="AX700" s="41"/>
      <c r="AY700" s="445">
        <f t="shared" si="53"/>
        <v>3</v>
      </c>
      <c r="AZ700" s="451">
        <f t="shared" si="54"/>
        <v>4.2253521126760563E-2</v>
      </c>
      <c r="BA700" s="452">
        <f t="shared" si="55"/>
        <v>1.6901408450704227E-2</v>
      </c>
      <c r="BB700" s="41"/>
      <c r="BC700" s="41"/>
      <c r="BD700" s="41"/>
      <c r="BE700" s="850">
        <f t="shared" si="56"/>
        <v>3</v>
      </c>
      <c r="BF700" s="854">
        <f t="shared" si="57"/>
        <v>4.2253521126760563E-2</v>
      </c>
      <c r="BG700" s="855">
        <f t="shared" si="58"/>
        <v>1.6907924028364479E-2</v>
      </c>
      <c r="BJ700" s="41"/>
      <c r="BK700" s="41"/>
      <c r="BL700" s="41"/>
      <c r="BM700" s="41"/>
      <c r="BN700" s="41"/>
      <c r="BO700" s="41"/>
      <c r="BP700" s="573" t="s">
        <v>393</v>
      </c>
      <c r="BQ700" s="572">
        <v>1540</v>
      </c>
      <c r="BR700" s="572">
        <v>1650</v>
      </c>
      <c r="BS700" s="572">
        <v>1980</v>
      </c>
      <c r="BT700" s="572">
        <v>2286</v>
      </c>
      <c r="BU700" s="572">
        <v>2550</v>
      </c>
      <c r="BV700" s="572">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2" customHeight="1">
      <c r="B701" s="1331" t="s">
        <v>778</v>
      </c>
      <c r="C701" s="1332"/>
      <c r="D701" s="1332"/>
      <c r="E701" s="1332"/>
      <c r="F701" s="1333"/>
      <c r="G701" s="1261">
        <v>2</v>
      </c>
      <c r="H701" s="1262"/>
      <c r="I701" s="1262"/>
      <c r="J701" s="1263"/>
      <c r="K701" s="1248">
        <f>+K$696</f>
        <v>733</v>
      </c>
      <c r="L701" s="1249"/>
      <c r="M701" s="1249"/>
      <c r="N701" s="1250"/>
      <c r="O701" s="1251">
        <v>1109</v>
      </c>
      <c r="P701" s="1252"/>
      <c r="Q701" s="1252"/>
      <c r="R701" s="1252"/>
      <c r="S701" s="1253"/>
      <c r="T701" s="1224">
        <f t="shared" si="50"/>
        <v>2218</v>
      </c>
      <c r="U701" s="1225"/>
      <c r="V701" s="1225"/>
      <c r="W701" s="1225"/>
      <c r="X701" s="1226"/>
      <c r="Y701" s="1251">
        <f>+Y$696</f>
        <v>136</v>
      </c>
      <c r="Z701" s="1252"/>
      <c r="AA701" s="1252"/>
      <c r="AB701" s="1253"/>
      <c r="AC701" s="1224">
        <f t="shared" si="51"/>
        <v>1245</v>
      </c>
      <c r="AD701" s="1225"/>
      <c r="AE701" s="1225"/>
      <c r="AF701" s="1225"/>
      <c r="AG701" s="1226"/>
      <c r="AH701" s="1255">
        <v>0.4</v>
      </c>
      <c r="AI701" s="1256"/>
      <c r="AJ701" s="1256"/>
      <c r="AK701" s="1256"/>
      <c r="AL701" s="1257"/>
      <c r="AM701" s="1221">
        <f t="shared" si="59"/>
        <v>0.40006426735218509</v>
      </c>
      <c r="AN701" s="1222"/>
      <c r="AO701" s="1223"/>
      <c r="AV701" s="43">
        <f t="shared" si="52"/>
        <v>3112</v>
      </c>
      <c r="AX701" s="41"/>
      <c r="AY701" s="445">
        <f t="shared" si="53"/>
        <v>2</v>
      </c>
      <c r="AZ701" s="451">
        <f t="shared" si="54"/>
        <v>2.8169014084507043E-2</v>
      </c>
      <c r="BA701" s="452">
        <f t="shared" si="55"/>
        <v>1.1267605633802818E-2</v>
      </c>
      <c r="BB701" s="41"/>
      <c r="BC701" s="41"/>
      <c r="BD701" s="41"/>
      <c r="BE701" s="850">
        <f t="shared" si="56"/>
        <v>2</v>
      </c>
      <c r="BF701" s="854">
        <f t="shared" si="57"/>
        <v>2.8169014084507043E-2</v>
      </c>
      <c r="BG701" s="855">
        <f t="shared" si="58"/>
        <v>1.1269415981751693E-2</v>
      </c>
      <c r="BJ701" s="41"/>
      <c r="BK701" s="41"/>
      <c r="BL701" s="41"/>
      <c r="BM701" s="41"/>
      <c r="BN701" s="41"/>
      <c r="BO701" s="41"/>
      <c r="BP701" s="573" t="s">
        <v>394</v>
      </c>
      <c r="BQ701" s="572">
        <v>1540</v>
      </c>
      <c r="BR701" s="572">
        <v>1650</v>
      </c>
      <c r="BS701" s="572">
        <v>1980</v>
      </c>
      <c r="BT701" s="572">
        <v>2286</v>
      </c>
      <c r="BU701" s="572">
        <v>2550</v>
      </c>
      <c r="BV701" s="572">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2" customHeight="1">
      <c r="B702" s="1331" t="s">
        <v>779</v>
      </c>
      <c r="C702" s="1332"/>
      <c r="D702" s="1332"/>
      <c r="E702" s="1332"/>
      <c r="F702" s="1333"/>
      <c r="G702" s="1261">
        <v>1</v>
      </c>
      <c r="H702" s="1262"/>
      <c r="I702" s="1262"/>
      <c r="J702" s="1263"/>
      <c r="K702" s="1248">
        <f>+K$699</f>
        <v>1014</v>
      </c>
      <c r="L702" s="1249"/>
      <c r="M702" s="1249"/>
      <c r="N702" s="1250"/>
      <c r="O702" s="1251">
        <v>1275</v>
      </c>
      <c r="P702" s="1252"/>
      <c r="Q702" s="1252"/>
      <c r="R702" s="1252"/>
      <c r="S702" s="1253"/>
      <c r="T702" s="1224">
        <f t="shared" si="50"/>
        <v>1275</v>
      </c>
      <c r="U702" s="1225"/>
      <c r="V702" s="1225"/>
      <c r="W702" s="1225"/>
      <c r="X702" s="1226"/>
      <c r="Y702" s="1251">
        <f>+Y$699</f>
        <v>163</v>
      </c>
      <c r="Z702" s="1252"/>
      <c r="AA702" s="1252"/>
      <c r="AB702" s="1253"/>
      <c r="AC702" s="1224">
        <f t="shared" si="51"/>
        <v>1438</v>
      </c>
      <c r="AD702" s="1225"/>
      <c r="AE702" s="1225"/>
      <c r="AF702" s="1225"/>
      <c r="AG702" s="1226"/>
      <c r="AH702" s="1255">
        <v>0.4</v>
      </c>
      <c r="AI702" s="1256"/>
      <c r="AJ702" s="1256"/>
      <c r="AK702" s="1256"/>
      <c r="AL702" s="1257"/>
      <c r="AM702" s="1221">
        <f t="shared" si="59"/>
        <v>0.39988876529477196</v>
      </c>
      <c r="AN702" s="1222"/>
      <c r="AO702" s="1223"/>
      <c r="AV702" s="43">
        <f t="shared" si="52"/>
        <v>3596</v>
      </c>
      <c r="AX702" s="41"/>
      <c r="AY702" s="445">
        <f t="shared" si="53"/>
        <v>1</v>
      </c>
      <c r="AZ702" s="451">
        <f t="shared" si="54"/>
        <v>1.4084507042253521E-2</v>
      </c>
      <c r="BA702" s="452">
        <f t="shared" si="55"/>
        <v>5.6338028169014088E-3</v>
      </c>
      <c r="BB702" s="41"/>
      <c r="BC702" s="41"/>
      <c r="BD702" s="41"/>
      <c r="BE702" s="850">
        <f t="shared" si="56"/>
        <v>1</v>
      </c>
      <c r="BF702" s="854">
        <f t="shared" si="57"/>
        <v>1.4084507042253521E-2</v>
      </c>
      <c r="BG702" s="855">
        <f t="shared" si="58"/>
        <v>5.6322361309122815E-3</v>
      </c>
      <c r="BJ702" s="41"/>
      <c r="BK702" s="41"/>
      <c r="BL702" s="41"/>
      <c r="BM702" s="41"/>
      <c r="BN702" s="41"/>
      <c r="BO702" s="41"/>
      <c r="BP702" s="573" t="s">
        <v>395</v>
      </c>
      <c r="BQ702" s="572">
        <v>1540</v>
      </c>
      <c r="BR702" s="572">
        <v>1650</v>
      </c>
      <c r="BS702" s="572">
        <v>1980</v>
      </c>
      <c r="BT702" s="572">
        <v>2286</v>
      </c>
      <c r="BU702" s="572">
        <v>2550</v>
      </c>
      <c r="BV702" s="572">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2" customHeight="1">
      <c r="B703" s="1331" t="s">
        <v>441</v>
      </c>
      <c r="C703" s="1332"/>
      <c r="D703" s="1332"/>
      <c r="E703" s="1332"/>
      <c r="F703" s="1333"/>
      <c r="G703" s="1261">
        <v>5</v>
      </c>
      <c r="H703" s="1262"/>
      <c r="I703" s="1262"/>
      <c r="J703" s="1263"/>
      <c r="K703" s="1248">
        <f>+K$695</f>
        <v>602</v>
      </c>
      <c r="L703" s="1249"/>
      <c r="M703" s="1249"/>
      <c r="N703" s="1250"/>
      <c r="O703" s="1251">
        <v>937</v>
      </c>
      <c r="P703" s="1252"/>
      <c r="Q703" s="1252"/>
      <c r="R703" s="1252"/>
      <c r="S703" s="1253"/>
      <c r="T703" s="1224">
        <f t="shared" si="50"/>
        <v>4685</v>
      </c>
      <c r="U703" s="1225"/>
      <c r="V703" s="1225"/>
      <c r="W703" s="1225"/>
      <c r="X703" s="1226"/>
      <c r="Y703" s="1251">
        <f>+Y$695</f>
        <v>101</v>
      </c>
      <c r="Z703" s="1252"/>
      <c r="AA703" s="1252"/>
      <c r="AB703" s="1253"/>
      <c r="AC703" s="1224">
        <f t="shared" si="51"/>
        <v>1038</v>
      </c>
      <c r="AD703" s="1225"/>
      <c r="AE703" s="1225"/>
      <c r="AF703" s="1225"/>
      <c r="AG703" s="1226"/>
      <c r="AH703" s="1255">
        <v>0.4</v>
      </c>
      <c r="AI703" s="1256"/>
      <c r="AJ703" s="1256"/>
      <c r="AK703" s="1256"/>
      <c r="AL703" s="1257"/>
      <c r="AM703" s="1221">
        <f t="shared" si="59"/>
        <v>0.40015420200462604</v>
      </c>
      <c r="AN703" s="1222"/>
      <c r="AO703" s="1223"/>
      <c r="AV703" s="43">
        <f t="shared" si="52"/>
        <v>2594</v>
      </c>
      <c r="AX703" s="41"/>
      <c r="AY703" s="445">
        <f t="shared" si="53"/>
        <v>5</v>
      </c>
      <c r="AZ703" s="451">
        <f t="shared" si="54"/>
        <v>7.0422535211267609E-2</v>
      </c>
      <c r="BA703" s="452">
        <f t="shared" si="55"/>
        <v>2.8169014084507046E-2</v>
      </c>
      <c r="BB703" s="41"/>
      <c r="BC703" s="41"/>
      <c r="BD703" s="41"/>
      <c r="BE703" s="850">
        <f t="shared" si="56"/>
        <v>5</v>
      </c>
      <c r="BF703" s="854">
        <f t="shared" si="57"/>
        <v>7.0422535211267609E-2</v>
      </c>
      <c r="BG703" s="855">
        <f t="shared" si="58"/>
        <v>2.817987338060747E-2</v>
      </c>
      <c r="BJ703" s="41"/>
      <c r="BK703" s="41"/>
      <c r="BL703" s="41"/>
      <c r="BM703" s="41"/>
      <c r="BN703" s="41"/>
      <c r="BO703" s="41"/>
      <c r="BP703" s="573" t="s">
        <v>396</v>
      </c>
      <c r="BQ703" s="572">
        <v>1540</v>
      </c>
      <c r="BR703" s="572">
        <v>1650</v>
      </c>
      <c r="BS703" s="572">
        <v>1980</v>
      </c>
      <c r="BT703" s="572">
        <v>2286</v>
      </c>
      <c r="BU703" s="572">
        <v>2550</v>
      </c>
      <c r="BV703" s="572">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2" customHeight="1">
      <c r="A704" s="41"/>
      <c r="B704" s="1331" t="s">
        <v>441</v>
      </c>
      <c r="C704" s="1332"/>
      <c r="D704" s="1332"/>
      <c r="E704" s="1332"/>
      <c r="F704" s="1333"/>
      <c r="G704" s="1261">
        <v>11</v>
      </c>
      <c r="H704" s="1262"/>
      <c r="I704" s="1262"/>
      <c r="J704" s="1263"/>
      <c r="K704" s="1248">
        <f>+K$695</f>
        <v>602</v>
      </c>
      <c r="L704" s="1249"/>
      <c r="M704" s="1249"/>
      <c r="N704" s="1250"/>
      <c r="O704" s="1251">
        <v>1196</v>
      </c>
      <c r="P704" s="1252"/>
      <c r="Q704" s="1252"/>
      <c r="R704" s="1252"/>
      <c r="S704" s="1253"/>
      <c r="T704" s="1224">
        <f t="shared" si="50"/>
        <v>13156</v>
      </c>
      <c r="U704" s="1225"/>
      <c r="V704" s="1225"/>
      <c r="W704" s="1225"/>
      <c r="X704" s="1226"/>
      <c r="Y704" s="1251">
        <f>+Y$695</f>
        <v>101</v>
      </c>
      <c r="Z704" s="1252"/>
      <c r="AA704" s="1252"/>
      <c r="AB704" s="1253"/>
      <c r="AC704" s="1224">
        <f t="shared" si="51"/>
        <v>1297</v>
      </c>
      <c r="AD704" s="1225"/>
      <c r="AE704" s="1225"/>
      <c r="AF704" s="1225"/>
      <c r="AG704" s="1226"/>
      <c r="AH704" s="1255">
        <v>0.5</v>
      </c>
      <c r="AI704" s="1256"/>
      <c r="AJ704" s="1256"/>
      <c r="AK704" s="1256"/>
      <c r="AL704" s="1257"/>
      <c r="AM704" s="1221">
        <f t="shared" si="59"/>
        <v>0.5</v>
      </c>
      <c r="AN704" s="1222"/>
      <c r="AO704" s="1223"/>
      <c r="AV704" s="43">
        <f t="shared" si="52"/>
        <v>2594</v>
      </c>
      <c r="AX704" s="41"/>
      <c r="AY704" s="445">
        <f t="shared" si="53"/>
        <v>11</v>
      </c>
      <c r="AZ704" s="451">
        <f t="shared" si="54"/>
        <v>0.15492957746478872</v>
      </c>
      <c r="BA704" s="452">
        <f t="shared" si="55"/>
        <v>7.746478873239436E-2</v>
      </c>
      <c r="BB704" s="41"/>
      <c r="BC704" s="41"/>
      <c r="BD704" s="41"/>
      <c r="BE704" s="850">
        <f t="shared" si="56"/>
        <v>11</v>
      </c>
      <c r="BF704" s="854">
        <f t="shared" si="57"/>
        <v>0.15492957746478872</v>
      </c>
      <c r="BG704" s="855">
        <f t="shared" si="58"/>
        <v>7.746478873239436E-2</v>
      </c>
      <c r="BJ704" s="41"/>
      <c r="BK704" s="41"/>
      <c r="BL704" s="41"/>
      <c r="BM704" s="41"/>
      <c r="BN704" s="41"/>
      <c r="BO704" s="41"/>
      <c r="BP704" s="573" t="s">
        <v>397</v>
      </c>
      <c r="BQ704" s="572">
        <v>1540</v>
      </c>
      <c r="BR704" s="572">
        <v>1650</v>
      </c>
      <c r="BS704" s="572">
        <v>1980</v>
      </c>
      <c r="BT704" s="572">
        <v>2286</v>
      </c>
      <c r="BU704" s="572">
        <v>2550</v>
      </c>
      <c r="BV704" s="572">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2" customHeight="1">
      <c r="A705" s="41"/>
      <c r="B705" s="1331" t="s">
        <v>441</v>
      </c>
      <c r="C705" s="1332"/>
      <c r="D705" s="1332"/>
      <c r="E705" s="1332"/>
      <c r="F705" s="1333"/>
      <c r="G705" s="1261">
        <v>5</v>
      </c>
      <c r="H705" s="1262"/>
      <c r="I705" s="1262"/>
      <c r="J705" s="1263"/>
      <c r="K705" s="1248">
        <f>+K$695</f>
        <v>602</v>
      </c>
      <c r="L705" s="1249"/>
      <c r="M705" s="1249"/>
      <c r="N705" s="1250"/>
      <c r="O705" s="1251">
        <v>1196</v>
      </c>
      <c r="P705" s="1252"/>
      <c r="Q705" s="1252"/>
      <c r="R705" s="1252"/>
      <c r="S705" s="1253"/>
      <c r="T705" s="1224">
        <f t="shared" si="50"/>
        <v>5980</v>
      </c>
      <c r="U705" s="1225"/>
      <c r="V705" s="1225"/>
      <c r="W705" s="1225"/>
      <c r="X705" s="1226"/>
      <c r="Y705" s="1251">
        <f>+Y$695</f>
        <v>101</v>
      </c>
      <c r="Z705" s="1252"/>
      <c r="AA705" s="1252"/>
      <c r="AB705" s="1253"/>
      <c r="AC705" s="1224">
        <f t="shared" si="51"/>
        <v>1297</v>
      </c>
      <c r="AD705" s="1225"/>
      <c r="AE705" s="1225"/>
      <c r="AF705" s="1225"/>
      <c r="AG705" s="1226"/>
      <c r="AH705" s="1255">
        <v>0.5</v>
      </c>
      <c r="AI705" s="1256"/>
      <c r="AJ705" s="1256"/>
      <c r="AK705" s="1256"/>
      <c r="AL705" s="1257"/>
      <c r="AM705" s="1221">
        <f t="shared" si="59"/>
        <v>0.5</v>
      </c>
      <c r="AN705" s="1222"/>
      <c r="AO705" s="1223"/>
      <c r="AV705" s="43">
        <f t="shared" si="52"/>
        <v>2594</v>
      </c>
      <c r="AX705" s="41"/>
      <c r="AY705" s="445">
        <f t="shared" si="53"/>
        <v>5</v>
      </c>
      <c r="AZ705" s="451">
        <f t="shared" si="54"/>
        <v>7.0422535211267609E-2</v>
      </c>
      <c r="BA705" s="452">
        <f t="shared" si="55"/>
        <v>3.5211267605633804E-2</v>
      </c>
      <c r="BB705" s="41"/>
      <c r="BC705" s="41"/>
      <c r="BD705" s="41"/>
      <c r="BE705" s="850">
        <f t="shared" si="56"/>
        <v>5</v>
      </c>
      <c r="BF705" s="854">
        <f t="shared" si="57"/>
        <v>7.0422535211267609E-2</v>
      </c>
      <c r="BG705" s="855">
        <f t="shared" si="58"/>
        <v>3.5211267605633804E-2</v>
      </c>
      <c r="BJ705" s="41"/>
      <c r="BK705" s="41"/>
      <c r="BL705" s="41"/>
      <c r="BM705" s="41"/>
      <c r="BN705" s="41"/>
      <c r="BO705" s="41"/>
      <c r="BP705" s="573" t="s">
        <v>398</v>
      </c>
      <c r="BQ705" s="572">
        <v>1540</v>
      </c>
      <c r="BR705" s="572">
        <v>1650</v>
      </c>
      <c r="BS705" s="572">
        <v>1980</v>
      </c>
      <c r="BT705" s="572">
        <v>2286</v>
      </c>
      <c r="BU705" s="572">
        <v>2550</v>
      </c>
      <c r="BV705" s="572">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2" customHeight="1">
      <c r="A706" s="41"/>
      <c r="B706" s="1331" t="s">
        <v>778</v>
      </c>
      <c r="C706" s="1332"/>
      <c r="D706" s="1332"/>
      <c r="E706" s="1332"/>
      <c r="F706" s="1333"/>
      <c r="G706" s="1261">
        <v>10</v>
      </c>
      <c r="H706" s="1262"/>
      <c r="I706" s="1262"/>
      <c r="J706" s="1263"/>
      <c r="K706" s="1248">
        <f>+K$696</f>
        <v>733</v>
      </c>
      <c r="L706" s="1249"/>
      <c r="M706" s="1249"/>
      <c r="N706" s="1250"/>
      <c r="O706" s="1251">
        <v>1420</v>
      </c>
      <c r="P706" s="1252"/>
      <c r="Q706" s="1252"/>
      <c r="R706" s="1252"/>
      <c r="S706" s="1253"/>
      <c r="T706" s="1224">
        <f t="shared" si="50"/>
        <v>14200</v>
      </c>
      <c r="U706" s="1225"/>
      <c r="V706" s="1225"/>
      <c r="W706" s="1225"/>
      <c r="X706" s="1226"/>
      <c r="Y706" s="1251">
        <f>+Y$696</f>
        <v>136</v>
      </c>
      <c r="Z706" s="1252"/>
      <c r="AA706" s="1252"/>
      <c r="AB706" s="1253"/>
      <c r="AC706" s="1224">
        <f t="shared" si="51"/>
        <v>1556</v>
      </c>
      <c r="AD706" s="1225"/>
      <c r="AE706" s="1225"/>
      <c r="AF706" s="1225"/>
      <c r="AG706" s="1226"/>
      <c r="AH706" s="1255">
        <v>0.5</v>
      </c>
      <c r="AI706" s="1256"/>
      <c r="AJ706" s="1256"/>
      <c r="AK706" s="1256"/>
      <c r="AL706" s="1257"/>
      <c r="AM706" s="1221">
        <f t="shared" si="59"/>
        <v>0.5</v>
      </c>
      <c r="AN706" s="1222"/>
      <c r="AO706" s="1223"/>
      <c r="AV706" s="43">
        <f t="shared" si="52"/>
        <v>3112</v>
      </c>
      <c r="AX706" s="41"/>
      <c r="AY706" s="445">
        <f t="shared" si="53"/>
        <v>10</v>
      </c>
      <c r="AZ706" s="451">
        <f t="shared" si="54"/>
        <v>0.14084507042253522</v>
      </c>
      <c r="BA706" s="452">
        <f t="shared" si="55"/>
        <v>7.0422535211267609E-2</v>
      </c>
      <c r="BB706" s="41"/>
      <c r="BC706" s="41"/>
      <c r="BD706" s="41"/>
      <c r="BE706" s="850">
        <f t="shared" si="56"/>
        <v>10</v>
      </c>
      <c r="BF706" s="854">
        <f t="shared" si="57"/>
        <v>0.14084507042253522</v>
      </c>
      <c r="BG706" s="855">
        <f t="shared" si="58"/>
        <v>7.0422535211267609E-2</v>
      </c>
      <c r="BJ706" s="41"/>
      <c r="BK706" s="41"/>
      <c r="BL706" s="41"/>
      <c r="BM706" s="41"/>
      <c r="BN706" s="41"/>
      <c r="BO706" s="41"/>
      <c r="BP706" s="573" t="s">
        <v>399</v>
      </c>
      <c r="BQ706" s="572">
        <v>2426</v>
      </c>
      <c r="BR706" s="572">
        <v>2600</v>
      </c>
      <c r="BS706" s="572">
        <v>3120</v>
      </c>
      <c r="BT706" s="572">
        <v>3606</v>
      </c>
      <c r="BU706" s="572">
        <v>4022</v>
      </c>
      <c r="BV706" s="572">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2" customHeight="1">
      <c r="B707" s="1331" t="s">
        <v>779</v>
      </c>
      <c r="C707" s="1332"/>
      <c r="D707" s="1332"/>
      <c r="E707" s="1332"/>
      <c r="F707" s="1333"/>
      <c r="G707" s="1261">
        <v>9</v>
      </c>
      <c r="H707" s="1262"/>
      <c r="I707" s="1262"/>
      <c r="J707" s="1263"/>
      <c r="K707" s="1248">
        <f>+K$699</f>
        <v>1014</v>
      </c>
      <c r="L707" s="1249"/>
      <c r="M707" s="1249"/>
      <c r="N707" s="1250"/>
      <c r="O707" s="1251">
        <v>1635</v>
      </c>
      <c r="P707" s="1252"/>
      <c r="Q707" s="1252"/>
      <c r="R707" s="1252"/>
      <c r="S707" s="1253"/>
      <c r="T707" s="1224">
        <f t="shared" si="50"/>
        <v>14715</v>
      </c>
      <c r="U707" s="1225"/>
      <c r="V707" s="1225"/>
      <c r="W707" s="1225"/>
      <c r="X707" s="1226"/>
      <c r="Y707" s="1251">
        <f>+Y$699</f>
        <v>163</v>
      </c>
      <c r="Z707" s="1252"/>
      <c r="AA707" s="1252"/>
      <c r="AB707" s="1253"/>
      <c r="AC707" s="1224">
        <f t="shared" si="51"/>
        <v>1798</v>
      </c>
      <c r="AD707" s="1225"/>
      <c r="AE707" s="1225"/>
      <c r="AF707" s="1225"/>
      <c r="AG707" s="1226"/>
      <c r="AH707" s="1255">
        <v>0.5</v>
      </c>
      <c r="AI707" s="1256"/>
      <c r="AJ707" s="1256"/>
      <c r="AK707" s="1256"/>
      <c r="AL707" s="1257"/>
      <c r="AM707" s="1221">
        <f t="shared" si="59"/>
        <v>0.5</v>
      </c>
      <c r="AN707" s="1222"/>
      <c r="AO707" s="1223"/>
      <c r="AV707" s="43">
        <f t="shared" si="52"/>
        <v>3596</v>
      </c>
      <c r="AX707" s="41"/>
      <c r="AY707" s="445">
        <f t="shared" si="53"/>
        <v>9</v>
      </c>
      <c r="AZ707" s="451">
        <f t="shared" si="54"/>
        <v>0.12676056338028169</v>
      </c>
      <c r="BA707" s="452">
        <f t="shared" si="55"/>
        <v>6.3380281690140844E-2</v>
      </c>
      <c r="BB707" s="41"/>
      <c r="BC707" s="41"/>
      <c r="BD707" s="41"/>
      <c r="BE707" s="850">
        <f t="shared" si="56"/>
        <v>9</v>
      </c>
      <c r="BF707" s="854">
        <f t="shared" si="57"/>
        <v>0.12676056338028169</v>
      </c>
      <c r="BG707" s="855">
        <f t="shared" si="58"/>
        <v>6.3380281690140844E-2</v>
      </c>
      <c r="BJ707" s="41"/>
      <c r="BK707" s="41"/>
      <c r="BL707" s="41"/>
      <c r="BM707" s="41"/>
      <c r="BN707" s="41"/>
      <c r="BO707" s="41"/>
      <c r="BP707" s="573" t="s">
        <v>400</v>
      </c>
      <c r="BQ707" s="572">
        <v>1540</v>
      </c>
      <c r="BR707" s="572">
        <v>1650</v>
      </c>
      <c r="BS707" s="572">
        <v>1980</v>
      </c>
      <c r="BT707" s="572">
        <v>2286</v>
      </c>
      <c r="BU707" s="572">
        <v>2550</v>
      </c>
      <c r="BV707" s="572">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2" customHeight="1">
      <c r="B708" s="1331" t="s">
        <v>441</v>
      </c>
      <c r="C708" s="1332"/>
      <c r="D708" s="1332"/>
      <c r="E708" s="1332"/>
      <c r="F708" s="1333"/>
      <c r="G708" s="1261">
        <v>3</v>
      </c>
      <c r="H708" s="1262"/>
      <c r="I708" s="1262"/>
      <c r="J708" s="1263"/>
      <c r="K708" s="1248">
        <f>+K$695</f>
        <v>602</v>
      </c>
      <c r="L708" s="1249"/>
      <c r="M708" s="1249"/>
      <c r="N708" s="1250"/>
      <c r="O708" s="1251">
        <v>1456</v>
      </c>
      <c r="P708" s="1252"/>
      <c r="Q708" s="1252"/>
      <c r="R708" s="1252"/>
      <c r="S708" s="1253"/>
      <c r="T708" s="1224">
        <f t="shared" si="50"/>
        <v>4368</v>
      </c>
      <c r="U708" s="1225"/>
      <c r="V708" s="1225"/>
      <c r="W708" s="1225"/>
      <c r="X708" s="1226"/>
      <c r="Y708" s="1251">
        <f>+Y$695</f>
        <v>101</v>
      </c>
      <c r="Z708" s="1252"/>
      <c r="AA708" s="1252"/>
      <c r="AB708" s="1253"/>
      <c r="AC708" s="1224">
        <f t="shared" si="51"/>
        <v>1557</v>
      </c>
      <c r="AD708" s="1225"/>
      <c r="AE708" s="1225"/>
      <c r="AF708" s="1225"/>
      <c r="AG708" s="1226"/>
      <c r="AH708" s="1255">
        <v>0.6</v>
      </c>
      <c r="AI708" s="1256"/>
      <c r="AJ708" s="1256"/>
      <c r="AK708" s="1256"/>
      <c r="AL708" s="1257"/>
      <c r="AM708" s="1221">
        <f t="shared" si="59"/>
        <v>0.60023130300693905</v>
      </c>
      <c r="AN708" s="1222"/>
      <c r="AO708" s="1223"/>
      <c r="AV708" s="43">
        <f t="shared" si="52"/>
        <v>2594</v>
      </c>
      <c r="AX708" s="41"/>
      <c r="AY708" s="445">
        <f t="shared" si="53"/>
        <v>3</v>
      </c>
      <c r="AZ708" s="451">
        <f t="shared" si="54"/>
        <v>4.2253521126760563E-2</v>
      </c>
      <c r="BA708" s="452">
        <f t="shared" si="55"/>
        <v>2.5352112676056335E-2</v>
      </c>
      <c r="BB708" s="41"/>
      <c r="BC708" s="41"/>
      <c r="BD708" s="41"/>
      <c r="BE708" s="850">
        <f t="shared" si="56"/>
        <v>3</v>
      </c>
      <c r="BF708" s="854">
        <f t="shared" si="57"/>
        <v>4.2253521126760563E-2</v>
      </c>
      <c r="BG708" s="855">
        <f t="shared" si="58"/>
        <v>2.536188604254672E-2</v>
      </c>
      <c r="BJ708" s="41"/>
      <c r="BK708" s="41"/>
      <c r="BL708" s="41"/>
      <c r="BM708" s="41"/>
      <c r="BN708" s="41"/>
      <c r="BO708" s="41"/>
      <c r="BP708" s="573" t="s">
        <v>401</v>
      </c>
      <c r="BQ708" s="572">
        <v>3426</v>
      </c>
      <c r="BR708" s="572">
        <v>3672</v>
      </c>
      <c r="BS708" s="572">
        <v>4406</v>
      </c>
      <c r="BT708" s="572">
        <v>5090</v>
      </c>
      <c r="BU708" s="572">
        <v>5680</v>
      </c>
      <c r="BV708" s="572">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2" customHeight="1">
      <c r="B709" s="1331" t="s">
        <v>778</v>
      </c>
      <c r="C709" s="1332"/>
      <c r="D709" s="1332"/>
      <c r="E709" s="1332"/>
      <c r="F709" s="1333"/>
      <c r="G709" s="1261">
        <v>5</v>
      </c>
      <c r="H709" s="1262"/>
      <c r="I709" s="1262"/>
      <c r="J709" s="1263"/>
      <c r="K709" s="1248">
        <f>+K$696</f>
        <v>733</v>
      </c>
      <c r="L709" s="1249"/>
      <c r="M709" s="1249"/>
      <c r="N709" s="1250"/>
      <c r="O709" s="1251">
        <v>1731</v>
      </c>
      <c r="P709" s="1252"/>
      <c r="Q709" s="1252"/>
      <c r="R709" s="1252"/>
      <c r="S709" s="1253"/>
      <c r="T709" s="1224">
        <f t="shared" si="50"/>
        <v>8655</v>
      </c>
      <c r="U709" s="1225"/>
      <c r="V709" s="1225"/>
      <c r="W709" s="1225"/>
      <c r="X709" s="1226"/>
      <c r="Y709" s="1251">
        <f>+Y$696</f>
        <v>136</v>
      </c>
      <c r="Z709" s="1252"/>
      <c r="AA709" s="1252"/>
      <c r="AB709" s="1253"/>
      <c r="AC709" s="1224">
        <f t="shared" si="51"/>
        <v>1867</v>
      </c>
      <c r="AD709" s="1225"/>
      <c r="AE709" s="1225"/>
      <c r="AF709" s="1225"/>
      <c r="AG709" s="1226"/>
      <c r="AH709" s="1255">
        <v>0.6</v>
      </c>
      <c r="AI709" s="1256"/>
      <c r="AJ709" s="1256"/>
      <c r="AK709" s="1256"/>
      <c r="AL709" s="1257"/>
      <c r="AM709" s="1221">
        <f t="shared" si="59"/>
        <v>0.59993573264781486</v>
      </c>
      <c r="AN709" s="1222"/>
      <c r="AO709" s="1223"/>
      <c r="AV709" s="43">
        <f t="shared" si="52"/>
        <v>3112</v>
      </c>
      <c r="AX709" s="41"/>
      <c r="AY709" s="445">
        <f t="shared" si="53"/>
        <v>5</v>
      </c>
      <c r="AZ709" s="451">
        <f t="shared" si="54"/>
        <v>7.0422535211267609E-2</v>
      </c>
      <c r="BA709" s="452">
        <f t="shared" si="55"/>
        <v>4.2253521126760563E-2</v>
      </c>
      <c r="BB709" s="41"/>
      <c r="BC709" s="41"/>
      <c r="BD709" s="41"/>
      <c r="BE709" s="850">
        <f t="shared" si="56"/>
        <v>5</v>
      </c>
      <c r="BF709" s="854">
        <f t="shared" si="57"/>
        <v>7.0422535211267609E-2</v>
      </c>
      <c r="BG709" s="855">
        <f t="shared" si="58"/>
        <v>4.2248995256888369E-2</v>
      </c>
      <c r="BJ709" s="41"/>
      <c r="BK709" s="41"/>
      <c r="BL709" s="41"/>
      <c r="BM709" s="41"/>
      <c r="BN709" s="41"/>
      <c r="BO709" s="41"/>
      <c r="BP709" s="573" t="s">
        <v>402</v>
      </c>
      <c r="BQ709" s="572">
        <v>1540</v>
      </c>
      <c r="BR709" s="572">
        <v>1650</v>
      </c>
      <c r="BS709" s="572">
        <v>1980</v>
      </c>
      <c r="BT709" s="572">
        <v>2286</v>
      </c>
      <c r="BU709" s="572">
        <v>2550</v>
      </c>
      <c r="BV709" s="572">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2" customHeight="1">
      <c r="B710" s="1331" t="s">
        <v>779</v>
      </c>
      <c r="C710" s="1332"/>
      <c r="D710" s="1332"/>
      <c r="E710" s="1332"/>
      <c r="F710" s="1333"/>
      <c r="G710" s="1261">
        <v>6</v>
      </c>
      <c r="H710" s="1262"/>
      <c r="I710" s="1262"/>
      <c r="J710" s="1263"/>
      <c r="K710" s="1248">
        <f>+K$699</f>
        <v>1014</v>
      </c>
      <c r="L710" s="1249"/>
      <c r="M710" s="1249"/>
      <c r="N710" s="1250"/>
      <c r="O710" s="1251">
        <v>1994</v>
      </c>
      <c r="P710" s="1252"/>
      <c r="Q710" s="1252"/>
      <c r="R710" s="1252"/>
      <c r="S710" s="1253"/>
      <c r="T710" s="1224">
        <f t="shared" si="50"/>
        <v>11964</v>
      </c>
      <c r="U710" s="1225"/>
      <c r="V710" s="1225"/>
      <c r="W710" s="1225"/>
      <c r="X710" s="1226"/>
      <c r="Y710" s="1251">
        <f>+Y$699</f>
        <v>163</v>
      </c>
      <c r="Z710" s="1252"/>
      <c r="AA710" s="1252"/>
      <c r="AB710" s="1253"/>
      <c r="AC710" s="1224">
        <f t="shared" si="51"/>
        <v>2157</v>
      </c>
      <c r="AD710" s="1225"/>
      <c r="AE710" s="1225"/>
      <c r="AF710" s="1225"/>
      <c r="AG710" s="1226"/>
      <c r="AH710" s="1255">
        <v>0.6</v>
      </c>
      <c r="AI710" s="1256"/>
      <c r="AJ710" s="1256"/>
      <c r="AK710" s="1256"/>
      <c r="AL710" s="1257"/>
      <c r="AM710" s="1221">
        <f t="shared" si="59"/>
        <v>0.59983314794215792</v>
      </c>
      <c r="AN710" s="1222"/>
      <c r="AO710" s="1223"/>
      <c r="AV710" s="43">
        <f t="shared" si="52"/>
        <v>3596</v>
      </c>
      <c r="AX710" s="41"/>
      <c r="AY710" s="445">
        <f t="shared" si="53"/>
        <v>6</v>
      </c>
      <c r="AZ710" s="451">
        <f t="shared" si="54"/>
        <v>8.4507042253521125E-2</v>
      </c>
      <c r="BA710" s="452">
        <f t="shared" si="55"/>
        <v>5.0704225352112671E-2</v>
      </c>
      <c r="BB710" s="41"/>
      <c r="BC710" s="41"/>
      <c r="BD710" s="41"/>
      <c r="BE710" s="850">
        <f t="shared" si="56"/>
        <v>6</v>
      </c>
      <c r="BF710" s="854">
        <f t="shared" si="57"/>
        <v>8.4507042253521125E-2</v>
      </c>
      <c r="BG710" s="855">
        <f t="shared" si="58"/>
        <v>5.0690125178210525E-2</v>
      </c>
      <c r="BJ710" s="41"/>
      <c r="BK710" s="41"/>
      <c r="BL710" s="41"/>
      <c r="BM710" s="41"/>
      <c r="BN710" s="41"/>
      <c r="BO710" s="41"/>
      <c r="BP710" s="573" t="s">
        <v>403</v>
      </c>
      <c r="BQ710" s="572">
        <v>1582</v>
      </c>
      <c r="BR710" s="572">
        <v>1696</v>
      </c>
      <c r="BS710" s="572">
        <v>2034</v>
      </c>
      <c r="BT710" s="572">
        <v>2350</v>
      </c>
      <c r="BU710" s="572">
        <v>2622</v>
      </c>
      <c r="BV710" s="572">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2"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50"/>
        <v>0</v>
      </c>
      <c r="U711" s="1225"/>
      <c r="V711" s="1225"/>
      <c r="W711" s="1225"/>
      <c r="X711" s="1226"/>
      <c r="Y711" s="1251"/>
      <c r="Z711" s="1252"/>
      <c r="AA711" s="1252"/>
      <c r="AB711" s="1253"/>
      <c r="AC711" s="1224">
        <f t="shared" si="51"/>
        <v>0</v>
      </c>
      <c r="AD711" s="1225"/>
      <c r="AE711" s="1225"/>
      <c r="AF711" s="1225"/>
      <c r="AG711" s="1226"/>
      <c r="AH711" s="1255"/>
      <c r="AI711" s="1256"/>
      <c r="AJ711" s="1256"/>
      <c r="AK711" s="1256"/>
      <c r="AL711" s="1257"/>
      <c r="AM711" s="1221" t="str">
        <f t="shared" si="59"/>
        <v/>
      </c>
      <c r="AN711" s="1222"/>
      <c r="AO711" s="1223"/>
      <c r="AV711" s="43" t="str">
        <f t="shared" si="52"/>
        <v>N/A</v>
      </c>
      <c r="AX711" s="41"/>
      <c r="AY711" s="445">
        <f t="shared" si="53"/>
        <v>0</v>
      </c>
      <c r="AZ711" s="451">
        <f t="shared" si="54"/>
        <v>0</v>
      </c>
      <c r="BA711" s="452">
        <f t="shared" si="55"/>
        <v>0</v>
      </c>
      <c r="BB711" s="41"/>
      <c r="BC711" s="41"/>
      <c r="BD711" s="41"/>
      <c r="BE711" s="850">
        <f t="shared" si="56"/>
        <v>0</v>
      </c>
      <c r="BF711" s="854" t="str">
        <f t="shared" si="57"/>
        <v/>
      </c>
      <c r="BG711" s="855" t="str">
        <f t="shared" si="58"/>
        <v/>
      </c>
      <c r="BJ711" s="41"/>
      <c r="BK711" s="41"/>
      <c r="BL711" s="41"/>
      <c r="BM711" s="41"/>
      <c r="BN711" s="41"/>
      <c r="BO711" s="41"/>
      <c r="BP711" s="573" t="s">
        <v>404</v>
      </c>
      <c r="BQ711" s="572">
        <v>1540</v>
      </c>
      <c r="BR711" s="572">
        <v>1650</v>
      </c>
      <c r="BS711" s="572">
        <v>1980</v>
      </c>
      <c r="BT711" s="572">
        <v>2286</v>
      </c>
      <c r="BU711" s="572">
        <v>2550</v>
      </c>
      <c r="BV711" s="572">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2"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50"/>
        <v>0</v>
      </c>
      <c r="U712" s="1225"/>
      <c r="V712" s="1225"/>
      <c r="W712" s="1225"/>
      <c r="X712" s="1226"/>
      <c r="Y712" s="1251"/>
      <c r="Z712" s="1252"/>
      <c r="AA712" s="1252"/>
      <c r="AB712" s="1253"/>
      <c r="AC712" s="1224">
        <f t="shared" si="51"/>
        <v>0</v>
      </c>
      <c r="AD712" s="1225"/>
      <c r="AE712" s="1225"/>
      <c r="AF712" s="1225"/>
      <c r="AG712" s="1226"/>
      <c r="AH712" s="1255"/>
      <c r="AI712" s="1256"/>
      <c r="AJ712" s="1256"/>
      <c r="AK712" s="1256"/>
      <c r="AL712" s="1257"/>
      <c r="AM712" s="1221" t="str">
        <f t="shared" si="59"/>
        <v/>
      </c>
      <c r="AN712" s="1222"/>
      <c r="AO712" s="1223"/>
      <c r="AV712" s="43" t="str">
        <f t="shared" si="52"/>
        <v>N/A</v>
      </c>
      <c r="AX712" s="41"/>
      <c r="AY712" s="445">
        <f t="shared" si="53"/>
        <v>0</v>
      </c>
      <c r="AZ712" s="451">
        <f t="shared" si="54"/>
        <v>0</v>
      </c>
      <c r="BA712" s="452">
        <f t="shared" si="55"/>
        <v>0</v>
      </c>
      <c r="BB712" s="43"/>
      <c r="BC712" s="43"/>
      <c r="BD712" s="43"/>
      <c r="BE712" s="850">
        <f t="shared" si="56"/>
        <v>0</v>
      </c>
      <c r="BF712" s="854" t="str">
        <f t="shared" si="57"/>
        <v/>
      </c>
      <c r="BG712" s="855" t="str">
        <f t="shared" si="58"/>
        <v/>
      </c>
      <c r="BJ712" s="41"/>
      <c r="BK712" s="41"/>
      <c r="BL712" s="41"/>
      <c r="BM712" s="41"/>
      <c r="BN712" s="41"/>
      <c r="BO712" s="41"/>
      <c r="BP712" s="573" t="s">
        <v>405</v>
      </c>
      <c r="BQ712" s="572">
        <v>1540</v>
      </c>
      <c r="BR712" s="572">
        <v>1650</v>
      </c>
      <c r="BS712" s="572">
        <v>1980</v>
      </c>
      <c r="BT712" s="572">
        <v>2286</v>
      </c>
      <c r="BU712" s="572">
        <v>2550</v>
      </c>
      <c r="BV712" s="572">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2"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50"/>
        <v>0</v>
      </c>
      <c r="U713" s="1225"/>
      <c r="V713" s="1225"/>
      <c r="W713" s="1225"/>
      <c r="X713" s="1226"/>
      <c r="Y713" s="1251"/>
      <c r="Z713" s="1252"/>
      <c r="AA713" s="1252"/>
      <c r="AB713" s="1253"/>
      <c r="AC713" s="1224">
        <f t="shared" si="51"/>
        <v>0</v>
      </c>
      <c r="AD713" s="1225"/>
      <c r="AE713" s="1225"/>
      <c r="AF713" s="1225"/>
      <c r="AG713" s="1226"/>
      <c r="AH713" s="1255"/>
      <c r="AI713" s="1256"/>
      <c r="AJ713" s="1256"/>
      <c r="AK713" s="1256"/>
      <c r="AL713" s="1257"/>
      <c r="AM713" s="1221" t="str">
        <f t="shared" si="59"/>
        <v/>
      </c>
      <c r="AN713" s="1222"/>
      <c r="AO713" s="1223"/>
      <c r="AV713" s="43" t="str">
        <f t="shared" si="52"/>
        <v>N/A</v>
      </c>
      <c r="AX713" s="41"/>
      <c r="AY713" s="445">
        <f t="shared" si="53"/>
        <v>0</v>
      </c>
      <c r="AZ713" s="451">
        <f t="shared" si="54"/>
        <v>0</v>
      </c>
      <c r="BA713" s="452">
        <f t="shared" si="55"/>
        <v>0</v>
      </c>
      <c r="BB713" s="43"/>
      <c r="BC713" s="43"/>
      <c r="BD713" s="43"/>
      <c r="BE713" s="850">
        <f t="shared" si="56"/>
        <v>0</v>
      </c>
      <c r="BF713" s="854" t="str">
        <f t="shared" si="57"/>
        <v/>
      </c>
      <c r="BG713" s="855" t="str">
        <f t="shared" si="58"/>
        <v/>
      </c>
      <c r="BJ713" s="41"/>
      <c r="BK713" s="41"/>
      <c r="BL713" s="41"/>
      <c r="BM713" s="41"/>
      <c r="BN713" s="41"/>
      <c r="BO713" s="41"/>
      <c r="BP713" s="573" t="s">
        <v>406</v>
      </c>
      <c r="BQ713" s="572">
        <v>1634</v>
      </c>
      <c r="BR713" s="572">
        <v>1752</v>
      </c>
      <c r="BS713" s="572">
        <v>2102</v>
      </c>
      <c r="BT713" s="572">
        <v>2430</v>
      </c>
      <c r="BU713" s="572">
        <v>2710</v>
      </c>
      <c r="BV713" s="572">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2"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50"/>
        <v>0</v>
      </c>
      <c r="U714" s="1225"/>
      <c r="V714" s="1225"/>
      <c r="W714" s="1225"/>
      <c r="X714" s="1226"/>
      <c r="Y714" s="1251"/>
      <c r="Z714" s="1252"/>
      <c r="AA714" s="1252"/>
      <c r="AB714" s="1253"/>
      <c r="AC714" s="1224">
        <f t="shared" si="51"/>
        <v>0</v>
      </c>
      <c r="AD714" s="1225"/>
      <c r="AE714" s="1225"/>
      <c r="AF714" s="1225"/>
      <c r="AG714" s="1226"/>
      <c r="AH714" s="1255"/>
      <c r="AI714" s="1256"/>
      <c r="AJ714" s="1256"/>
      <c r="AK714" s="1256"/>
      <c r="AL714" s="1257"/>
      <c r="AM714" s="1221" t="str">
        <f t="shared" si="59"/>
        <v/>
      </c>
      <c r="AN714" s="1222"/>
      <c r="AO714" s="1223"/>
      <c r="AV714" s="43" t="str">
        <f t="shared" si="52"/>
        <v>N/A</v>
      </c>
      <c r="AX714" s="41"/>
      <c r="AY714" s="445">
        <f t="shared" si="53"/>
        <v>0</v>
      </c>
      <c r="AZ714" s="451">
        <f t="shared" si="54"/>
        <v>0</v>
      </c>
      <c r="BA714" s="452">
        <f t="shared" si="55"/>
        <v>0</v>
      </c>
      <c r="BB714" s="43"/>
      <c r="BC714" s="43"/>
      <c r="BD714" s="43"/>
      <c r="BE714" s="850">
        <f t="shared" si="56"/>
        <v>0</v>
      </c>
      <c r="BF714" s="854" t="str">
        <f t="shared" si="57"/>
        <v/>
      </c>
      <c r="BG714" s="855" t="str">
        <f t="shared" si="58"/>
        <v/>
      </c>
      <c r="BJ714" s="41"/>
      <c r="BK714" s="41"/>
      <c r="BL714" s="41"/>
      <c r="BM714" s="41"/>
      <c r="BN714" s="41"/>
      <c r="BO714" s="41"/>
      <c r="BP714" s="573" t="s">
        <v>407</v>
      </c>
      <c r="BQ714" s="572">
        <v>2316</v>
      </c>
      <c r="BR714" s="572">
        <v>2482</v>
      </c>
      <c r="BS714" s="572">
        <v>2980</v>
      </c>
      <c r="BT714" s="572">
        <v>3442</v>
      </c>
      <c r="BU714" s="572">
        <v>3840</v>
      </c>
      <c r="BV714" s="572">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2"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50"/>
        <v>0</v>
      </c>
      <c r="U715" s="1225"/>
      <c r="V715" s="1225"/>
      <c r="W715" s="1225"/>
      <c r="X715" s="1226"/>
      <c r="Y715" s="1251"/>
      <c r="Z715" s="1252"/>
      <c r="AA715" s="1252"/>
      <c r="AB715" s="1253"/>
      <c r="AC715" s="1224">
        <f t="shared" si="51"/>
        <v>0</v>
      </c>
      <c r="AD715" s="1225"/>
      <c r="AE715" s="1225"/>
      <c r="AF715" s="1225"/>
      <c r="AG715" s="1226"/>
      <c r="AH715" s="1255"/>
      <c r="AI715" s="1256"/>
      <c r="AJ715" s="1256"/>
      <c r="AK715" s="1256"/>
      <c r="AL715" s="1257"/>
      <c r="AM715" s="1221" t="str">
        <f t="shared" si="59"/>
        <v/>
      </c>
      <c r="AN715" s="1222"/>
      <c r="AO715" s="1223"/>
      <c r="AV715" s="43" t="str">
        <f t="shared" si="52"/>
        <v>N/A</v>
      </c>
      <c r="AX715" s="41"/>
      <c r="AY715" s="445">
        <f t="shared" si="53"/>
        <v>0</v>
      </c>
      <c r="AZ715" s="451">
        <f t="shared" si="54"/>
        <v>0</v>
      </c>
      <c r="BA715" s="452">
        <f t="shared" si="55"/>
        <v>0</v>
      </c>
      <c r="BB715" s="43"/>
      <c r="BC715" s="43"/>
      <c r="BD715" s="43"/>
      <c r="BE715" s="850">
        <f t="shared" si="56"/>
        <v>0</v>
      </c>
      <c r="BF715" s="854" t="str">
        <f t="shared" si="57"/>
        <v/>
      </c>
      <c r="BG715" s="855" t="str">
        <f t="shared" si="58"/>
        <v/>
      </c>
      <c r="BH715" s="41"/>
      <c r="BI715" s="41"/>
      <c r="BJ715" s="41"/>
      <c r="BK715" s="41"/>
      <c r="BL715" s="41"/>
      <c r="BM715" s="41"/>
      <c r="BN715" s="41"/>
      <c r="BO715" s="41"/>
      <c r="BP715" s="573" t="s">
        <v>408</v>
      </c>
      <c r="BQ715" s="572">
        <v>2570</v>
      </c>
      <c r="BR715" s="572">
        <v>2752</v>
      </c>
      <c r="BS715" s="572">
        <v>3304</v>
      </c>
      <c r="BT715" s="572">
        <v>3816</v>
      </c>
      <c r="BU715" s="572">
        <v>4256</v>
      </c>
      <c r="BV715" s="572">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2"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50"/>
        <v>0</v>
      </c>
      <c r="U716" s="1225"/>
      <c r="V716" s="1225"/>
      <c r="W716" s="1225"/>
      <c r="X716" s="1226"/>
      <c r="Y716" s="1251"/>
      <c r="Z716" s="1252"/>
      <c r="AA716" s="1252"/>
      <c r="AB716" s="1253"/>
      <c r="AC716" s="1224">
        <f t="shared" si="51"/>
        <v>0</v>
      </c>
      <c r="AD716" s="1225"/>
      <c r="AE716" s="1225"/>
      <c r="AF716" s="1225"/>
      <c r="AG716" s="1226"/>
      <c r="AH716" s="1255"/>
      <c r="AI716" s="1256"/>
      <c r="AJ716" s="1256"/>
      <c r="AK716" s="1256"/>
      <c r="AL716" s="1257"/>
      <c r="AM716" s="1221" t="str">
        <f t="shared" si="59"/>
        <v/>
      </c>
      <c r="AN716" s="1222"/>
      <c r="AO716" s="1223"/>
      <c r="AV716" s="43" t="str">
        <f t="shared" si="52"/>
        <v>N/A</v>
      </c>
      <c r="AX716" s="41"/>
      <c r="AY716" s="445">
        <f t="shared" si="53"/>
        <v>0</v>
      </c>
      <c r="AZ716" s="451">
        <f t="shared" si="54"/>
        <v>0</v>
      </c>
      <c r="BA716" s="452">
        <f t="shared" si="55"/>
        <v>0</v>
      </c>
      <c r="BB716" s="43"/>
      <c r="BC716" s="43"/>
      <c r="BD716" s="43"/>
      <c r="BE716" s="850">
        <f t="shared" si="56"/>
        <v>0</v>
      </c>
      <c r="BF716" s="854" t="str">
        <f t="shared" si="57"/>
        <v/>
      </c>
      <c r="BG716" s="855" t="str">
        <f t="shared" si="58"/>
        <v/>
      </c>
      <c r="BH716" s="41"/>
      <c r="BI716" s="41"/>
      <c r="BJ716" s="41"/>
      <c r="BK716" s="41"/>
      <c r="BL716" s="41"/>
      <c r="BM716" s="41"/>
      <c r="BN716" s="41"/>
      <c r="BO716" s="41"/>
      <c r="BP716" s="573" t="s">
        <v>837</v>
      </c>
      <c r="BQ716" s="572">
        <v>1824</v>
      </c>
      <c r="BR716" s="572">
        <v>1954</v>
      </c>
      <c r="BS716" s="572">
        <v>2344</v>
      </c>
      <c r="BT716" s="572">
        <v>2710</v>
      </c>
      <c r="BU716" s="572">
        <v>3022</v>
      </c>
      <c r="BV716" s="572">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2"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50"/>
        <v>0</v>
      </c>
      <c r="U717" s="1225"/>
      <c r="V717" s="1225"/>
      <c r="W717" s="1225"/>
      <c r="X717" s="1226"/>
      <c r="Y717" s="1251"/>
      <c r="Z717" s="1252"/>
      <c r="AA717" s="1252"/>
      <c r="AB717" s="1253"/>
      <c r="AC717" s="1224">
        <f t="shared" si="51"/>
        <v>0</v>
      </c>
      <c r="AD717" s="1225"/>
      <c r="AE717" s="1225"/>
      <c r="AF717" s="1225"/>
      <c r="AG717" s="1226"/>
      <c r="AH717" s="1255"/>
      <c r="AI717" s="1256"/>
      <c r="AJ717" s="1256"/>
      <c r="AK717" s="1256"/>
      <c r="AL717" s="1257"/>
      <c r="AM717" s="1221" t="str">
        <f t="shared" si="59"/>
        <v/>
      </c>
      <c r="AN717" s="1222"/>
      <c r="AO717" s="1223"/>
      <c r="AV717" s="43" t="str">
        <f t="shared" si="52"/>
        <v>N/A</v>
      </c>
      <c r="AX717" s="41"/>
      <c r="AY717" s="445">
        <f t="shared" si="53"/>
        <v>0</v>
      </c>
      <c r="AZ717" s="451">
        <f t="shared" si="54"/>
        <v>0</v>
      </c>
      <c r="BA717" s="452">
        <f t="shared" si="55"/>
        <v>0</v>
      </c>
      <c r="BB717" s="41"/>
      <c r="BC717" s="41"/>
      <c r="BD717" s="41"/>
      <c r="BE717" s="850">
        <f t="shared" si="56"/>
        <v>0</v>
      </c>
      <c r="BF717" s="854" t="str">
        <f t="shared" si="57"/>
        <v/>
      </c>
      <c r="BG717" s="855" t="str">
        <f t="shared" si="58"/>
        <v/>
      </c>
      <c r="BH717" s="41"/>
      <c r="BI717" s="41"/>
      <c r="BJ717" s="41"/>
      <c r="BK717" s="41"/>
      <c r="BL717" s="41"/>
      <c r="BM717" s="41"/>
      <c r="BN717" s="41"/>
      <c r="BO717" s="41"/>
      <c r="BP717" s="573" t="s">
        <v>838</v>
      </c>
      <c r="BQ717" s="572">
        <v>2762</v>
      </c>
      <c r="BR717" s="572">
        <v>2958</v>
      </c>
      <c r="BS717" s="572">
        <v>3552</v>
      </c>
      <c r="BT717" s="572">
        <v>4102</v>
      </c>
      <c r="BU717" s="572">
        <v>4576</v>
      </c>
      <c r="BV717" s="572">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2"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50"/>
        <v>0</v>
      </c>
      <c r="U718" s="1225"/>
      <c r="V718" s="1225"/>
      <c r="W718" s="1225"/>
      <c r="X718" s="1226"/>
      <c r="Y718" s="1251"/>
      <c r="Z718" s="1252"/>
      <c r="AA718" s="1252"/>
      <c r="AB718" s="1253"/>
      <c r="AC718" s="1224">
        <f t="shared" si="51"/>
        <v>0</v>
      </c>
      <c r="AD718" s="1225"/>
      <c r="AE718" s="1225"/>
      <c r="AF718" s="1225"/>
      <c r="AG718" s="1226"/>
      <c r="AH718" s="1255"/>
      <c r="AI718" s="1256"/>
      <c r="AJ718" s="1256"/>
      <c r="AK718" s="1256"/>
      <c r="AL718" s="1257"/>
      <c r="AM718" s="1221" t="str">
        <f t="shared" si="59"/>
        <v/>
      </c>
      <c r="AN718" s="1222"/>
      <c r="AO718" s="1223"/>
      <c r="AV718" s="43" t="str">
        <f t="shared" si="52"/>
        <v>N/A</v>
      </c>
      <c r="AX718" s="41"/>
      <c r="AY718" s="445">
        <f t="shared" si="53"/>
        <v>0</v>
      </c>
      <c r="AZ718" s="451">
        <f t="shared" si="54"/>
        <v>0</v>
      </c>
      <c r="BA718" s="452">
        <f t="shared" si="55"/>
        <v>0</v>
      </c>
      <c r="BB718" s="41"/>
      <c r="BC718" s="41"/>
      <c r="BD718" s="41"/>
      <c r="BE718" s="850">
        <f t="shared" si="56"/>
        <v>0</v>
      </c>
      <c r="BF718" s="854" t="str">
        <f t="shared" si="57"/>
        <v/>
      </c>
      <c r="BG718" s="855" t="str">
        <f t="shared" si="58"/>
        <v/>
      </c>
      <c r="BJ718" s="41"/>
      <c r="BK718" s="41"/>
      <c r="BL718" s="41"/>
      <c r="BM718" s="41"/>
      <c r="BN718" s="41"/>
      <c r="BO718" s="41"/>
      <c r="BP718" s="573" t="s">
        <v>839</v>
      </c>
      <c r="BQ718" s="572">
        <v>2064</v>
      </c>
      <c r="BR718" s="572">
        <v>2210</v>
      </c>
      <c r="BS718" s="572">
        <v>2652</v>
      </c>
      <c r="BT718" s="572">
        <v>3064</v>
      </c>
      <c r="BU718" s="572">
        <v>3420</v>
      </c>
      <c r="BV718" s="572">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2"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60">G719*O719</f>
        <v>0</v>
      </c>
      <c r="U719" s="1225"/>
      <c r="V719" s="1225"/>
      <c r="W719" s="1225"/>
      <c r="X719" s="1226"/>
      <c r="Y719" s="1251"/>
      <c r="Z719" s="1252"/>
      <c r="AA719" s="1252"/>
      <c r="AB719" s="1253"/>
      <c r="AC719" s="1224">
        <f t="shared" ref="AC719:AC728" si="61">O719+Y719</f>
        <v>0</v>
      </c>
      <c r="AD719" s="1225"/>
      <c r="AE719" s="1225"/>
      <c r="AF719" s="1225"/>
      <c r="AG719" s="1226"/>
      <c r="AH719" s="1255"/>
      <c r="AI719" s="1256"/>
      <c r="AJ719" s="1256"/>
      <c r="AK719" s="1256"/>
      <c r="AL719" s="1257"/>
      <c r="AM719" s="1221" t="str">
        <f t="shared" ref="AM719:AM728" si="62">IF($AH719&gt;0,($AC719/$AV719), "")</f>
        <v/>
      </c>
      <c r="AN719" s="1222"/>
      <c r="AO719" s="1223"/>
      <c r="AV719" s="43" t="str">
        <f t="shared" si="52"/>
        <v>N/A</v>
      </c>
      <c r="AY719" s="445">
        <f t="shared" ref="AY719:AY728" si="63">G719</f>
        <v>0</v>
      </c>
      <c r="AZ719" s="451">
        <f t="shared" ref="AZ719:AZ727" si="64">IF($AY$730=0,"",AY719/$AY$730)</f>
        <v>0</v>
      </c>
      <c r="BA719" s="452">
        <f t="shared" ref="BA719:BA728" si="65">IF(AZ719="","",AZ719*AH719)</f>
        <v>0</v>
      </c>
      <c r="BB719" s="41"/>
      <c r="BC719" s="41"/>
      <c r="BD719" s="41"/>
      <c r="BE719" s="850">
        <f t="shared" ref="BE719:BE728" si="66">G719</f>
        <v>0</v>
      </c>
      <c r="BF719" s="854" t="str">
        <f t="shared" ref="BF719:BF728" si="67">IF(BE719=0,"",BE719/$BE$730)</f>
        <v/>
      </c>
      <c r="BG719" s="855" t="str">
        <f t="shared" ref="BG719:BG728" si="68">IF(BF719="","",BF719*AM719)</f>
        <v/>
      </c>
      <c r="BJ719" s="41"/>
      <c r="BK719" s="41"/>
      <c r="BL719" s="41"/>
      <c r="BM719" s="41"/>
      <c r="BN719" s="41"/>
      <c r="BO719" s="41"/>
      <c r="BP719" s="573" t="s">
        <v>840</v>
      </c>
      <c r="BQ719" s="572">
        <v>1612</v>
      </c>
      <c r="BR719" s="572">
        <v>1726</v>
      </c>
      <c r="BS719" s="572">
        <v>2072</v>
      </c>
      <c r="BT719" s="572">
        <v>2394</v>
      </c>
      <c r="BU719" s="572">
        <v>2672</v>
      </c>
      <c r="BV719" s="572">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2"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60"/>
        <v>0</v>
      </c>
      <c r="U720" s="1225"/>
      <c r="V720" s="1225"/>
      <c r="W720" s="1225"/>
      <c r="X720" s="1226"/>
      <c r="Y720" s="1251"/>
      <c r="Z720" s="1252"/>
      <c r="AA720" s="1252"/>
      <c r="AB720" s="1253"/>
      <c r="AC720" s="1224">
        <f t="shared" si="61"/>
        <v>0</v>
      </c>
      <c r="AD720" s="1225"/>
      <c r="AE720" s="1225"/>
      <c r="AF720" s="1225"/>
      <c r="AG720" s="1226"/>
      <c r="AH720" s="1255"/>
      <c r="AI720" s="1256"/>
      <c r="AJ720" s="1256"/>
      <c r="AK720" s="1256"/>
      <c r="AL720" s="1257"/>
      <c r="AM720" s="1221" t="str">
        <f t="shared" si="62"/>
        <v/>
      </c>
      <c r="AN720" s="1222"/>
      <c r="AO720" s="1223"/>
      <c r="AV720" s="43" t="str">
        <f t="shared" si="52"/>
        <v>N/A</v>
      </c>
      <c r="AY720" s="445">
        <f t="shared" si="63"/>
        <v>0</v>
      </c>
      <c r="AZ720" s="451">
        <f t="shared" si="64"/>
        <v>0</v>
      </c>
      <c r="BA720" s="452">
        <f t="shared" si="65"/>
        <v>0</v>
      </c>
      <c r="BB720" s="41"/>
      <c r="BC720" s="41"/>
      <c r="BD720" s="41"/>
      <c r="BE720" s="850">
        <f t="shared" si="66"/>
        <v>0</v>
      </c>
      <c r="BF720" s="854" t="str">
        <f t="shared" si="67"/>
        <v/>
      </c>
      <c r="BG720" s="855" t="str">
        <f t="shared" si="68"/>
        <v/>
      </c>
      <c r="BJ720" s="41"/>
      <c r="BK720" s="41"/>
      <c r="BL720" s="41"/>
      <c r="BM720" s="41"/>
      <c r="BN720" s="41"/>
      <c r="BO720" s="41"/>
      <c r="BP720" s="573" t="s">
        <v>108</v>
      </c>
      <c r="BQ720" s="572">
        <v>1794</v>
      </c>
      <c r="BR720" s="572">
        <v>1922</v>
      </c>
      <c r="BS720" s="572">
        <v>2304</v>
      </c>
      <c r="BT720" s="572">
        <v>2664</v>
      </c>
      <c r="BU720" s="572">
        <v>2972</v>
      </c>
      <c r="BV720" s="572">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2"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60"/>
        <v>0</v>
      </c>
      <c r="U721" s="1225"/>
      <c r="V721" s="1225"/>
      <c r="W721" s="1225"/>
      <c r="X721" s="1226"/>
      <c r="Y721" s="1251"/>
      <c r="Z721" s="1252"/>
      <c r="AA721" s="1252"/>
      <c r="AB721" s="1253"/>
      <c r="AC721" s="1224">
        <f t="shared" si="61"/>
        <v>0</v>
      </c>
      <c r="AD721" s="1225"/>
      <c r="AE721" s="1225"/>
      <c r="AF721" s="1225"/>
      <c r="AG721" s="1226"/>
      <c r="AH721" s="1255"/>
      <c r="AI721" s="1256"/>
      <c r="AJ721" s="1256"/>
      <c r="AK721" s="1256"/>
      <c r="AL721" s="1257"/>
      <c r="AM721" s="1221" t="str">
        <f t="shared" si="62"/>
        <v/>
      </c>
      <c r="AN721" s="1222"/>
      <c r="AO721" s="1223"/>
      <c r="AV721" s="43" t="str">
        <f t="shared" si="52"/>
        <v>N/A</v>
      </c>
      <c r="AY721" s="445">
        <f t="shared" si="63"/>
        <v>0</v>
      </c>
      <c r="AZ721" s="451">
        <f t="shared" si="64"/>
        <v>0</v>
      </c>
      <c r="BA721" s="452">
        <f t="shared" si="65"/>
        <v>0</v>
      </c>
      <c r="BB721" s="41"/>
      <c r="BC721" s="41"/>
      <c r="BD721" s="41"/>
      <c r="BE721" s="850">
        <f t="shared" si="66"/>
        <v>0</v>
      </c>
      <c r="BF721" s="854" t="str">
        <f t="shared" si="67"/>
        <v/>
      </c>
      <c r="BG721" s="855" t="str">
        <f t="shared" si="68"/>
        <v/>
      </c>
      <c r="BJ721" s="41"/>
      <c r="BK721" s="41"/>
      <c r="BL721" s="41"/>
      <c r="BM721" s="41"/>
      <c r="BN721" s="41"/>
      <c r="BO721" s="41"/>
      <c r="BP721" s="573" t="s">
        <v>109</v>
      </c>
      <c r="BQ721" s="572">
        <v>2064</v>
      </c>
      <c r="BR721" s="572">
        <v>2210</v>
      </c>
      <c r="BS721" s="572">
        <v>2652</v>
      </c>
      <c r="BT721" s="572">
        <v>3064</v>
      </c>
      <c r="BU721" s="572">
        <v>3420</v>
      </c>
      <c r="BV721" s="572">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2"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60"/>
        <v>0</v>
      </c>
      <c r="U722" s="1225"/>
      <c r="V722" s="1225"/>
      <c r="W722" s="1225"/>
      <c r="X722" s="1226"/>
      <c r="Y722" s="1251"/>
      <c r="Z722" s="1252"/>
      <c r="AA722" s="1252"/>
      <c r="AB722" s="1253"/>
      <c r="AC722" s="1224">
        <f t="shared" si="61"/>
        <v>0</v>
      </c>
      <c r="AD722" s="1225"/>
      <c r="AE722" s="1225"/>
      <c r="AF722" s="1225"/>
      <c r="AG722" s="1226"/>
      <c r="AH722" s="1255"/>
      <c r="AI722" s="1256"/>
      <c r="AJ722" s="1256"/>
      <c r="AK722" s="1256"/>
      <c r="AL722" s="1257"/>
      <c r="AM722" s="1221" t="str">
        <f t="shared" si="62"/>
        <v/>
      </c>
      <c r="AN722" s="1222"/>
      <c r="AO722" s="1223"/>
      <c r="AV722" s="43" t="str">
        <f t="shared" si="52"/>
        <v>N/A</v>
      </c>
      <c r="AY722" s="445">
        <f t="shared" si="63"/>
        <v>0</v>
      </c>
      <c r="AZ722" s="451">
        <f t="shared" si="64"/>
        <v>0</v>
      </c>
      <c r="BA722" s="452">
        <f t="shared" si="65"/>
        <v>0</v>
      </c>
      <c r="BB722" s="41"/>
      <c r="BC722" s="41"/>
      <c r="BD722" s="41"/>
      <c r="BE722" s="850">
        <f t="shared" si="66"/>
        <v>0</v>
      </c>
      <c r="BF722" s="854" t="str">
        <f t="shared" si="67"/>
        <v/>
      </c>
      <c r="BG722" s="855" t="str">
        <f t="shared" si="68"/>
        <v/>
      </c>
      <c r="BJ722" s="43"/>
      <c r="BK722" s="43"/>
      <c r="BL722" s="43"/>
      <c r="BM722" s="43"/>
      <c r="BN722" s="43"/>
      <c r="BO722" s="43"/>
      <c r="BP722" s="573" t="s">
        <v>110</v>
      </c>
      <c r="BQ722" s="572">
        <v>2142</v>
      </c>
      <c r="BR722" s="572">
        <v>2296</v>
      </c>
      <c r="BS722" s="572">
        <v>2754</v>
      </c>
      <c r="BT722" s="572">
        <v>3182</v>
      </c>
      <c r="BU722" s="572">
        <v>3550</v>
      </c>
      <c r="BV722" s="572">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2"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60"/>
        <v>0</v>
      </c>
      <c r="U723" s="1225"/>
      <c r="V723" s="1225"/>
      <c r="W723" s="1225"/>
      <c r="X723" s="1226"/>
      <c r="Y723" s="1251"/>
      <c r="Z723" s="1252"/>
      <c r="AA723" s="1252"/>
      <c r="AB723" s="1253"/>
      <c r="AC723" s="1224">
        <f t="shared" si="61"/>
        <v>0</v>
      </c>
      <c r="AD723" s="1225"/>
      <c r="AE723" s="1225"/>
      <c r="AF723" s="1225"/>
      <c r="AG723" s="1226"/>
      <c r="AH723" s="1255"/>
      <c r="AI723" s="1256"/>
      <c r="AJ723" s="1256"/>
      <c r="AK723" s="1256"/>
      <c r="AL723" s="1257"/>
      <c r="AM723" s="1221" t="str">
        <f t="shared" si="62"/>
        <v/>
      </c>
      <c r="AN723" s="1222"/>
      <c r="AO723" s="1223"/>
      <c r="AV723" s="43" t="str">
        <f t="shared" si="52"/>
        <v>N/A</v>
      </c>
      <c r="AY723" s="445">
        <f t="shared" si="63"/>
        <v>0</v>
      </c>
      <c r="AZ723" s="451">
        <f t="shared" si="64"/>
        <v>0</v>
      </c>
      <c r="BA723" s="452">
        <f t="shared" si="65"/>
        <v>0</v>
      </c>
      <c r="BB723" s="41"/>
      <c r="BC723" s="41"/>
      <c r="BD723" s="41"/>
      <c r="BE723" s="850">
        <f t="shared" si="66"/>
        <v>0</v>
      </c>
      <c r="BF723" s="854" t="str">
        <f t="shared" si="67"/>
        <v/>
      </c>
      <c r="BG723" s="855" t="str">
        <f t="shared" si="68"/>
        <v/>
      </c>
      <c r="BJ723" s="43"/>
      <c r="BK723" s="43"/>
      <c r="BL723" s="43"/>
      <c r="BM723" s="43"/>
      <c r="BN723" s="43"/>
      <c r="BO723" s="43"/>
      <c r="BP723" s="573" t="s">
        <v>111</v>
      </c>
      <c r="BQ723" s="572">
        <v>1794</v>
      </c>
      <c r="BR723" s="572">
        <v>1922</v>
      </c>
      <c r="BS723" s="572">
        <v>2304</v>
      </c>
      <c r="BT723" s="572">
        <v>2664</v>
      </c>
      <c r="BU723" s="572">
        <v>2972</v>
      </c>
      <c r="BV723" s="572">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2"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60"/>
        <v>0</v>
      </c>
      <c r="U724" s="1225"/>
      <c r="V724" s="1225"/>
      <c r="W724" s="1225"/>
      <c r="X724" s="1226"/>
      <c r="Y724" s="1251"/>
      <c r="Z724" s="1252"/>
      <c r="AA724" s="1252"/>
      <c r="AB724" s="1253"/>
      <c r="AC724" s="1224">
        <f t="shared" si="61"/>
        <v>0</v>
      </c>
      <c r="AD724" s="1225"/>
      <c r="AE724" s="1225"/>
      <c r="AF724" s="1225"/>
      <c r="AG724" s="1226"/>
      <c r="AH724" s="1255"/>
      <c r="AI724" s="1256"/>
      <c r="AJ724" s="1256"/>
      <c r="AK724" s="1256"/>
      <c r="AL724" s="1257"/>
      <c r="AM724" s="1221" t="str">
        <f t="shared" si="62"/>
        <v/>
      </c>
      <c r="AN724" s="1222"/>
      <c r="AO724" s="1223"/>
      <c r="AV724" s="43" t="str">
        <f t="shared" si="52"/>
        <v>N/A</v>
      </c>
      <c r="AY724" s="445">
        <f t="shared" si="63"/>
        <v>0</v>
      </c>
      <c r="AZ724" s="451">
        <f t="shared" si="64"/>
        <v>0</v>
      </c>
      <c r="BA724" s="452">
        <f t="shared" si="65"/>
        <v>0</v>
      </c>
      <c r="BB724" s="41"/>
      <c r="BC724" s="41"/>
      <c r="BD724" s="41"/>
      <c r="BE724" s="850">
        <f t="shared" si="66"/>
        <v>0</v>
      </c>
      <c r="BF724" s="854" t="str">
        <f t="shared" si="67"/>
        <v/>
      </c>
      <c r="BG724" s="855" t="str">
        <f t="shared" si="68"/>
        <v/>
      </c>
      <c r="BJ724" s="43"/>
      <c r="BK724" s="43"/>
      <c r="BL724" s="43"/>
      <c r="BM724" s="43"/>
      <c r="BN724" s="43"/>
      <c r="BO724" s="43"/>
      <c r="BP724" s="573" t="s">
        <v>112</v>
      </c>
      <c r="BQ724" s="572">
        <v>2652</v>
      </c>
      <c r="BR724" s="572">
        <v>2840</v>
      </c>
      <c r="BS724" s="572">
        <v>3410</v>
      </c>
      <c r="BT724" s="572">
        <v>3940</v>
      </c>
      <c r="BU724" s="572">
        <v>4394</v>
      </c>
      <c r="BV724" s="572">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2"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60"/>
        <v>0</v>
      </c>
      <c r="U725" s="1225"/>
      <c r="V725" s="1225"/>
      <c r="W725" s="1225"/>
      <c r="X725" s="1226"/>
      <c r="Y725" s="1251"/>
      <c r="Z725" s="1252"/>
      <c r="AA725" s="1252"/>
      <c r="AB725" s="1253"/>
      <c r="AC725" s="1224">
        <f t="shared" si="61"/>
        <v>0</v>
      </c>
      <c r="AD725" s="1225"/>
      <c r="AE725" s="1225"/>
      <c r="AF725" s="1225"/>
      <c r="AG725" s="1226"/>
      <c r="AH725" s="1255"/>
      <c r="AI725" s="1256"/>
      <c r="AJ725" s="1256"/>
      <c r="AK725" s="1256"/>
      <c r="AL725" s="1257"/>
      <c r="AM725" s="1221" t="str">
        <f t="shared" si="62"/>
        <v/>
      </c>
      <c r="AN725" s="1222"/>
      <c r="AO725" s="1223"/>
      <c r="AV725" s="43" t="str">
        <f t="shared" si="52"/>
        <v>N/A</v>
      </c>
      <c r="AY725" s="445">
        <f t="shared" si="63"/>
        <v>0</v>
      </c>
      <c r="AZ725" s="451">
        <f t="shared" si="64"/>
        <v>0</v>
      </c>
      <c r="BA725" s="452">
        <f t="shared" si="65"/>
        <v>0</v>
      </c>
      <c r="BB725" s="41"/>
      <c r="BC725" s="41"/>
      <c r="BD725" s="41"/>
      <c r="BE725" s="850">
        <f t="shared" si="66"/>
        <v>0</v>
      </c>
      <c r="BF725" s="854" t="str">
        <f t="shared" si="67"/>
        <v/>
      </c>
      <c r="BG725" s="855" t="str">
        <f t="shared" si="68"/>
        <v/>
      </c>
      <c r="BJ725" s="43"/>
      <c r="BK725" s="43"/>
      <c r="BL725" s="43"/>
      <c r="BM725" s="43"/>
      <c r="BN725" s="43"/>
      <c r="BO725" s="43"/>
      <c r="BP725" s="573" t="s">
        <v>113</v>
      </c>
      <c r="BQ725" s="572">
        <v>3426</v>
      </c>
      <c r="BR725" s="572">
        <v>3672</v>
      </c>
      <c r="BS725" s="572">
        <v>4406</v>
      </c>
      <c r="BT725" s="572">
        <v>5090</v>
      </c>
      <c r="BU725" s="572">
        <v>5680</v>
      </c>
      <c r="BV725" s="572">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2"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60"/>
        <v>0</v>
      </c>
      <c r="U726" s="1225"/>
      <c r="V726" s="1225"/>
      <c r="W726" s="1225"/>
      <c r="X726" s="1226"/>
      <c r="Y726" s="1251"/>
      <c r="Z726" s="1252"/>
      <c r="AA726" s="1252"/>
      <c r="AB726" s="1253"/>
      <c r="AC726" s="1224">
        <f t="shared" si="61"/>
        <v>0</v>
      </c>
      <c r="AD726" s="1225"/>
      <c r="AE726" s="1225"/>
      <c r="AF726" s="1225"/>
      <c r="AG726" s="1226"/>
      <c r="AH726" s="1255"/>
      <c r="AI726" s="1256"/>
      <c r="AJ726" s="1256"/>
      <c r="AK726" s="1256"/>
      <c r="AL726" s="1257"/>
      <c r="AM726" s="1221" t="str">
        <f t="shared" si="62"/>
        <v/>
      </c>
      <c r="AN726" s="1222"/>
      <c r="AO726" s="1223"/>
      <c r="AV726" s="43" t="str">
        <f t="shared" si="52"/>
        <v>N/A</v>
      </c>
      <c r="AY726" s="445">
        <f t="shared" si="63"/>
        <v>0</v>
      </c>
      <c r="AZ726" s="451">
        <f t="shared" si="64"/>
        <v>0</v>
      </c>
      <c r="BA726" s="452">
        <f t="shared" si="65"/>
        <v>0</v>
      </c>
      <c r="BB726" s="41"/>
      <c r="BC726" s="41"/>
      <c r="BD726" s="41"/>
      <c r="BE726" s="850">
        <f t="shared" si="66"/>
        <v>0</v>
      </c>
      <c r="BF726" s="854" t="str">
        <f t="shared" si="67"/>
        <v/>
      </c>
      <c r="BG726" s="855" t="str">
        <f t="shared" si="68"/>
        <v/>
      </c>
      <c r="BJ726" s="43"/>
      <c r="BK726" s="43"/>
      <c r="BL726" s="43"/>
      <c r="BM726" s="43"/>
      <c r="BN726" s="43"/>
      <c r="BO726" s="43"/>
      <c r="BP726" s="573" t="s">
        <v>114</v>
      </c>
      <c r="BQ726" s="572">
        <v>1686</v>
      </c>
      <c r="BR726" s="572">
        <v>1808</v>
      </c>
      <c r="BS726" s="572">
        <v>2170</v>
      </c>
      <c r="BT726" s="572">
        <v>2506</v>
      </c>
      <c r="BU726" s="572">
        <v>2796</v>
      </c>
      <c r="BV726" s="572">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2"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60"/>
        <v>0</v>
      </c>
      <c r="U727" s="1225"/>
      <c r="V727" s="1225"/>
      <c r="W727" s="1225"/>
      <c r="X727" s="1226"/>
      <c r="Y727" s="1251"/>
      <c r="Z727" s="1252"/>
      <c r="AA727" s="1252"/>
      <c r="AB727" s="1253"/>
      <c r="AC727" s="1224">
        <f t="shared" si="61"/>
        <v>0</v>
      </c>
      <c r="AD727" s="1225"/>
      <c r="AE727" s="1225"/>
      <c r="AF727" s="1225"/>
      <c r="AG727" s="1226"/>
      <c r="AH727" s="1255"/>
      <c r="AI727" s="1256"/>
      <c r="AJ727" s="1256"/>
      <c r="AK727" s="1256"/>
      <c r="AL727" s="1257"/>
      <c r="AM727" s="1221" t="str">
        <f t="shared" si="62"/>
        <v/>
      </c>
      <c r="AN727" s="1222"/>
      <c r="AO727" s="1223"/>
      <c r="AV727" s="43" t="str">
        <f t="shared" si="52"/>
        <v>N/A</v>
      </c>
      <c r="AY727" s="445">
        <f t="shared" si="63"/>
        <v>0</v>
      </c>
      <c r="AZ727" s="451">
        <f t="shared" si="64"/>
        <v>0</v>
      </c>
      <c r="BA727" s="452">
        <f t="shared" si="65"/>
        <v>0</v>
      </c>
      <c r="BB727" s="41"/>
      <c r="BC727" s="41"/>
      <c r="BD727" s="41"/>
      <c r="BE727" s="850">
        <f t="shared" si="66"/>
        <v>0</v>
      </c>
      <c r="BF727" s="854" t="str">
        <f t="shared" si="67"/>
        <v/>
      </c>
      <c r="BG727" s="855" t="str">
        <f t="shared" si="68"/>
        <v/>
      </c>
      <c r="BJ727" s="43"/>
      <c r="BK727" s="43"/>
      <c r="BL727" s="43"/>
      <c r="BM727" s="43"/>
      <c r="BN727" s="43"/>
      <c r="BO727" s="43"/>
      <c r="BP727" s="573" t="s">
        <v>115</v>
      </c>
      <c r="BQ727" s="572">
        <v>2230</v>
      </c>
      <c r="BR727" s="572">
        <v>2388</v>
      </c>
      <c r="BS727" s="572">
        <v>2864</v>
      </c>
      <c r="BT727" s="572">
        <v>3310</v>
      </c>
      <c r="BU727" s="572">
        <v>3692</v>
      </c>
      <c r="BV727" s="572">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2"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60"/>
        <v>0</v>
      </c>
      <c r="U728" s="1225"/>
      <c r="V728" s="1225"/>
      <c r="W728" s="1225"/>
      <c r="X728" s="1226"/>
      <c r="Y728" s="1251"/>
      <c r="Z728" s="1252"/>
      <c r="AA728" s="1252"/>
      <c r="AB728" s="1253"/>
      <c r="AC728" s="1224">
        <f t="shared" si="61"/>
        <v>0</v>
      </c>
      <c r="AD728" s="1225"/>
      <c r="AE728" s="1225"/>
      <c r="AF728" s="1225"/>
      <c r="AG728" s="1226"/>
      <c r="AH728" s="1255"/>
      <c r="AI728" s="1256"/>
      <c r="AJ728" s="1256"/>
      <c r="AK728" s="1256"/>
      <c r="AL728" s="1257"/>
      <c r="AM728" s="1221" t="str">
        <f t="shared" si="62"/>
        <v/>
      </c>
      <c r="AN728" s="1222"/>
      <c r="AO728" s="1223"/>
      <c r="AV728" s="43" t="str">
        <f t="shared" si="52"/>
        <v>N/A</v>
      </c>
      <c r="AY728" s="445">
        <f t="shared" si="63"/>
        <v>0</v>
      </c>
      <c r="AZ728" s="451">
        <f>IF($AY$730=0,"",AY728/$AY$730)</f>
        <v>0</v>
      </c>
      <c r="BA728" s="452">
        <f t="shared" si="65"/>
        <v>0</v>
      </c>
      <c r="BB728" s="41"/>
      <c r="BC728" s="41"/>
      <c r="BD728" s="41"/>
      <c r="BE728" s="850">
        <f t="shared" si="66"/>
        <v>0</v>
      </c>
      <c r="BF728" s="854" t="str">
        <f t="shared" si="67"/>
        <v/>
      </c>
      <c r="BG728" s="855" t="str">
        <f t="shared" si="68"/>
        <v/>
      </c>
      <c r="BJ728" s="43"/>
      <c r="BK728" s="43"/>
      <c r="BL728" s="43"/>
      <c r="BM728" s="43"/>
      <c r="BN728" s="43"/>
      <c r="BO728" s="43"/>
      <c r="BP728" s="573" t="s">
        <v>116</v>
      </c>
      <c r="BQ728" s="572">
        <v>3426</v>
      </c>
      <c r="BR728" s="572">
        <v>3672</v>
      </c>
      <c r="BS728" s="572">
        <v>4406</v>
      </c>
      <c r="BT728" s="572">
        <v>5090</v>
      </c>
      <c r="BU728" s="572">
        <v>5680</v>
      </c>
      <c r="BV728" s="572">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2"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50"/>
        <v>0</v>
      </c>
      <c r="U729" s="1225"/>
      <c r="V729" s="1225"/>
      <c r="W729" s="1225"/>
      <c r="X729" s="1226"/>
      <c r="Y729" s="1251"/>
      <c r="Z729" s="1252"/>
      <c r="AA729" s="1252"/>
      <c r="AB729" s="1253"/>
      <c r="AC729" s="1224">
        <f t="shared" si="51"/>
        <v>0</v>
      </c>
      <c r="AD729" s="1225"/>
      <c r="AE729" s="1225"/>
      <c r="AF729" s="1225"/>
      <c r="AG729" s="1226"/>
      <c r="AH729" s="1255"/>
      <c r="AI729" s="1256"/>
      <c r="AJ729" s="1256"/>
      <c r="AK729" s="1256"/>
      <c r="AL729" s="1257"/>
      <c r="AM729" s="1221" t="str">
        <f>IF($AH729&gt;0,($AC729/$AV729), "")</f>
        <v/>
      </c>
      <c r="AN729" s="1222"/>
      <c r="AO729" s="1223"/>
      <c r="AV729" s="43" t="str">
        <f t="shared" si="52"/>
        <v>N/A</v>
      </c>
      <c r="AX729" s="41"/>
      <c r="AY729" s="446">
        <f>G729</f>
        <v>0</v>
      </c>
      <c r="AZ729" s="451">
        <f>IF($AY$730=0,"",AY729/$AY$730)</f>
        <v>0</v>
      </c>
      <c r="BA729" s="452">
        <f>IF(AZ729="","",AZ729*AH719)</f>
        <v>0</v>
      </c>
      <c r="BB729" s="41"/>
      <c r="BC729" s="41"/>
      <c r="BD729" s="41"/>
      <c r="BE729" s="853">
        <f>G729</f>
        <v>0</v>
      </c>
      <c r="BF729" s="854" t="str">
        <f>IF(BE729=0,"",BE729/$BE$730)</f>
        <v/>
      </c>
      <c r="BG729" s="855" t="str">
        <f>IF(BF729="","",BF729*AM719)</f>
        <v/>
      </c>
      <c r="BJ729" s="43"/>
      <c r="BK729" s="43"/>
      <c r="BL729" s="43"/>
      <c r="BM729" s="43"/>
      <c r="BN729" s="43"/>
      <c r="BO729" s="43"/>
      <c r="BP729" s="573" t="s">
        <v>801</v>
      </c>
      <c r="BQ729" s="572">
        <v>2846</v>
      </c>
      <c r="BR729" s="572">
        <v>3050</v>
      </c>
      <c r="BS729" s="572">
        <v>3660</v>
      </c>
      <c r="BT729" s="572">
        <v>4228</v>
      </c>
      <c r="BU729" s="572">
        <v>4716</v>
      </c>
      <c r="BV729" s="572">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2" customHeight="1">
      <c r="B730" s="1182" t="s">
        <v>875</v>
      </c>
      <c r="C730" s="1183"/>
      <c r="D730" s="1183"/>
      <c r="E730" s="1183"/>
      <c r="F730" s="1184"/>
      <c r="G730" s="1499">
        <f>SUM(G695:J729)</f>
        <v>71</v>
      </c>
      <c r="H730" s="1500"/>
      <c r="I730" s="1500"/>
      <c r="J730" s="1501"/>
      <c r="O730" s="429" t="s">
        <v>874</v>
      </c>
      <c r="P730" s="168"/>
      <c r="Q730" s="168"/>
      <c r="R730" s="168"/>
      <c r="S730" s="841"/>
      <c r="T730" s="1224">
        <f>SUM(T695:X729)</f>
        <v>92430</v>
      </c>
      <c r="U730" s="1225"/>
      <c r="V730" s="1225"/>
      <c r="W730" s="1225"/>
      <c r="X730" s="1226"/>
      <c r="AC730" s="842" t="s">
        <v>1137</v>
      </c>
      <c r="AD730" s="843"/>
      <c r="AE730" s="843"/>
      <c r="AF730" s="843"/>
      <c r="AG730" s="844"/>
      <c r="AH730" s="1227">
        <f>BA730</f>
        <v>0.47323943661971829</v>
      </c>
      <c r="AI730" s="1228"/>
      <c r="AJ730" s="1228"/>
      <c r="AK730" s="1228"/>
      <c r="AL730" s="1229"/>
      <c r="AM730" s="1227">
        <f>IFERROR(BG730,0)</f>
        <v>0.47322564399845479</v>
      </c>
      <c r="AN730" s="1228"/>
      <c r="AO730" s="1229"/>
      <c r="AX730" s="62" t="s">
        <v>873</v>
      </c>
      <c r="AY730" s="453">
        <f>SUM(AY695:AY729)</f>
        <v>71</v>
      </c>
      <c r="AZ730" s="454">
        <f>SUM(AZ695:AZ729)</f>
        <v>1</v>
      </c>
      <c r="BA730" s="454">
        <f>SUM(BA695:BA729)</f>
        <v>0.47323943661971829</v>
      </c>
      <c r="BB730" s="41"/>
      <c r="BC730" s="41"/>
      <c r="BD730" s="41"/>
      <c r="BE730" s="851">
        <f>SUM(BE695:BE729)</f>
        <v>71</v>
      </c>
      <c r="BF730" s="852">
        <f>SUM(BF695:BF729)</f>
        <v>1</v>
      </c>
      <c r="BG730" s="852">
        <f>SUM(BG695:BG729)</f>
        <v>0.47322564399845479</v>
      </c>
      <c r="BJ730" s="43"/>
      <c r="BK730" s="43"/>
      <c r="BL730" s="43"/>
      <c r="BM730" s="43"/>
      <c r="BN730" s="43"/>
      <c r="BO730" s="43"/>
      <c r="BP730" s="573" t="s">
        <v>802</v>
      </c>
      <c r="BQ730" s="572">
        <v>3226</v>
      </c>
      <c r="BR730" s="572">
        <v>3456</v>
      </c>
      <c r="BS730" s="572">
        <v>4146</v>
      </c>
      <c r="BT730" s="572">
        <v>4792</v>
      </c>
      <c r="BU730" s="572">
        <v>5344</v>
      </c>
      <c r="BV730" s="572">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 customHeight="1">
      <c r="B731" s="62"/>
      <c r="C731" s="1467" t="s">
        <v>2057</v>
      </c>
      <c r="D731" s="1467"/>
      <c r="E731" s="1467"/>
      <c r="F731" s="1467"/>
      <c r="G731" s="1467"/>
      <c r="H731" s="1467"/>
      <c r="I731" s="1467"/>
      <c r="J731" s="1467"/>
      <c r="K731" s="1467"/>
      <c r="L731" s="1467"/>
      <c r="M731" s="1467"/>
      <c r="N731" s="1467"/>
      <c r="O731" s="1467"/>
      <c r="P731" s="1467"/>
      <c r="Q731" s="1467"/>
      <c r="R731" s="1467"/>
      <c r="S731" s="1467"/>
      <c r="T731" s="1467"/>
      <c r="U731" s="1467"/>
      <c r="V731" s="1467"/>
      <c r="W731" s="1467"/>
      <c r="X731" s="1467"/>
      <c r="Y731" s="1467"/>
      <c r="Z731" s="1467"/>
      <c r="AA731" s="1467"/>
      <c r="AB731" s="1467"/>
      <c r="AC731" s="1467"/>
      <c r="AD731" s="1467"/>
      <c r="AE731" s="1467"/>
      <c r="AF731" s="1467"/>
      <c r="AG731" s="1467"/>
      <c r="AH731" s="1467"/>
      <c r="AL731" s="41"/>
      <c r="AM731" s="43"/>
      <c r="BA731" s="41"/>
      <c r="BB731" s="41"/>
      <c r="BC731" s="41"/>
      <c r="BD731" s="41"/>
      <c r="BE731" s="41"/>
      <c r="BF731" s="41"/>
      <c r="BJ731" s="41"/>
      <c r="BK731" s="41"/>
      <c r="BL731" s="41"/>
      <c r="BM731" s="41"/>
      <c r="BN731" s="41"/>
      <c r="BO731" s="41"/>
      <c r="BP731" s="573" t="s">
        <v>803</v>
      </c>
      <c r="BQ731" s="572">
        <v>3170</v>
      </c>
      <c r="BR731" s="572">
        <v>3396</v>
      </c>
      <c r="BS731" s="572">
        <v>4074</v>
      </c>
      <c r="BT731" s="572">
        <v>4708</v>
      </c>
      <c r="BU731" s="572">
        <v>5252</v>
      </c>
      <c r="BV731" s="572">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2" customHeight="1">
      <c r="C732" s="1467"/>
      <c r="D732" s="1467"/>
      <c r="E732" s="1467"/>
      <c r="F732" s="1467"/>
      <c r="G732" s="1467"/>
      <c r="H732" s="1467"/>
      <c r="I732" s="1467"/>
      <c r="J732" s="1467"/>
      <c r="K732" s="1467"/>
      <c r="L732" s="1467"/>
      <c r="M732" s="1467"/>
      <c r="N732" s="1467"/>
      <c r="O732" s="1467"/>
      <c r="P732" s="1467"/>
      <c r="Q732" s="1467"/>
      <c r="R732" s="1467"/>
      <c r="S732" s="1467"/>
      <c r="T732" s="1467"/>
      <c r="U732" s="1467"/>
      <c r="V732" s="1467"/>
      <c r="W732" s="1467"/>
      <c r="X732" s="1467"/>
      <c r="Y732" s="1467"/>
      <c r="Z732" s="1467"/>
      <c r="AA732" s="1467"/>
      <c r="AB732" s="1467"/>
      <c r="AC732" s="1467"/>
      <c r="AD732" s="1467"/>
      <c r="AE732" s="1467"/>
      <c r="AF732" s="1467"/>
      <c r="AG732" s="1467"/>
      <c r="AH732" s="1467"/>
      <c r="AL732" s="41"/>
      <c r="AM732" s="41"/>
      <c r="BA732" s="41"/>
      <c r="BB732" s="41"/>
      <c r="BC732" s="41"/>
      <c r="BD732" s="41"/>
      <c r="BE732" s="41"/>
      <c r="BF732" s="41"/>
      <c r="BJ732" s="41"/>
      <c r="BK732" s="41"/>
      <c r="BL732" s="41"/>
      <c r="BM732" s="41"/>
      <c r="BN732" s="41"/>
      <c r="BO732" s="41"/>
      <c r="BP732" s="573" t="s">
        <v>804</v>
      </c>
      <c r="BQ732" s="572">
        <v>1560</v>
      </c>
      <c r="BR732" s="572">
        <v>1670</v>
      </c>
      <c r="BS732" s="572">
        <v>2004</v>
      </c>
      <c r="BT732" s="572">
        <v>2316</v>
      </c>
      <c r="BU732" s="572">
        <v>2584</v>
      </c>
      <c r="BV732" s="572">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2" customHeight="1">
      <c r="C733" s="270" t="s">
        <v>2058</v>
      </c>
      <c r="D733" s="921"/>
      <c r="E733" s="921"/>
      <c r="F733" s="921"/>
      <c r="G733" s="922"/>
      <c r="H733" s="922"/>
      <c r="I733" s="922"/>
      <c r="J733" s="922"/>
      <c r="K733" s="921"/>
      <c r="L733" s="921"/>
      <c r="M733" s="921"/>
      <c r="N733" s="921"/>
      <c r="O733" s="1530">
        <f>CQ628</f>
        <v>128</v>
      </c>
      <c r="P733" s="1530"/>
      <c r="Q733" s="1530"/>
      <c r="R733" s="1530"/>
      <c r="S733" s="923"/>
      <c r="T733" s="923"/>
      <c r="U733" s="270" t="s">
        <v>2059</v>
      </c>
      <c r="V733" s="921"/>
      <c r="W733" s="921"/>
      <c r="X733" s="921"/>
      <c r="Y733" s="922"/>
      <c r="Z733" s="922"/>
      <c r="AA733" s="922"/>
      <c r="AB733" s="922"/>
      <c r="AC733" s="921"/>
      <c r="AD733" s="921"/>
      <c r="AE733" s="921"/>
      <c r="AF733" s="921"/>
      <c r="AG733" s="1496"/>
      <c r="AH733" s="1496"/>
      <c r="AI733" s="1496"/>
      <c r="AJ733" s="1496"/>
      <c r="AK733" s="41"/>
      <c r="AL733" s="41"/>
      <c r="AM733" s="41"/>
      <c r="BA733" s="41"/>
      <c r="BB733" s="41"/>
      <c r="BC733" s="41"/>
      <c r="BD733" s="41"/>
      <c r="BE733" s="41"/>
      <c r="BF733" s="41"/>
      <c r="BJ733" s="41"/>
      <c r="BK733" s="41"/>
      <c r="BL733" s="41"/>
      <c r="BM733" s="41"/>
      <c r="BN733" s="41"/>
      <c r="BO733" s="41"/>
      <c r="BP733" s="573" t="s">
        <v>805</v>
      </c>
      <c r="BQ733" s="572">
        <v>1540</v>
      </c>
      <c r="BR733" s="572">
        <v>1650</v>
      </c>
      <c r="BS733" s="572">
        <v>1980</v>
      </c>
      <c r="BT733" s="572">
        <v>2286</v>
      </c>
      <c r="BU733" s="572">
        <v>2550</v>
      </c>
      <c r="BV733" s="572">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2"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J734" s="41"/>
      <c r="BK734" s="41"/>
      <c r="BL734" s="41"/>
      <c r="BM734" s="41"/>
      <c r="BN734" s="41"/>
      <c r="BO734" s="41"/>
      <c r="BP734" s="573" t="s">
        <v>806</v>
      </c>
      <c r="BQ734" s="572">
        <v>1540</v>
      </c>
      <c r="BR734" s="572">
        <v>1650</v>
      </c>
      <c r="BS734" s="572">
        <v>1980</v>
      </c>
      <c r="BT734" s="572">
        <v>2286</v>
      </c>
      <c r="BU734" s="572">
        <v>2550</v>
      </c>
      <c r="BV734" s="572">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2" customHeight="1">
      <c r="B735" s="491"/>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J735" s="41"/>
      <c r="BK735" s="41"/>
      <c r="BL735" s="41"/>
      <c r="BM735" s="41"/>
      <c r="BN735" s="41"/>
      <c r="BO735" s="41"/>
      <c r="BP735" s="573" t="s">
        <v>807</v>
      </c>
      <c r="BQ735" s="572">
        <v>2202</v>
      </c>
      <c r="BR735" s="572">
        <v>2360</v>
      </c>
      <c r="BS735" s="572">
        <v>2832</v>
      </c>
      <c r="BT735" s="572">
        <v>3270</v>
      </c>
      <c r="BU735" s="572">
        <v>3650</v>
      </c>
      <c r="BV735" s="572">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2" customHeight="1">
      <c r="B736" s="924" t="s">
        <v>2056</v>
      </c>
      <c r="C736" s="492"/>
      <c r="D736" s="492"/>
      <c r="E736" s="492"/>
      <c r="F736" s="492"/>
      <c r="G736" s="493"/>
      <c r="H736" s="493"/>
      <c r="I736" s="493"/>
      <c r="J736" s="493"/>
      <c r="K736" s="492"/>
      <c r="L736" s="492"/>
      <c r="M736" s="492"/>
      <c r="N736" s="492"/>
      <c r="O736" s="492"/>
      <c r="P736" s="398"/>
      <c r="Q736" s="398"/>
      <c r="R736" s="398"/>
      <c r="S736" s="398"/>
      <c r="T736" s="398"/>
      <c r="U736" s="361"/>
      <c r="V736" s="361"/>
      <c r="W736" s="361"/>
      <c r="X736" s="361"/>
      <c r="Y736" s="492"/>
      <c r="Z736" s="1254" t="s">
        <v>123</v>
      </c>
      <c r="AA736" s="1254"/>
      <c r="AB736" s="1254"/>
      <c r="AF736" s="361"/>
      <c r="AG736" s="378"/>
      <c r="AH736" s="378"/>
      <c r="AL736" s="41"/>
      <c r="AM736" s="41"/>
      <c r="BA736" s="41"/>
      <c r="BB736" s="41"/>
      <c r="BC736" s="41"/>
      <c r="BD736" s="41"/>
      <c r="BE736" s="41"/>
      <c r="BF736" s="41"/>
      <c r="BJ736" s="41"/>
      <c r="BK736" s="41"/>
      <c r="BL736" s="41"/>
      <c r="BM736" s="41"/>
      <c r="BN736" s="41"/>
      <c r="BO736" s="41"/>
      <c r="BP736" s="573" t="s">
        <v>843</v>
      </c>
      <c r="BQ736" s="572">
        <v>2422</v>
      </c>
      <c r="BR736" s="572">
        <v>2594</v>
      </c>
      <c r="BS736" s="572">
        <v>3112</v>
      </c>
      <c r="BT736" s="572">
        <v>3596</v>
      </c>
      <c r="BU736" s="572">
        <v>4012</v>
      </c>
      <c r="BV736" s="572">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2" customHeight="1">
      <c r="B737" s="982" t="s">
        <v>2055</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3" t="s">
        <v>808</v>
      </c>
      <c r="BQ737" s="572">
        <v>1594</v>
      </c>
      <c r="BR737" s="572">
        <v>1708</v>
      </c>
      <c r="BS737" s="572">
        <v>2050</v>
      </c>
      <c r="BT737" s="572">
        <v>2368</v>
      </c>
      <c r="BU737" s="572">
        <v>2642</v>
      </c>
      <c r="BV737" s="572">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2"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3" t="s">
        <v>809</v>
      </c>
      <c r="BQ738" s="572">
        <v>1540</v>
      </c>
      <c r="BR738" s="572">
        <v>1650</v>
      </c>
      <c r="BS738" s="572">
        <v>1980</v>
      </c>
      <c r="BT738" s="572">
        <v>2286</v>
      </c>
      <c r="BU738" s="572">
        <v>2550</v>
      </c>
      <c r="BV738" s="572">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A739" s="3" t="s">
        <v>8</v>
      </c>
      <c r="B739" s="62"/>
      <c r="C739" s="63" t="s">
        <v>353</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3" t="s">
        <v>810</v>
      </c>
      <c r="BQ739" s="572">
        <v>1540</v>
      </c>
      <c r="BR739" s="572">
        <v>1650</v>
      </c>
      <c r="BS739" s="572">
        <v>1980</v>
      </c>
      <c r="BT739" s="572">
        <v>2286</v>
      </c>
      <c r="BU739" s="572">
        <v>2550</v>
      </c>
      <c r="BV739" s="572">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A740" s="3"/>
      <c r="B740" s="62"/>
      <c r="C740" s="982" t="s">
        <v>1516</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3" t="s">
        <v>811</v>
      </c>
      <c r="BQ740" s="572">
        <v>1540</v>
      </c>
      <c r="BR740" s="572">
        <v>1650</v>
      </c>
      <c r="BS740" s="572">
        <v>1980</v>
      </c>
      <c r="BT740" s="572">
        <v>2286</v>
      </c>
      <c r="BU740" s="572">
        <v>2550</v>
      </c>
      <c r="BV740" s="572">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3" t="s">
        <v>812</v>
      </c>
      <c r="BQ741" s="572">
        <v>1540</v>
      </c>
      <c r="BR741" s="572">
        <v>1650</v>
      </c>
      <c r="BS741" s="572">
        <v>1980</v>
      </c>
      <c r="BT741" s="572">
        <v>2286</v>
      </c>
      <c r="BU741" s="572">
        <v>2550</v>
      </c>
      <c r="BV741" s="572">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3" t="s">
        <v>22</v>
      </c>
      <c r="BQ742" s="572">
        <v>1694</v>
      </c>
      <c r="BR742" s="572">
        <v>1816</v>
      </c>
      <c r="BS742" s="572">
        <v>2180</v>
      </c>
      <c r="BT742" s="572">
        <v>2520</v>
      </c>
      <c r="BU742" s="572">
        <v>2810</v>
      </c>
      <c r="BV742" s="572">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3" t="s">
        <v>813</v>
      </c>
      <c r="BQ743" s="572">
        <v>2462</v>
      </c>
      <c r="BR743" s="572">
        <v>2638</v>
      </c>
      <c r="BS743" s="572">
        <v>3166</v>
      </c>
      <c r="BT743" s="572">
        <v>3658</v>
      </c>
      <c r="BU743" s="572">
        <v>4082</v>
      </c>
      <c r="BV743" s="572">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3" t="s">
        <v>814</v>
      </c>
      <c r="BQ744" s="572">
        <v>2020</v>
      </c>
      <c r="BR744" s="572">
        <v>2162</v>
      </c>
      <c r="BS744" s="572">
        <v>2594</v>
      </c>
      <c r="BT744" s="572">
        <v>2998</v>
      </c>
      <c r="BU744" s="572">
        <v>3344</v>
      </c>
      <c r="BV744" s="572">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3" t="s">
        <v>815</v>
      </c>
      <c r="BQ745" s="572">
        <v>1540</v>
      </c>
      <c r="BR745" s="572">
        <v>1650</v>
      </c>
      <c r="BS745" s="572">
        <v>1980</v>
      </c>
      <c r="BT745" s="572">
        <v>2286</v>
      </c>
      <c r="BU745" s="572">
        <v>2550</v>
      </c>
      <c r="BV745" s="572">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0"/>
      <c r="BQ747" s="315"/>
      <c r="BR747" s="461"/>
      <c r="BS747" s="461"/>
      <c r="BT747" s="461"/>
      <c r="BU747" s="461"/>
      <c r="BV747" s="461"/>
      <c r="BW747" s="46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239" t="s">
        <v>53</v>
      </c>
      <c r="K748" s="1240"/>
      <c r="L748" s="1240"/>
      <c r="M748" s="1240"/>
      <c r="N748" s="1241"/>
      <c r="O748" s="1503" t="s">
        <v>255</v>
      </c>
      <c r="P748" s="1503"/>
      <c r="Q748" s="1503"/>
      <c r="R748" s="1503"/>
      <c r="S748" s="1503"/>
      <c r="T748" s="1230" t="s">
        <v>1991</v>
      </c>
      <c r="U748" s="1231"/>
      <c r="V748" s="1231"/>
      <c r="W748" s="1232"/>
      <c r="X748" s="1239" t="s">
        <v>587</v>
      </c>
      <c r="Y748" s="1240"/>
      <c r="Z748" s="1240"/>
      <c r="AA748" s="1240"/>
      <c r="AB748" s="1241"/>
      <c r="AC748" s="1239" t="s">
        <v>256</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242"/>
      <c r="K749" s="1243"/>
      <c r="L749" s="1243"/>
      <c r="M749" s="1243"/>
      <c r="N749" s="1244"/>
      <c r="O749" s="1503"/>
      <c r="P749" s="1503"/>
      <c r="Q749" s="1503"/>
      <c r="R749" s="1503"/>
      <c r="S749" s="1503"/>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242"/>
      <c r="K750" s="1243"/>
      <c r="L750" s="1243"/>
      <c r="M750" s="1243"/>
      <c r="N750" s="1244"/>
      <c r="O750" s="1503"/>
      <c r="P750" s="1503"/>
      <c r="Q750" s="1503"/>
      <c r="R750" s="1503"/>
      <c r="S750" s="1503"/>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3.2" customHeight="1">
      <c r="J751" s="1245"/>
      <c r="K751" s="1246"/>
      <c r="L751" s="1246"/>
      <c r="M751" s="1246"/>
      <c r="N751" s="1247"/>
      <c r="O751" s="1503"/>
      <c r="P751" s="1503"/>
      <c r="Q751" s="1503"/>
      <c r="R751" s="1503"/>
      <c r="S751" s="1503"/>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3.2" customHeight="1">
      <c r="J752" s="1331" t="s">
        <v>778</v>
      </c>
      <c r="K752" s="1332"/>
      <c r="L752" s="1332"/>
      <c r="M752" s="1332"/>
      <c r="N752" s="1333"/>
      <c r="O752" s="1383">
        <v>1</v>
      </c>
      <c r="P752" s="1383"/>
      <c r="Q752" s="1383"/>
      <c r="R752" s="1383"/>
      <c r="S752" s="1383"/>
      <c r="T752" s="1248">
        <v>733</v>
      </c>
      <c r="U752" s="1249"/>
      <c r="V752" s="1249"/>
      <c r="W752" s="1250"/>
      <c r="X752" s="1251">
        <v>0</v>
      </c>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331"/>
      <c r="K753" s="1332"/>
      <c r="L753" s="1332"/>
      <c r="M753" s="1332"/>
      <c r="N753" s="1333"/>
      <c r="O753" s="1383"/>
      <c r="P753" s="1383"/>
      <c r="Q753" s="1383"/>
      <c r="R753" s="1383"/>
      <c r="S753" s="1383"/>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331"/>
      <c r="K754" s="1332"/>
      <c r="L754" s="1332"/>
      <c r="M754" s="1332"/>
      <c r="N754" s="1333"/>
      <c r="O754" s="1383"/>
      <c r="P754" s="1383"/>
      <c r="Q754" s="1383"/>
      <c r="R754" s="1383"/>
      <c r="S754" s="1383"/>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331"/>
      <c r="K755" s="1332"/>
      <c r="L755" s="1332"/>
      <c r="M755" s="1332"/>
      <c r="N755" s="1333"/>
      <c r="O755" s="1383"/>
      <c r="P755" s="1383"/>
      <c r="Q755" s="1383"/>
      <c r="R755" s="1383"/>
      <c r="S755" s="1383"/>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182" t="s">
        <v>875</v>
      </c>
      <c r="K756" s="1183"/>
      <c r="L756" s="1183"/>
      <c r="M756" s="1183"/>
      <c r="N756" s="1184"/>
      <c r="O756" s="1271">
        <f>SUM(O752:S755)</f>
        <v>1</v>
      </c>
      <c r="P756" s="1272"/>
      <c r="Q756" s="1272"/>
      <c r="R756" s="1272"/>
      <c r="S756" s="1273"/>
      <c r="X756" s="1182" t="s">
        <v>874</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B758" s="62"/>
      <c r="C758" s="62"/>
      <c r="D758" s="62"/>
      <c r="E758" s="62"/>
      <c r="F758" s="62"/>
      <c r="G758" s="10"/>
      <c r="H758" s="10"/>
      <c r="I758" s="10"/>
      <c r="J758" s="1101" t="s">
        <v>481</v>
      </c>
      <c r="K758" s="1101"/>
      <c r="L758" s="62"/>
      <c r="M758" s="419" t="s">
        <v>1263</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B759" s="62"/>
      <c r="C759" s="62"/>
      <c r="D759" s="62"/>
      <c r="E759" s="62"/>
      <c r="F759" s="62"/>
      <c r="G759" s="10"/>
      <c r="H759" s="10"/>
      <c r="I759" s="10"/>
      <c r="J759" s="10"/>
      <c r="K759" s="10"/>
      <c r="L759" s="62"/>
      <c r="M759" s="419" t="s">
        <v>2110</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239" t="s">
        <v>53</v>
      </c>
      <c r="K762" s="1240"/>
      <c r="L762" s="1240"/>
      <c r="M762" s="1240"/>
      <c r="N762" s="1241"/>
      <c r="O762" s="1503" t="s">
        <v>255</v>
      </c>
      <c r="P762" s="1503"/>
      <c r="Q762" s="1503"/>
      <c r="R762" s="1503"/>
      <c r="S762" s="1503"/>
      <c r="T762" s="1230" t="s">
        <v>1991</v>
      </c>
      <c r="U762" s="1231"/>
      <c r="V762" s="1231"/>
      <c r="W762" s="1232"/>
      <c r="X762" s="1239" t="s">
        <v>587</v>
      </c>
      <c r="Y762" s="1240"/>
      <c r="Z762" s="1240"/>
      <c r="AA762" s="1240"/>
      <c r="AB762" s="1241"/>
      <c r="AC762" s="1239" t="s">
        <v>256</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J763" s="1242"/>
      <c r="K763" s="1243"/>
      <c r="L763" s="1243"/>
      <c r="M763" s="1243"/>
      <c r="N763" s="1244"/>
      <c r="O763" s="1503"/>
      <c r="P763" s="1503"/>
      <c r="Q763" s="1503"/>
      <c r="R763" s="1503"/>
      <c r="S763" s="1503"/>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1242"/>
      <c r="K764" s="1243"/>
      <c r="L764" s="1243"/>
      <c r="M764" s="1243"/>
      <c r="N764" s="1244"/>
      <c r="O764" s="1503"/>
      <c r="P764" s="1503"/>
      <c r="Q764" s="1503"/>
      <c r="R764" s="1503"/>
      <c r="S764" s="1503"/>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1245"/>
      <c r="K765" s="1246"/>
      <c r="L765" s="1246"/>
      <c r="M765" s="1246"/>
      <c r="N765" s="1247"/>
      <c r="O765" s="1503"/>
      <c r="P765" s="1503"/>
      <c r="Q765" s="1503"/>
      <c r="R765" s="1503"/>
      <c r="S765" s="1503"/>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J766" s="1331"/>
      <c r="K766" s="1332"/>
      <c r="L766" s="1332"/>
      <c r="M766" s="1332"/>
      <c r="N766" s="1333"/>
      <c r="O766" s="1383"/>
      <c r="P766" s="1383"/>
      <c r="Q766" s="1383"/>
      <c r="R766" s="1383"/>
      <c r="S766" s="1383"/>
      <c r="T766" s="1248"/>
      <c r="U766" s="1249"/>
      <c r="V766" s="1249"/>
      <c r="W766" s="1250"/>
      <c r="X766" s="1251"/>
      <c r="Y766" s="1252"/>
      <c r="Z766" s="1252"/>
      <c r="AA766" s="1252"/>
      <c r="AB766" s="1253"/>
      <c r="AC766" s="1224">
        <f t="shared" ref="AC766:AC775" si="69">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J767" s="1331"/>
      <c r="K767" s="1332"/>
      <c r="L767" s="1332"/>
      <c r="M767" s="1332"/>
      <c r="N767" s="1333"/>
      <c r="O767" s="1383"/>
      <c r="P767" s="1383"/>
      <c r="Q767" s="1383"/>
      <c r="R767" s="1383"/>
      <c r="S767" s="1383"/>
      <c r="T767" s="1248"/>
      <c r="U767" s="1249"/>
      <c r="V767" s="1249"/>
      <c r="W767" s="1250"/>
      <c r="X767" s="1251"/>
      <c r="Y767" s="1252"/>
      <c r="Z767" s="1252"/>
      <c r="AA767" s="1252"/>
      <c r="AB767" s="1253"/>
      <c r="AC767" s="1224">
        <f t="shared" si="69"/>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J768" s="1331"/>
      <c r="K768" s="1332"/>
      <c r="L768" s="1332"/>
      <c r="M768" s="1332"/>
      <c r="N768" s="1333"/>
      <c r="O768" s="1383"/>
      <c r="P768" s="1383"/>
      <c r="Q768" s="1383"/>
      <c r="R768" s="1383"/>
      <c r="S768" s="1383"/>
      <c r="T768" s="1248"/>
      <c r="U768" s="1249"/>
      <c r="V768" s="1249"/>
      <c r="W768" s="1250"/>
      <c r="X768" s="1251"/>
      <c r="Y768" s="1252"/>
      <c r="Z768" s="1252"/>
      <c r="AA768" s="1252"/>
      <c r="AB768" s="1253"/>
      <c r="AC768" s="1224">
        <f t="shared" si="69"/>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J769" s="1331"/>
      <c r="K769" s="1332"/>
      <c r="L769" s="1332"/>
      <c r="M769" s="1332"/>
      <c r="N769" s="1333"/>
      <c r="O769" s="1383"/>
      <c r="P769" s="1383"/>
      <c r="Q769" s="1383"/>
      <c r="R769" s="1383"/>
      <c r="S769" s="1383"/>
      <c r="T769" s="1248"/>
      <c r="U769" s="1249"/>
      <c r="V769" s="1249"/>
      <c r="W769" s="1250"/>
      <c r="X769" s="1251"/>
      <c r="Y769" s="1252"/>
      <c r="Z769" s="1252"/>
      <c r="AA769" s="1252"/>
      <c r="AB769" s="1253"/>
      <c r="AC769" s="1224">
        <f t="shared" si="69"/>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J770" s="1331"/>
      <c r="K770" s="1332"/>
      <c r="L770" s="1332"/>
      <c r="M770" s="1332"/>
      <c r="N770" s="1333"/>
      <c r="O770" s="1383"/>
      <c r="P770" s="1383"/>
      <c r="Q770" s="1383"/>
      <c r="R770" s="1383"/>
      <c r="S770" s="1383"/>
      <c r="T770" s="1248"/>
      <c r="U770" s="1249"/>
      <c r="V770" s="1249"/>
      <c r="W770" s="1250"/>
      <c r="X770" s="1251"/>
      <c r="Y770" s="1252"/>
      <c r="Z770" s="1252"/>
      <c r="AA770" s="1252"/>
      <c r="AB770" s="1253"/>
      <c r="AC770" s="1224">
        <f t="shared" si="69"/>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J771" s="1331"/>
      <c r="K771" s="1332"/>
      <c r="L771" s="1332"/>
      <c r="M771" s="1332"/>
      <c r="N771" s="1333"/>
      <c r="O771" s="1383"/>
      <c r="P771" s="1383"/>
      <c r="Q771" s="1383"/>
      <c r="R771" s="1383"/>
      <c r="S771" s="1383"/>
      <c r="T771" s="1248"/>
      <c r="U771" s="1249"/>
      <c r="V771" s="1249"/>
      <c r="W771" s="1250"/>
      <c r="X771" s="1251"/>
      <c r="Y771" s="1252"/>
      <c r="Z771" s="1252"/>
      <c r="AA771" s="1252"/>
      <c r="AB771" s="1253"/>
      <c r="AC771" s="1224">
        <f t="shared" si="69"/>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J772" s="1331"/>
      <c r="K772" s="1332"/>
      <c r="L772" s="1332"/>
      <c r="M772" s="1332"/>
      <c r="N772" s="1333"/>
      <c r="O772" s="1383"/>
      <c r="P772" s="1383"/>
      <c r="Q772" s="1383"/>
      <c r="R772" s="1383"/>
      <c r="S772" s="1383"/>
      <c r="T772" s="1248"/>
      <c r="U772" s="1249"/>
      <c r="V772" s="1249"/>
      <c r="W772" s="1250"/>
      <c r="X772" s="1251"/>
      <c r="Y772" s="1252"/>
      <c r="Z772" s="1252"/>
      <c r="AA772" s="1252"/>
      <c r="AB772" s="1253"/>
      <c r="AC772" s="1224">
        <f t="shared" si="69"/>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J773" s="1331"/>
      <c r="K773" s="1332"/>
      <c r="L773" s="1332"/>
      <c r="M773" s="1332"/>
      <c r="N773" s="1333"/>
      <c r="O773" s="1383"/>
      <c r="P773" s="1383"/>
      <c r="Q773" s="1383"/>
      <c r="R773" s="1383"/>
      <c r="S773" s="1383"/>
      <c r="T773" s="1248"/>
      <c r="U773" s="1249"/>
      <c r="V773" s="1249"/>
      <c r="W773" s="1250"/>
      <c r="X773" s="1251"/>
      <c r="Y773" s="1252"/>
      <c r="Z773" s="1252"/>
      <c r="AA773" s="1252"/>
      <c r="AB773" s="1253"/>
      <c r="AC773" s="1224">
        <f t="shared" si="69"/>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J774" s="1331"/>
      <c r="K774" s="1332"/>
      <c r="L774" s="1332"/>
      <c r="M774" s="1332"/>
      <c r="N774" s="1333"/>
      <c r="O774" s="1383"/>
      <c r="P774" s="1383"/>
      <c r="Q774" s="1383"/>
      <c r="R774" s="1383"/>
      <c r="S774" s="1383"/>
      <c r="T774" s="1248"/>
      <c r="U774" s="1249"/>
      <c r="V774" s="1249"/>
      <c r="W774" s="1250"/>
      <c r="X774" s="1251"/>
      <c r="Y774" s="1252"/>
      <c r="Z774" s="1252"/>
      <c r="AA774" s="1252"/>
      <c r="AB774" s="1253"/>
      <c r="AC774" s="1224">
        <f t="shared" si="69"/>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J775" s="1331"/>
      <c r="K775" s="1332"/>
      <c r="L775" s="1332"/>
      <c r="M775" s="1332"/>
      <c r="N775" s="1333"/>
      <c r="O775" s="1383"/>
      <c r="P775" s="1383"/>
      <c r="Q775" s="1383"/>
      <c r="R775" s="1383"/>
      <c r="S775" s="1383"/>
      <c r="T775" s="1248"/>
      <c r="U775" s="1249"/>
      <c r="V775" s="1249"/>
      <c r="W775" s="1250"/>
      <c r="X775" s="1251"/>
      <c r="Y775" s="1252"/>
      <c r="Z775" s="1252"/>
      <c r="AA775" s="1252"/>
      <c r="AB775" s="1253"/>
      <c r="AC775" s="1224">
        <f t="shared" si="69"/>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J776" s="1182" t="s">
        <v>875</v>
      </c>
      <c r="K776" s="1183"/>
      <c r="L776" s="1183"/>
      <c r="M776" s="1183"/>
      <c r="N776" s="1184"/>
      <c r="O776" s="1530">
        <f>SUM(O766:S775)</f>
        <v>0</v>
      </c>
      <c r="P776" s="1530"/>
      <c r="Q776" s="1530"/>
      <c r="R776" s="1530"/>
      <c r="S776" s="1530"/>
      <c r="X776" s="429" t="s">
        <v>874</v>
      </c>
      <c r="Y776" s="168"/>
      <c r="Z776" s="168"/>
      <c r="AA776" s="168"/>
      <c r="AB776" s="841"/>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J779" s="8"/>
      <c r="K779" s="9"/>
      <c r="L779" s="9"/>
      <c r="M779" s="9"/>
      <c r="N779" s="9"/>
      <c r="O779" s="9"/>
      <c r="P779" s="9"/>
      <c r="Q779" s="9"/>
      <c r="R779" s="9"/>
      <c r="S779" s="9"/>
      <c r="T779" s="9"/>
      <c r="U779" s="9"/>
      <c r="V779" s="9"/>
      <c r="W779" s="9"/>
      <c r="X779" s="60" t="s">
        <v>776</v>
      </c>
      <c r="Y779" s="1214">
        <f>T730+AC756+AC776</f>
        <v>92430</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J780" s="53"/>
      <c r="K780" s="54"/>
      <c r="L780" s="54"/>
      <c r="M780" s="54"/>
      <c r="N780" s="54"/>
      <c r="O780" s="54"/>
      <c r="P780" s="54"/>
      <c r="Q780" s="54"/>
      <c r="R780" s="54"/>
      <c r="S780" s="54"/>
      <c r="T780" s="54"/>
      <c r="U780" s="54"/>
      <c r="V780" s="54"/>
      <c r="W780" s="54"/>
      <c r="X780" s="171" t="s">
        <v>777</v>
      </c>
      <c r="Y780" s="1214">
        <f>(T730+AC756+AC776)*12</f>
        <v>1109160</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A783" s="3"/>
      <c r="B783" s="3"/>
      <c r="C783" s="3" t="s">
        <v>1170</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 customHeight="1">
      <c r="H785" s="8" t="s">
        <v>326</v>
      </c>
      <c r="I785" s="9"/>
      <c r="J785" s="9"/>
      <c r="K785" s="9"/>
      <c r="L785" s="9"/>
      <c r="M785" s="9"/>
      <c r="N785" s="9"/>
      <c r="O785" s="9"/>
      <c r="P785" s="9"/>
      <c r="Q785" s="9"/>
      <c r="R785" s="9"/>
      <c r="S785" s="9"/>
      <c r="T785" s="9"/>
      <c r="U785" s="9"/>
      <c r="V785" s="9"/>
      <c r="W785" s="9"/>
      <c r="X785" s="9"/>
      <c r="Y785" s="9"/>
      <c r="Z785" s="1497">
        <v>18</v>
      </c>
      <c r="AA785" s="1381"/>
      <c r="AB785" s="1381"/>
      <c r="AC785" s="1381"/>
      <c r="AD785" s="1381"/>
      <c r="AE785" s="138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 customHeight="1">
      <c r="H786" s="8" t="s">
        <v>327</v>
      </c>
      <c r="I786" s="9"/>
      <c r="J786" s="9"/>
      <c r="K786" s="9"/>
      <c r="L786" s="9"/>
      <c r="M786" s="9"/>
      <c r="N786" s="9"/>
      <c r="O786" s="9"/>
      <c r="P786" s="9"/>
      <c r="Q786" s="9"/>
      <c r="R786" s="9"/>
      <c r="S786" s="9"/>
      <c r="T786" s="9"/>
      <c r="U786" s="9"/>
      <c r="V786" s="9"/>
      <c r="W786" s="9"/>
      <c r="X786" s="9"/>
      <c r="Y786" s="9"/>
      <c r="Z786" s="1380">
        <v>20</v>
      </c>
      <c r="AA786" s="1381"/>
      <c r="AB786" s="1381"/>
      <c r="AC786" s="1381"/>
      <c r="AD786" s="1381"/>
      <c r="AE786" s="138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 customHeight="1">
      <c r="H787" s="8" t="s">
        <v>687</v>
      </c>
      <c r="I787" s="9"/>
      <c r="J787" s="9"/>
      <c r="K787" s="9"/>
      <c r="L787" s="9"/>
      <c r="M787" s="9"/>
      <c r="N787" s="9"/>
      <c r="O787" s="9"/>
      <c r="P787" s="9"/>
      <c r="Q787" s="9"/>
      <c r="R787" s="9"/>
      <c r="S787" s="9"/>
      <c r="T787" s="9"/>
      <c r="U787" s="9"/>
      <c r="V787" s="9"/>
      <c r="W787" s="9"/>
      <c r="X787" s="9"/>
      <c r="Y787" s="9"/>
      <c r="Z787" s="1376">
        <v>53874</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 customHeight="1">
      <c r="H788" s="8"/>
      <c r="I788" s="9"/>
      <c r="J788" s="9"/>
      <c r="K788" s="9"/>
      <c r="L788" s="9"/>
      <c r="M788" s="9"/>
      <c r="N788" s="9"/>
      <c r="O788" s="9"/>
      <c r="P788" s="9"/>
      <c r="Q788" s="9"/>
      <c r="R788" s="9"/>
      <c r="S788" s="9"/>
      <c r="T788" s="9"/>
      <c r="U788" s="9"/>
      <c r="V788" s="9"/>
      <c r="W788" s="9"/>
      <c r="X788" s="9"/>
      <c r="Y788" s="59" t="s">
        <v>774</v>
      </c>
      <c r="Z788" s="1504">
        <f>'Subsidy Contract Calculation'!I40</f>
        <v>152208</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 customHeight="1">
      <c r="H792" s="8" t="s">
        <v>688</v>
      </c>
      <c r="I792" s="9"/>
      <c r="J792" s="9"/>
      <c r="K792" s="9"/>
      <c r="L792" s="9"/>
      <c r="M792" s="9"/>
      <c r="N792" s="9"/>
      <c r="O792" s="9"/>
      <c r="P792" s="9"/>
      <c r="Q792" s="9"/>
      <c r="R792" s="9"/>
      <c r="S792" s="9"/>
      <c r="T792" s="9"/>
      <c r="U792" s="9"/>
      <c r="V792" s="9"/>
      <c r="W792" s="9"/>
      <c r="X792" s="9"/>
      <c r="Y792" s="9"/>
      <c r="Z792" s="1199">
        <v>8640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 customHeight="1">
      <c r="H793" s="8" t="s">
        <v>689</v>
      </c>
      <c r="I793" s="9"/>
      <c r="J793" s="9"/>
      <c r="K793" s="9"/>
      <c r="L793" s="9"/>
      <c r="M793" s="9"/>
      <c r="N793" s="9"/>
      <c r="O793" s="9"/>
      <c r="P793" s="9"/>
      <c r="Q793" s="9"/>
      <c r="R793" s="9"/>
      <c r="S793" s="9"/>
      <c r="T793" s="9"/>
      <c r="U793" s="9"/>
      <c r="V793" s="9"/>
      <c r="W793" s="9"/>
      <c r="X793" s="9"/>
      <c r="Y793" s="9"/>
      <c r="Z793" s="1199">
        <v>0</v>
      </c>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 customHeight="1">
      <c r="H794" s="8" t="s">
        <v>690</v>
      </c>
      <c r="I794" s="9"/>
      <c r="J794" s="9"/>
      <c r="K794" s="9"/>
      <c r="L794" s="9"/>
      <c r="M794" s="9"/>
      <c r="N794" s="9"/>
      <c r="O794" s="9"/>
      <c r="P794" s="9"/>
      <c r="Q794" s="9"/>
      <c r="R794" s="9"/>
      <c r="S794" s="9"/>
      <c r="T794" s="9"/>
      <c r="U794" s="9"/>
      <c r="V794" s="9"/>
      <c r="W794" s="9"/>
      <c r="X794" s="9"/>
      <c r="Y794" s="9"/>
      <c r="Z794" s="1199">
        <v>0</v>
      </c>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 customHeight="1">
      <c r="H795" s="8" t="s">
        <v>691</v>
      </c>
      <c r="I795" s="9"/>
      <c r="J795" s="9"/>
      <c r="K795" s="9"/>
      <c r="L795" s="9"/>
      <c r="M795" s="9"/>
      <c r="N795" s="9"/>
      <c r="O795" s="9"/>
      <c r="P795" s="1215" t="s">
        <v>560</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 customHeight="1">
      <c r="H796" s="8"/>
      <c r="I796" s="9"/>
      <c r="J796" s="9"/>
      <c r="K796" s="9"/>
      <c r="L796" s="9"/>
      <c r="M796" s="9"/>
      <c r="N796" s="9"/>
      <c r="O796" s="9"/>
      <c r="P796" s="9"/>
      <c r="Q796" s="9"/>
      <c r="R796" s="9"/>
      <c r="S796" s="9"/>
      <c r="T796" s="9"/>
      <c r="U796" s="9"/>
      <c r="V796" s="9"/>
      <c r="W796" s="9"/>
      <c r="X796" s="9"/>
      <c r="Y796" s="59" t="s">
        <v>775</v>
      </c>
      <c r="Z796" s="1193">
        <f>SUM(Z792:AE795)</f>
        <v>8640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 customHeight="1">
      <c r="H797" s="8"/>
      <c r="I797" s="9"/>
      <c r="J797" s="9"/>
      <c r="K797" s="9"/>
      <c r="L797" s="9"/>
      <c r="M797" s="9"/>
      <c r="N797" s="9"/>
      <c r="O797" s="9"/>
      <c r="P797" s="9"/>
      <c r="Q797" s="9"/>
      <c r="R797" s="9"/>
      <c r="S797" s="9"/>
      <c r="T797" s="9"/>
      <c r="U797" s="9"/>
      <c r="V797" s="9"/>
      <c r="W797" s="9"/>
      <c r="X797" s="9"/>
      <c r="Y797" s="59" t="s">
        <v>653</v>
      </c>
      <c r="Z797" s="1193">
        <f>Z796+Y780+Z788</f>
        <v>1270008</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 customHeight="1">
      <c r="C800" s="4" t="s">
        <v>1036</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2"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2" customHeight="1">
      <c r="C802" s="6"/>
      <c r="D802" s="7"/>
      <c r="E802" s="7"/>
      <c r="F802" s="7"/>
      <c r="G802" s="7"/>
      <c r="H802" s="7"/>
      <c r="I802" s="7"/>
      <c r="J802" s="7"/>
      <c r="K802" s="7"/>
      <c r="L802" s="64"/>
      <c r="M802" s="1549" t="s">
        <v>876</v>
      </c>
      <c r="N802" s="1549"/>
      <c r="O802" s="1549"/>
      <c r="P802" s="1550"/>
      <c r="Q802" s="1498" t="s">
        <v>262</v>
      </c>
      <c r="R802" s="1498"/>
      <c r="S802" s="1498"/>
      <c r="T802" s="1498"/>
      <c r="U802" s="1498" t="s">
        <v>263</v>
      </c>
      <c r="V802" s="1498"/>
      <c r="W802" s="1498"/>
      <c r="X802" s="1498"/>
      <c r="Y802" s="1498" t="s">
        <v>264</v>
      </c>
      <c r="Z802" s="1498"/>
      <c r="AA802" s="1498"/>
      <c r="AB802" s="1498"/>
      <c r="AC802" s="1498" t="s">
        <v>31</v>
      </c>
      <c r="AD802" s="1498"/>
      <c r="AE802" s="1498"/>
      <c r="AF802" s="1498"/>
      <c r="AG802" s="1502" t="s">
        <v>561</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2" customHeight="1">
      <c r="C803" s="53"/>
      <c r="D803" s="54"/>
      <c r="E803" s="54"/>
      <c r="F803" s="54"/>
      <c r="G803" s="54"/>
      <c r="H803" s="54"/>
      <c r="I803" s="54"/>
      <c r="J803" s="54"/>
      <c r="K803" s="54"/>
      <c r="L803" s="55"/>
      <c r="M803" s="1543"/>
      <c r="N803" s="1543"/>
      <c r="O803" s="1543"/>
      <c r="P803" s="1544"/>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2" customHeight="1">
      <c r="C804" s="1534" t="s">
        <v>692</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2" customHeight="1">
      <c r="C805" s="1360" t="s">
        <v>693</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2" customHeight="1">
      <c r="C806" s="1360" t="s">
        <v>70</v>
      </c>
      <c r="D806" s="1337"/>
      <c r="E806" s="1337"/>
      <c r="F806" s="1337"/>
      <c r="G806" s="1337"/>
      <c r="H806" s="1337"/>
      <c r="I806" s="66"/>
      <c r="J806" s="66"/>
      <c r="K806" s="66"/>
      <c r="L806" s="67"/>
      <c r="M806" s="1064"/>
      <c r="N806" s="1064"/>
      <c r="O806" s="1064"/>
      <c r="P806" s="1064"/>
      <c r="Q806" s="1064">
        <v>16</v>
      </c>
      <c r="R806" s="1064"/>
      <c r="S806" s="1064"/>
      <c r="T806" s="1064"/>
      <c r="U806" s="1064">
        <v>21</v>
      </c>
      <c r="V806" s="1064"/>
      <c r="W806" s="1064"/>
      <c r="X806" s="1064"/>
      <c r="Y806" s="1064">
        <v>26</v>
      </c>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2" customHeight="1">
      <c r="C807" s="1360" t="s">
        <v>177</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2" customHeight="1">
      <c r="C808" s="1360" t="s">
        <v>788</v>
      </c>
      <c r="D808" s="1337"/>
      <c r="E808" s="1337"/>
      <c r="F808" s="1337"/>
      <c r="G808" s="1337"/>
      <c r="H808" s="1337"/>
      <c r="I808" s="66"/>
      <c r="J808" s="66"/>
      <c r="K808" s="66"/>
      <c r="L808" s="67"/>
      <c r="M808" s="1064"/>
      <c r="N808" s="1064"/>
      <c r="O808" s="1064"/>
      <c r="P808" s="1064"/>
      <c r="Q808" s="1064">
        <v>40</v>
      </c>
      <c r="R808" s="1064"/>
      <c r="S808" s="1064"/>
      <c r="T808" s="1064"/>
      <c r="U808" s="1064">
        <v>50</v>
      </c>
      <c r="V808" s="1064"/>
      <c r="W808" s="1064"/>
      <c r="X808" s="1064"/>
      <c r="Y808" s="1064">
        <v>56</v>
      </c>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2" customHeight="1">
      <c r="C809" s="1092" t="s">
        <v>941</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2" customHeight="1">
      <c r="C810" s="65" t="s">
        <v>265</v>
      </c>
      <c r="D810" s="66"/>
      <c r="E810" s="66"/>
      <c r="F810" s="1077" t="s">
        <v>2414</v>
      </c>
      <c r="G810" s="1203"/>
      <c r="H810" s="1203"/>
      <c r="I810" s="1203"/>
      <c r="J810" s="1203"/>
      <c r="K810" s="1203"/>
      <c r="L810" s="1203"/>
      <c r="M810" s="1064"/>
      <c r="N810" s="1064"/>
      <c r="O810" s="1064"/>
      <c r="P810" s="1064"/>
      <c r="Q810" s="1064">
        <v>45</v>
      </c>
      <c r="R810" s="1064"/>
      <c r="S810" s="1064"/>
      <c r="T810" s="1064"/>
      <c r="U810" s="1064">
        <v>65</v>
      </c>
      <c r="V810" s="1064"/>
      <c r="W810" s="1064"/>
      <c r="X810" s="1064"/>
      <c r="Y810" s="1064">
        <v>81</v>
      </c>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2" customHeight="1">
      <c r="C811" s="1182" t="s">
        <v>874</v>
      </c>
      <c r="D811" s="1183"/>
      <c r="E811" s="1183"/>
      <c r="F811" s="1183"/>
      <c r="G811" s="1183"/>
      <c r="H811" s="1183"/>
      <c r="I811" s="1183"/>
      <c r="J811" s="1183"/>
      <c r="K811" s="1183"/>
      <c r="L811" s="1184"/>
      <c r="M811" s="1202">
        <f>SUM(M804:P810)</f>
        <v>0</v>
      </c>
      <c r="N811" s="1202"/>
      <c r="O811" s="1202"/>
      <c r="P811" s="1202"/>
      <c r="Q811" s="1202">
        <f>SUM(Q804:T810)</f>
        <v>101</v>
      </c>
      <c r="R811" s="1202"/>
      <c r="S811" s="1202"/>
      <c r="T811" s="1202"/>
      <c r="U811" s="1202">
        <f>SUM(U804:X810)</f>
        <v>136</v>
      </c>
      <c r="V811" s="1202"/>
      <c r="W811" s="1202"/>
      <c r="X811" s="1202"/>
      <c r="Y811" s="1202">
        <f>SUM(Y804:AB810)</f>
        <v>163</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2" customHeight="1">
      <c r="A812"/>
      <c r="B812"/>
      <c r="C812" s="63" t="s">
        <v>942</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 customHeight="1">
      <c r="A813"/>
      <c r="B813"/>
      <c r="C813" s="63" t="s">
        <v>943</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 customHeight="1">
      <c r="A815"/>
      <c r="B815"/>
      <c r="C815" s="3" t="s">
        <v>704</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 customHeight="1">
      <c r="A816"/>
      <c r="B816"/>
      <c r="C816" s="1216" t="s">
        <v>2410</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 customHeight="1">
      <c r="A817"/>
      <c r="B817"/>
      <c r="C817" s="41" t="s">
        <v>2306</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 customHeight="1">
      <c r="A819" s="3" t="s">
        <v>366</v>
      </c>
      <c r="B819"/>
      <c r="C819" s="3" t="s">
        <v>637</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1" t="s">
        <v>367</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3" t="s">
        <v>466</v>
      </c>
      <c r="D821"/>
      <c r="E821"/>
      <c r="F821"/>
      <c r="G821"/>
      <c r="H821"/>
      <c r="I821"/>
      <c r="J821" s="8" t="s">
        <v>325</v>
      </c>
      <c r="K821" s="9"/>
      <c r="L821" s="9"/>
      <c r="M821" s="9"/>
      <c r="N821" s="9"/>
      <c r="O821" s="9"/>
      <c r="P821" s="9"/>
      <c r="Q821" s="9"/>
      <c r="R821" s="9"/>
      <c r="S821" s="9"/>
      <c r="T821" s="9"/>
      <c r="U821" s="9"/>
      <c r="V821" s="52"/>
      <c r="W821" s="1211">
        <v>2505</v>
      </c>
      <c r="X821" s="1211"/>
      <c r="Y821" s="1211"/>
      <c r="Z821" s="1211"/>
      <c r="AA821" s="1211"/>
      <c r="AB821" s="1211"/>
      <c r="AC821" s="1211"/>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c r="D822"/>
      <c r="E822"/>
      <c r="F822"/>
      <c r="G822"/>
      <c r="H822"/>
      <c r="I822"/>
      <c r="J822" s="8" t="s">
        <v>324</v>
      </c>
      <c r="K822" s="9"/>
      <c r="L822" s="9"/>
      <c r="M822" s="9"/>
      <c r="N822" s="9"/>
      <c r="O822" s="9"/>
      <c r="P822" s="9"/>
      <c r="Q822" s="9"/>
      <c r="R822" s="9"/>
      <c r="S822" s="9"/>
      <c r="T822" s="9"/>
      <c r="U822" s="9"/>
      <c r="V822" s="52"/>
      <c r="W822" s="1211">
        <v>1800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3.2" customHeight="1">
      <c r="A823"/>
      <c r="B823"/>
      <c r="C823"/>
      <c r="D823"/>
      <c r="E823"/>
      <c r="F823"/>
      <c r="G823"/>
      <c r="H823"/>
      <c r="I823"/>
      <c r="J823" s="8" t="s">
        <v>323</v>
      </c>
      <c r="K823" s="9"/>
      <c r="L823" s="9"/>
      <c r="M823" s="9"/>
      <c r="N823" s="9"/>
      <c r="O823" s="9"/>
      <c r="P823" s="9"/>
      <c r="Q823" s="9"/>
      <c r="R823" s="9"/>
      <c r="S823" s="9"/>
      <c r="T823" s="9"/>
      <c r="U823" s="9"/>
      <c r="V823" s="52"/>
      <c r="W823" s="1211">
        <v>9800</v>
      </c>
      <c r="X823" s="1211"/>
      <c r="Y823" s="1211"/>
      <c r="Z823" s="1211"/>
      <c r="AA823" s="1211"/>
      <c r="AB823" s="1211"/>
      <c r="AC823" s="1211"/>
      <c r="AD823"/>
      <c r="AE823"/>
      <c r="AF823"/>
      <c r="AG823"/>
      <c r="AH823"/>
      <c r="AI823"/>
      <c r="AJ823"/>
      <c r="AK823"/>
      <c r="AL823"/>
      <c r="AM823" s="38"/>
      <c r="AN823" s="38"/>
      <c r="BA823" s="75" t="s">
        <v>367</v>
      </c>
      <c r="BC823" s="317"/>
      <c r="BD823" s="318"/>
      <c r="BE823" s="40"/>
      <c r="BF823" s="40"/>
      <c r="BG823" s="40"/>
    </row>
    <row r="824" spans="1:126" s="5" customFormat="1" ht="13.2" customHeight="1">
      <c r="A824"/>
      <c r="B824"/>
      <c r="C824"/>
      <c r="D824"/>
      <c r="E824"/>
      <c r="F824"/>
      <c r="G824"/>
      <c r="H824"/>
      <c r="I824"/>
      <c r="J824" s="8" t="s">
        <v>322</v>
      </c>
      <c r="K824" s="9"/>
      <c r="L824" s="9"/>
      <c r="M824" s="9"/>
      <c r="N824" s="9"/>
      <c r="O824" s="9"/>
      <c r="P824" s="9"/>
      <c r="Q824" s="9"/>
      <c r="R824" s="9"/>
      <c r="S824" s="9"/>
      <c r="T824" s="9"/>
      <c r="U824" s="9"/>
      <c r="V824" s="52"/>
      <c r="W824" s="1211"/>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 customHeight="1">
      <c r="A825"/>
      <c r="B825"/>
      <c r="C825"/>
      <c r="D825"/>
      <c r="E825"/>
      <c r="F825"/>
      <c r="G825"/>
      <c r="H825"/>
      <c r="I825"/>
      <c r="J825" s="8" t="s">
        <v>282</v>
      </c>
      <c r="K825" s="9"/>
      <c r="L825" s="9"/>
      <c r="M825" s="1077" t="s">
        <v>2438</v>
      </c>
      <c r="N825" s="1203"/>
      <c r="O825" s="1203"/>
      <c r="P825" s="1203"/>
      <c r="Q825" s="1203"/>
      <c r="R825" s="1203"/>
      <c r="S825" s="1203"/>
      <c r="T825" s="1203"/>
      <c r="U825" s="1203"/>
      <c r="V825" s="1204"/>
      <c r="W825" s="1211">
        <v>45737</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8" t="str">
        <f>T189</f>
        <v>Sonoma</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 customHeight="1">
      <c r="A826"/>
      <c r="B826"/>
      <c r="C826"/>
      <c r="D826"/>
      <c r="E826"/>
      <c r="F826"/>
      <c r="G826"/>
      <c r="H826"/>
      <c r="I826"/>
      <c r="J826" s="8"/>
      <c r="K826" s="9"/>
      <c r="L826" s="9"/>
      <c r="M826" s="9"/>
      <c r="N826" s="9"/>
      <c r="O826" s="9"/>
      <c r="P826" s="9"/>
      <c r="Q826" s="9"/>
      <c r="R826" s="9"/>
      <c r="S826" s="9"/>
      <c r="T826" s="9"/>
      <c r="U826" s="9"/>
      <c r="V826" s="60" t="s">
        <v>465</v>
      </c>
      <c r="W826" s="1193">
        <f>SUM(W821:AC825)</f>
        <v>59842</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 customHeight="1">
      <c r="A828"/>
      <c r="B828"/>
      <c r="C828" s="3" t="s">
        <v>467</v>
      </c>
      <c r="D828"/>
      <c r="E828"/>
      <c r="F828"/>
      <c r="G828"/>
      <c r="H828"/>
      <c r="I828"/>
      <c r="J828" s="1182" t="s">
        <v>468</v>
      </c>
      <c r="K828" s="1183"/>
      <c r="L828" s="1183"/>
      <c r="M828" s="1183"/>
      <c r="N828" s="1183"/>
      <c r="O828" s="1183"/>
      <c r="P828" s="1183"/>
      <c r="Q828" s="1183"/>
      <c r="R828" s="1183"/>
      <c r="S828" s="1183"/>
      <c r="T828" s="1183"/>
      <c r="U828" s="1183"/>
      <c r="V828" s="1184"/>
      <c r="W828" s="1199">
        <v>66960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2304</v>
      </c>
      <c r="BE829" s="40"/>
      <c r="BF829" s="40"/>
      <c r="BG829" s="40"/>
      <c r="BH829" s="21"/>
      <c r="BI829" s="39" t="s">
        <v>2305</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 customHeight="1">
      <c r="A830"/>
      <c r="B830"/>
      <c r="C830" s="3" t="s">
        <v>732</v>
      </c>
      <c r="D830"/>
      <c r="E830"/>
      <c r="F830"/>
      <c r="G830"/>
      <c r="H830"/>
      <c r="I830"/>
      <c r="J830" s="8" t="s">
        <v>321</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 customHeight="1">
      <c r="A831"/>
      <c r="B831"/>
      <c r="C831"/>
      <c r="D831"/>
      <c r="E831"/>
      <c r="F831"/>
      <c r="G831"/>
      <c r="H831"/>
      <c r="I831"/>
      <c r="J831" s="8" t="s">
        <v>320</v>
      </c>
      <c r="K831" s="9"/>
      <c r="L831" s="9"/>
      <c r="M831" s="9"/>
      <c r="N831" s="9"/>
      <c r="O831" s="9"/>
      <c r="P831" s="9"/>
      <c r="Q831" s="9"/>
      <c r="R831" s="9"/>
      <c r="S831" s="9"/>
      <c r="T831" s="9"/>
      <c r="U831" s="9"/>
      <c r="V831" s="52"/>
      <c r="W831" s="1192"/>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 customHeight="1">
      <c r="A832"/>
      <c r="B832"/>
      <c r="C832"/>
      <c r="D832"/>
      <c r="E832"/>
      <c r="F832"/>
      <c r="G832"/>
      <c r="H832"/>
      <c r="I832"/>
      <c r="J832" s="8" t="s">
        <v>788</v>
      </c>
      <c r="K832" s="9"/>
      <c r="L832" s="9"/>
      <c r="M832" s="9"/>
      <c r="N832" s="9"/>
      <c r="O832" s="9"/>
      <c r="P832" s="9"/>
      <c r="Q832" s="9"/>
      <c r="R832" s="9"/>
      <c r="S832" s="9"/>
      <c r="T832" s="9"/>
      <c r="U832" s="9"/>
      <c r="V832" s="52"/>
      <c r="W832" s="1192">
        <v>12750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778</v>
      </c>
      <c r="BF832" s="78" t="s">
        <v>779</v>
      </c>
      <c r="BG832" s="78" t="s">
        <v>789</v>
      </c>
      <c r="BH832" s="21"/>
      <c r="BI832" s="21"/>
      <c r="BJ832" s="77" t="s">
        <v>418</v>
      </c>
      <c r="BK832" s="78" t="s">
        <v>441</v>
      </c>
      <c r="BL832" s="78" t="s">
        <v>778</v>
      </c>
      <c r="BM832" s="78" t="s">
        <v>779</v>
      </c>
      <c r="BN832" s="78" t="s">
        <v>789</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68" t="s">
        <v>461</v>
      </c>
      <c r="K833" s="9"/>
      <c r="L833" s="9"/>
      <c r="M833" s="9"/>
      <c r="N833" s="9"/>
      <c r="O833" s="9"/>
      <c r="P833" s="9"/>
      <c r="Q833" s="9"/>
      <c r="R833" s="9"/>
      <c r="S833" s="9"/>
      <c r="T833" s="9"/>
      <c r="U833" s="9"/>
      <c r="V833" s="52"/>
      <c r="W833" s="1192">
        <v>153929</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166679</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421</v>
      </c>
      <c r="BC834" s="542">
        <v>473390</v>
      </c>
      <c r="BD834" s="542">
        <v>545814</v>
      </c>
      <c r="BE834" s="542">
        <v>658400</v>
      </c>
      <c r="BF834" s="542">
        <v>842752</v>
      </c>
      <c r="BG834" s="542">
        <v>938878</v>
      </c>
      <c r="BH834" s="21"/>
      <c r="BI834" s="30" t="s">
        <v>421</v>
      </c>
      <c r="BJ834" s="542">
        <v>473390</v>
      </c>
      <c r="BK834" s="542">
        <v>545814</v>
      </c>
      <c r="BL834" s="542">
        <v>658400</v>
      </c>
      <c r="BM834" s="542">
        <v>842752</v>
      </c>
      <c r="BN834" s="542">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1">
        <v>352022</v>
      </c>
      <c r="BD835" s="541">
        <v>405878</v>
      </c>
      <c r="BE835" s="541">
        <v>489600</v>
      </c>
      <c r="BF835" s="541">
        <v>626688</v>
      </c>
      <c r="BG835" s="541">
        <v>698170</v>
      </c>
      <c r="BH835" s="21"/>
      <c r="BI835" s="30" t="s">
        <v>422</v>
      </c>
      <c r="BJ835" s="541">
        <v>352022</v>
      </c>
      <c r="BK835" s="541">
        <v>405878</v>
      </c>
      <c r="BL835" s="541">
        <v>489600</v>
      </c>
      <c r="BM835" s="541">
        <v>626688</v>
      </c>
      <c r="BN835" s="541">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2" customHeight="1">
      <c r="A836"/>
      <c r="B836"/>
      <c r="C836" s="3" t="s">
        <v>469</v>
      </c>
      <c r="D836"/>
      <c r="E836"/>
      <c r="F836"/>
      <c r="G836"/>
      <c r="H836"/>
      <c r="I836"/>
      <c r="J836" s="8" t="s">
        <v>460</v>
      </c>
      <c r="K836" s="9"/>
      <c r="L836" s="9"/>
      <c r="M836" s="9"/>
      <c r="N836" s="9"/>
      <c r="O836" s="9"/>
      <c r="P836" s="9"/>
      <c r="Q836" s="9"/>
      <c r="R836" s="9"/>
      <c r="S836" s="9"/>
      <c r="T836" s="9"/>
      <c r="U836" s="9"/>
      <c r="V836" s="52"/>
      <c r="W836" s="1205">
        <v>69560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72</v>
      </c>
      <c r="BC836" s="542">
        <v>352022</v>
      </c>
      <c r="BD836" s="542">
        <v>405878</v>
      </c>
      <c r="BE836" s="542">
        <v>489600</v>
      </c>
      <c r="BF836" s="542">
        <v>626688</v>
      </c>
      <c r="BG836" s="542">
        <v>698170</v>
      </c>
      <c r="BH836" s="21"/>
      <c r="BI836" s="30" t="s">
        <v>72</v>
      </c>
      <c r="BJ836" s="542">
        <v>352022</v>
      </c>
      <c r="BK836" s="542">
        <v>405878</v>
      </c>
      <c r="BL836" s="542">
        <v>489600</v>
      </c>
      <c r="BM836" s="542">
        <v>626688</v>
      </c>
      <c r="BN836" s="542">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2" customHeight="1">
      <c r="A837"/>
      <c r="B837"/>
      <c r="C837" s="3"/>
      <c r="D837"/>
      <c r="E837"/>
      <c r="F837"/>
      <c r="G837"/>
      <c r="H837"/>
      <c r="I837"/>
      <c r="J837" s="214" t="s">
        <v>1930</v>
      </c>
      <c r="K837" s="9"/>
      <c r="L837" s="9"/>
      <c r="M837" s="9"/>
      <c r="N837" s="9"/>
      <c r="O837" s="9"/>
      <c r="P837" s="9"/>
      <c r="Q837" s="9"/>
      <c r="R837" s="9"/>
      <c r="S837" s="9"/>
      <c r="T837" s="1061">
        <v>2</v>
      </c>
      <c r="U837" s="1062"/>
      <c r="V837" s="1063"/>
      <c r="W837" s="808"/>
      <c r="X837" s="809"/>
      <c r="Y837" s="809"/>
      <c r="Z837" s="809"/>
      <c r="AA837" s="809"/>
      <c r="AB837" s="809"/>
      <c r="AC837" s="810"/>
      <c r="AD837"/>
      <c r="AE837"/>
      <c r="AF837"/>
      <c r="AG837"/>
      <c r="AH837"/>
      <c r="AI837"/>
      <c r="AJ837"/>
      <c r="AK837"/>
      <c r="AL837"/>
      <c r="AR837" s="21"/>
      <c r="AS837" s="21"/>
      <c r="AT837" s="21"/>
      <c r="AU837" s="21"/>
      <c r="AV837" s="21"/>
      <c r="AW837" s="21"/>
      <c r="AX837" s="21"/>
      <c r="AY837" s="21"/>
      <c r="AZ837" s="21"/>
      <c r="BA837" s="21"/>
      <c r="BB837" s="30" t="s">
        <v>74</v>
      </c>
      <c r="BC837" s="541">
        <v>319236</v>
      </c>
      <c r="BD837" s="541">
        <v>368076</v>
      </c>
      <c r="BE837" s="541">
        <v>444000</v>
      </c>
      <c r="BF837" s="541">
        <v>568320</v>
      </c>
      <c r="BG837" s="541">
        <v>633144</v>
      </c>
      <c r="BH837" s="21"/>
      <c r="BI837" s="30" t="s">
        <v>74</v>
      </c>
      <c r="BJ837" s="541">
        <v>319236</v>
      </c>
      <c r="BK837" s="541">
        <v>368076</v>
      </c>
      <c r="BL837" s="541">
        <v>444000</v>
      </c>
      <c r="BM837" s="541">
        <v>568320</v>
      </c>
      <c r="BN837" s="541">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2" customHeight="1">
      <c r="A838"/>
      <c r="B838"/>
      <c r="C838" s="3" t="s">
        <v>865</v>
      </c>
      <c r="D838"/>
      <c r="E838"/>
      <c r="F838"/>
      <c r="G838"/>
      <c r="H838"/>
      <c r="I838"/>
      <c r="J838" s="8" t="s">
        <v>459</v>
      </c>
      <c r="K838" s="9"/>
      <c r="L838" s="9"/>
      <c r="M838" s="9"/>
      <c r="N838" s="9"/>
      <c r="O838" s="9"/>
      <c r="P838" s="9"/>
      <c r="Q838" s="9"/>
      <c r="R838" s="9"/>
      <c r="S838" s="9"/>
      <c r="T838" s="9"/>
      <c r="U838" s="9"/>
      <c r="V838" s="52"/>
      <c r="W838" s="1205">
        <v>70720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75</v>
      </c>
      <c r="BC838" s="542">
        <v>352022</v>
      </c>
      <c r="BD838" s="542">
        <v>405878</v>
      </c>
      <c r="BE838" s="542">
        <v>489600</v>
      </c>
      <c r="BF838" s="542">
        <v>626688</v>
      </c>
      <c r="BG838" s="542">
        <v>698170</v>
      </c>
      <c r="BH838" s="21"/>
      <c r="BI838" s="30" t="s">
        <v>75</v>
      </c>
      <c r="BJ838" s="542">
        <v>352022</v>
      </c>
      <c r="BK838" s="542">
        <v>405878</v>
      </c>
      <c r="BL838" s="542">
        <v>489600</v>
      </c>
      <c r="BM838" s="542">
        <v>626688</v>
      </c>
      <c r="BN838" s="542">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2" customHeight="1">
      <c r="C839" s="3"/>
      <c r="J839" s="214" t="s">
        <v>1931</v>
      </c>
      <c r="K839" s="9"/>
      <c r="L839" s="9"/>
      <c r="M839" s="9"/>
      <c r="N839" s="9"/>
      <c r="O839" s="9"/>
      <c r="P839" s="9"/>
      <c r="Q839" s="9"/>
      <c r="R839" s="9"/>
      <c r="S839" s="9"/>
      <c r="T839" s="1061">
        <v>1</v>
      </c>
      <c r="U839" s="1062"/>
      <c r="V839" s="1063"/>
      <c r="W839" s="808"/>
      <c r="X839" s="809"/>
      <c r="Y839" s="809"/>
      <c r="Z839" s="809"/>
      <c r="AA839" s="809"/>
      <c r="AB839" s="809"/>
      <c r="AC839" s="810"/>
      <c r="AL839" s="23"/>
      <c r="AM839" s="5"/>
      <c r="AN839" s="5"/>
      <c r="AO839" s="5"/>
      <c r="AP839" s="5"/>
      <c r="AQ839" s="5"/>
      <c r="AR839" s="21"/>
      <c r="AS839" s="21"/>
      <c r="AT839" s="41"/>
      <c r="AU839" s="41"/>
      <c r="AV839" s="41"/>
      <c r="AW839" s="41"/>
      <c r="AX839" s="41"/>
      <c r="AY839" s="41"/>
      <c r="AZ839" s="41"/>
      <c r="BA839" s="41"/>
      <c r="BB839" s="30" t="s">
        <v>76</v>
      </c>
      <c r="BC839" s="541">
        <v>352022</v>
      </c>
      <c r="BD839" s="541">
        <v>405878</v>
      </c>
      <c r="BE839" s="541">
        <v>489600</v>
      </c>
      <c r="BF839" s="541">
        <v>626688</v>
      </c>
      <c r="BG839" s="541">
        <v>698170</v>
      </c>
      <c r="BH839" s="21"/>
      <c r="BI839" s="30" t="s">
        <v>76</v>
      </c>
      <c r="BJ839" s="541">
        <v>352022</v>
      </c>
      <c r="BK839" s="541">
        <v>405878</v>
      </c>
      <c r="BL839" s="541">
        <v>489600</v>
      </c>
      <c r="BM839" s="541">
        <v>626688</v>
      </c>
      <c r="BN839" s="541">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2" customHeight="1">
      <c r="J840" s="8" t="s">
        <v>282</v>
      </c>
      <c r="K840" s="9"/>
      <c r="L840" s="9"/>
      <c r="M840" s="1077" t="s">
        <v>2439</v>
      </c>
      <c r="N840" s="1203"/>
      <c r="O840" s="1203"/>
      <c r="P840" s="1203"/>
      <c r="Q840" s="1203"/>
      <c r="R840" s="1203"/>
      <c r="S840" s="1203"/>
      <c r="T840" s="1203"/>
      <c r="U840" s="1203"/>
      <c r="V840" s="1204"/>
      <c r="W840" s="1205">
        <v>61669</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475</v>
      </c>
      <c r="BC840" s="542">
        <v>473390</v>
      </c>
      <c r="BD840" s="542">
        <v>545814</v>
      </c>
      <c r="BE840" s="542">
        <v>658400</v>
      </c>
      <c r="BF840" s="542">
        <v>842752</v>
      </c>
      <c r="BG840" s="542">
        <v>938878</v>
      </c>
      <c r="BH840" s="21"/>
      <c r="BI840" s="30" t="s">
        <v>475</v>
      </c>
      <c r="BJ840" s="542">
        <v>473390</v>
      </c>
      <c r="BK840" s="542">
        <v>545814</v>
      </c>
      <c r="BL840" s="542">
        <v>658400</v>
      </c>
      <c r="BM840" s="542">
        <v>842752</v>
      </c>
      <c r="BN840" s="542">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2" customHeight="1">
      <c r="J841" s="8"/>
      <c r="K841" s="9"/>
      <c r="L841" s="9"/>
      <c r="M841" s="9"/>
      <c r="N841" s="9"/>
      <c r="O841" s="9"/>
      <c r="P841" s="9"/>
      <c r="Q841" s="9"/>
      <c r="R841" s="9"/>
      <c r="S841" s="9"/>
      <c r="T841" s="9"/>
      <c r="U841" s="9"/>
      <c r="V841" s="60" t="s">
        <v>14</v>
      </c>
      <c r="W841" s="1552">
        <f>SUM(W836:AC840)</f>
        <v>201949</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476</v>
      </c>
      <c r="BC841" s="541">
        <v>352022</v>
      </c>
      <c r="BD841" s="541">
        <v>405878</v>
      </c>
      <c r="BE841" s="541">
        <v>489600</v>
      </c>
      <c r="BF841" s="541">
        <v>626688</v>
      </c>
      <c r="BG841" s="541">
        <v>698170</v>
      </c>
      <c r="BH841" s="21"/>
      <c r="BI841" s="30" t="s">
        <v>476</v>
      </c>
      <c r="BJ841" s="541">
        <v>352022</v>
      </c>
      <c r="BK841" s="541">
        <v>405878</v>
      </c>
      <c r="BL841" s="541">
        <v>489600</v>
      </c>
      <c r="BM841" s="541">
        <v>626688</v>
      </c>
      <c r="BN841" s="541">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2" customHeight="1">
      <c r="J842" s="8"/>
      <c r="K842" s="9"/>
      <c r="L842" s="9"/>
      <c r="M842" s="9"/>
      <c r="N842" s="9"/>
      <c r="O842" s="9"/>
      <c r="P842" s="9"/>
      <c r="Q842" s="9"/>
      <c r="R842" s="9"/>
      <c r="S842" s="9"/>
      <c r="T842" s="9"/>
      <c r="U842" s="9"/>
      <c r="V842" s="60" t="s">
        <v>15</v>
      </c>
      <c r="W842" s="1205">
        <v>86808</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477</v>
      </c>
      <c r="BC842" s="542">
        <v>331890</v>
      </c>
      <c r="BD842" s="542">
        <v>382666</v>
      </c>
      <c r="BE842" s="542">
        <v>461600</v>
      </c>
      <c r="BF842" s="542">
        <v>590848</v>
      </c>
      <c r="BG842" s="542">
        <v>658242</v>
      </c>
      <c r="BH842" s="21"/>
      <c r="BI842" s="30" t="s">
        <v>477</v>
      </c>
      <c r="BJ842" s="542">
        <v>331890</v>
      </c>
      <c r="BK842" s="542">
        <v>382666</v>
      </c>
      <c r="BL842" s="542">
        <v>461600</v>
      </c>
      <c r="BM842" s="542">
        <v>590848</v>
      </c>
      <c r="BN842" s="542">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2" customHeight="1">
      <c r="AM843" s="38"/>
      <c r="AN843" s="38"/>
      <c r="AO843" s="21"/>
      <c r="AP843" s="21"/>
      <c r="AQ843" s="21"/>
      <c r="AR843" s="21"/>
      <c r="AS843" s="21"/>
      <c r="AT843" s="41"/>
      <c r="AU843" s="41"/>
      <c r="AV843" s="41"/>
      <c r="AW843" s="41"/>
      <c r="AX843" s="41"/>
      <c r="AY843" s="41"/>
      <c r="AZ843" s="41"/>
      <c r="BA843" s="41"/>
      <c r="BB843" s="30" t="s">
        <v>479</v>
      </c>
      <c r="BC843" s="541">
        <v>307732</v>
      </c>
      <c r="BD843" s="541">
        <v>354812</v>
      </c>
      <c r="BE843" s="541">
        <v>428000</v>
      </c>
      <c r="BF843" s="541">
        <v>547840</v>
      </c>
      <c r="BG843" s="541">
        <v>610328</v>
      </c>
      <c r="BH843" s="21"/>
      <c r="BI843" s="30" t="s">
        <v>479</v>
      </c>
      <c r="BJ843" s="541">
        <v>307732</v>
      </c>
      <c r="BK843" s="541">
        <v>354812</v>
      </c>
      <c r="BL843" s="541">
        <v>428000</v>
      </c>
      <c r="BM843" s="541">
        <v>547840</v>
      </c>
      <c r="BN843" s="541">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2" customHeight="1">
      <c r="C844" s="3" t="s">
        <v>54</v>
      </c>
      <c r="J844" s="8" t="s">
        <v>723</v>
      </c>
      <c r="K844" s="9"/>
      <c r="L844" s="9"/>
      <c r="M844" s="9"/>
      <c r="N844" s="9"/>
      <c r="O844" s="9"/>
      <c r="P844" s="9"/>
      <c r="Q844" s="9"/>
      <c r="R844" s="9"/>
      <c r="S844" s="9"/>
      <c r="T844" s="9"/>
      <c r="U844" s="9"/>
      <c r="V844" s="52"/>
      <c r="W844" s="1211">
        <v>1582</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482</v>
      </c>
      <c r="BC844" s="542">
        <v>352022</v>
      </c>
      <c r="BD844" s="542">
        <v>405878</v>
      </c>
      <c r="BE844" s="542">
        <v>489600</v>
      </c>
      <c r="BF844" s="542">
        <v>626688</v>
      </c>
      <c r="BG844" s="542">
        <v>698170</v>
      </c>
      <c r="BH844" s="21"/>
      <c r="BI844" s="30" t="s">
        <v>482</v>
      </c>
      <c r="BJ844" s="542">
        <v>352022</v>
      </c>
      <c r="BK844" s="542">
        <v>405878</v>
      </c>
      <c r="BL844" s="542">
        <v>489600</v>
      </c>
      <c r="BM844" s="542">
        <v>626688</v>
      </c>
      <c r="BN844" s="542">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2" customHeight="1">
      <c r="A845"/>
      <c r="B845"/>
      <c r="C845"/>
      <c r="D845"/>
      <c r="E845"/>
      <c r="F845"/>
      <c r="G845"/>
      <c r="H845"/>
      <c r="I845"/>
      <c r="J845" s="8" t="s">
        <v>620</v>
      </c>
      <c r="K845" s="9"/>
      <c r="L845" s="9"/>
      <c r="M845" s="9"/>
      <c r="N845" s="9"/>
      <c r="O845" s="9"/>
      <c r="P845" s="9"/>
      <c r="Q845" s="9"/>
      <c r="R845" s="9"/>
      <c r="S845" s="9"/>
      <c r="T845" s="9"/>
      <c r="U845" s="9"/>
      <c r="V845" s="52"/>
      <c r="W845" s="1211">
        <v>33228</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1">
        <v>352022</v>
      </c>
      <c r="BD845" s="541">
        <v>405878</v>
      </c>
      <c r="BE845" s="541">
        <v>489600</v>
      </c>
      <c r="BF845" s="541">
        <v>626688</v>
      </c>
      <c r="BG845" s="541">
        <v>698170</v>
      </c>
      <c r="BH845" s="21"/>
      <c r="BI845" s="30" t="s">
        <v>483</v>
      </c>
      <c r="BJ845" s="541">
        <v>352022</v>
      </c>
      <c r="BK845" s="541">
        <v>405878</v>
      </c>
      <c r="BL845" s="541">
        <v>489600</v>
      </c>
      <c r="BM845" s="541">
        <v>626688</v>
      </c>
      <c r="BN845" s="541">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 customHeight="1">
      <c r="A846"/>
      <c r="B846"/>
      <c r="C846"/>
      <c r="D846"/>
      <c r="E846"/>
      <c r="F846"/>
      <c r="G846"/>
      <c r="H846"/>
      <c r="I846"/>
      <c r="J846" s="8" t="s">
        <v>619</v>
      </c>
      <c r="K846" s="9"/>
      <c r="L846" s="9"/>
      <c r="M846" s="9"/>
      <c r="N846" s="9"/>
      <c r="O846" s="9"/>
      <c r="P846" s="9"/>
      <c r="Q846" s="9"/>
      <c r="R846" s="9"/>
      <c r="S846" s="9"/>
      <c r="T846" s="9"/>
      <c r="U846" s="9"/>
      <c r="V846" s="52"/>
      <c r="W846" s="1211">
        <v>41363</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2">
        <v>314634</v>
      </c>
      <c r="BD846" s="542">
        <v>362770</v>
      </c>
      <c r="BE846" s="542">
        <v>437600</v>
      </c>
      <c r="BF846" s="542">
        <v>560128</v>
      </c>
      <c r="BG846" s="542">
        <v>624018</v>
      </c>
      <c r="BH846" s="21"/>
      <c r="BI846" s="30" t="s">
        <v>485</v>
      </c>
      <c r="BJ846" s="542">
        <v>314634</v>
      </c>
      <c r="BK846" s="542">
        <v>362770</v>
      </c>
      <c r="BL846" s="542">
        <v>437600</v>
      </c>
      <c r="BM846" s="542">
        <v>560128</v>
      </c>
      <c r="BN846" s="542">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2" customHeight="1">
      <c r="A847"/>
      <c r="B847"/>
      <c r="C847"/>
      <c r="D847"/>
      <c r="E847"/>
      <c r="F847"/>
      <c r="G847"/>
      <c r="H847"/>
      <c r="I847"/>
      <c r="J847" s="8" t="s">
        <v>618</v>
      </c>
      <c r="K847" s="9"/>
      <c r="L847" s="9"/>
      <c r="M847" s="9"/>
      <c r="N847" s="9"/>
      <c r="O847" s="9"/>
      <c r="P847" s="9"/>
      <c r="Q847" s="9"/>
      <c r="R847" s="9"/>
      <c r="S847" s="9"/>
      <c r="T847" s="9"/>
      <c r="U847" s="9"/>
      <c r="V847" s="52"/>
      <c r="W847" s="1211">
        <v>2405</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1">
        <v>352022</v>
      </c>
      <c r="BD847" s="541">
        <v>405878</v>
      </c>
      <c r="BE847" s="541">
        <v>489600</v>
      </c>
      <c r="BF847" s="541">
        <v>626688</v>
      </c>
      <c r="BG847" s="541">
        <v>698170</v>
      </c>
      <c r="BH847" s="21"/>
      <c r="BI847" s="30" t="s">
        <v>486</v>
      </c>
      <c r="BJ847" s="541">
        <v>352022</v>
      </c>
      <c r="BK847" s="541">
        <v>405878</v>
      </c>
      <c r="BL847" s="541">
        <v>489600</v>
      </c>
      <c r="BM847" s="541">
        <v>626688</v>
      </c>
      <c r="BN847" s="541">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2" customHeight="1">
      <c r="A848"/>
      <c r="B848"/>
      <c r="C848"/>
      <c r="D848"/>
      <c r="E848"/>
      <c r="F848"/>
      <c r="G848"/>
      <c r="H848"/>
      <c r="I848"/>
      <c r="J848" s="8" t="s">
        <v>617</v>
      </c>
      <c r="K848" s="9"/>
      <c r="L848" s="9"/>
      <c r="M848" s="9"/>
      <c r="N848" s="9"/>
      <c r="O848" s="9"/>
      <c r="P848" s="9"/>
      <c r="Q848" s="9"/>
      <c r="R848" s="9"/>
      <c r="S848" s="9"/>
      <c r="T848" s="9"/>
      <c r="U848" s="9"/>
      <c r="V848" s="52"/>
      <c r="W848" s="1211">
        <v>14989</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2">
        <v>307732</v>
      </c>
      <c r="BD848" s="542">
        <v>354812</v>
      </c>
      <c r="BE848" s="542">
        <v>428000</v>
      </c>
      <c r="BF848" s="542">
        <v>547840</v>
      </c>
      <c r="BG848" s="542">
        <v>610328</v>
      </c>
      <c r="BH848" s="21"/>
      <c r="BI848" s="30" t="s">
        <v>487</v>
      </c>
      <c r="BJ848" s="542">
        <v>307732</v>
      </c>
      <c r="BK848" s="542">
        <v>354812</v>
      </c>
      <c r="BL848" s="542">
        <v>428000</v>
      </c>
      <c r="BM848" s="542">
        <v>547840</v>
      </c>
      <c r="BN848" s="542">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2" customHeight="1">
      <c r="A849"/>
      <c r="B849"/>
      <c r="C849"/>
      <c r="D849"/>
      <c r="E849"/>
      <c r="F849"/>
      <c r="G849"/>
      <c r="H849"/>
      <c r="I849"/>
      <c r="J849" s="8" t="s">
        <v>616</v>
      </c>
      <c r="K849" s="9"/>
      <c r="L849" s="9"/>
      <c r="M849" s="9"/>
      <c r="N849" s="9"/>
      <c r="O849" s="9"/>
      <c r="P849" s="9"/>
      <c r="Q849" s="9"/>
      <c r="R849" s="9"/>
      <c r="S849" s="9"/>
      <c r="T849" s="9"/>
      <c r="U849" s="9"/>
      <c r="V849" s="52"/>
      <c r="W849" s="1211"/>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1">
        <v>307732</v>
      </c>
      <c r="BD849" s="541">
        <v>354812</v>
      </c>
      <c r="BE849" s="541">
        <v>428000</v>
      </c>
      <c r="BF849" s="541">
        <v>547840</v>
      </c>
      <c r="BG849" s="541">
        <v>610328</v>
      </c>
      <c r="BH849" s="21"/>
      <c r="BI849" s="30" t="s">
        <v>489</v>
      </c>
      <c r="BJ849" s="541">
        <v>307732</v>
      </c>
      <c r="BK849" s="541">
        <v>354812</v>
      </c>
      <c r="BL849" s="541">
        <v>428000</v>
      </c>
      <c r="BM849" s="541">
        <v>547840</v>
      </c>
      <c r="BN849" s="541">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 customHeight="1">
      <c r="A850"/>
      <c r="B850"/>
      <c r="C850"/>
      <c r="D850"/>
      <c r="E850"/>
      <c r="F850"/>
      <c r="G850"/>
      <c r="H850"/>
      <c r="I850"/>
      <c r="J850" s="8" t="s">
        <v>282</v>
      </c>
      <c r="K850" s="9"/>
      <c r="L850" s="9"/>
      <c r="M850" s="1077" t="s">
        <v>2440</v>
      </c>
      <c r="N850" s="1203"/>
      <c r="O850" s="1203"/>
      <c r="P850" s="1203"/>
      <c r="Q850" s="1203"/>
      <c r="R850" s="1203"/>
      <c r="S850" s="1203"/>
      <c r="T850" s="1203"/>
      <c r="U850" s="1203"/>
      <c r="V850" s="1204"/>
      <c r="W850" s="1211">
        <v>11000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2">
        <v>352022</v>
      </c>
      <c r="BD850" s="542">
        <v>405878</v>
      </c>
      <c r="BE850" s="542">
        <v>489600</v>
      </c>
      <c r="BF850" s="542">
        <v>626688</v>
      </c>
      <c r="BG850" s="542">
        <v>698170</v>
      </c>
      <c r="BH850" s="21"/>
      <c r="BI850" s="30" t="s">
        <v>490</v>
      </c>
      <c r="BJ850" s="542">
        <v>352022</v>
      </c>
      <c r="BK850" s="542">
        <v>405878</v>
      </c>
      <c r="BL850" s="542">
        <v>489600</v>
      </c>
      <c r="BM850" s="542">
        <v>626688</v>
      </c>
      <c r="BN850" s="542">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 customHeight="1">
      <c r="A851"/>
      <c r="B851"/>
      <c r="C851"/>
      <c r="D851"/>
      <c r="E851"/>
      <c r="F851"/>
      <c r="G851"/>
      <c r="H851"/>
      <c r="I851"/>
      <c r="J851" s="8"/>
      <c r="K851" s="9"/>
      <c r="L851" s="9"/>
      <c r="M851" s="9"/>
      <c r="N851" s="9"/>
      <c r="O851" s="9"/>
      <c r="P851" s="9"/>
      <c r="Q851" s="9"/>
      <c r="R851" s="9"/>
      <c r="S851" s="9"/>
      <c r="T851" s="9"/>
      <c r="U851" s="9"/>
      <c r="V851" s="60" t="s">
        <v>16</v>
      </c>
      <c r="W851" s="1214">
        <f>SUM(W844:AC850)</f>
        <v>104567</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592</v>
      </c>
      <c r="BC851" s="541">
        <v>352022</v>
      </c>
      <c r="BD851" s="541">
        <v>405878</v>
      </c>
      <c r="BE851" s="541">
        <v>489600</v>
      </c>
      <c r="BF851" s="541">
        <v>626688</v>
      </c>
      <c r="BG851" s="541">
        <v>698170</v>
      </c>
      <c r="BH851" s="21"/>
      <c r="BI851" s="30" t="s">
        <v>592</v>
      </c>
      <c r="BJ851" s="541">
        <v>352022</v>
      </c>
      <c r="BK851" s="541">
        <v>405878</v>
      </c>
      <c r="BL851" s="541">
        <v>489600</v>
      </c>
      <c r="BM851" s="541">
        <v>626688</v>
      </c>
      <c r="BN851" s="541">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593</v>
      </c>
      <c r="BC852" s="542">
        <v>437727</v>
      </c>
      <c r="BD852" s="542">
        <v>504695</v>
      </c>
      <c r="BE852" s="542">
        <v>608800</v>
      </c>
      <c r="BF852" s="542">
        <v>779264</v>
      </c>
      <c r="BG852" s="542">
        <v>868149</v>
      </c>
      <c r="BH852" s="21"/>
      <c r="BI852" s="30" t="s">
        <v>593</v>
      </c>
      <c r="BJ852" s="542">
        <v>437727</v>
      </c>
      <c r="BK852" s="542">
        <v>504695</v>
      </c>
      <c r="BL852" s="542">
        <v>608800</v>
      </c>
      <c r="BM852" s="542">
        <v>779264</v>
      </c>
      <c r="BN852" s="542">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 customHeight="1">
      <c r="A853"/>
      <c r="B853"/>
      <c r="C853" s="3" t="s">
        <v>1864</v>
      </c>
      <c r="D853"/>
      <c r="E853"/>
      <c r="F853"/>
      <c r="G853"/>
      <c r="H853"/>
      <c r="I853"/>
      <c r="J853" s="8" t="s">
        <v>282</v>
      </c>
      <c r="K853" s="9"/>
      <c r="L853" s="9"/>
      <c r="M853" s="1077"/>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595</v>
      </c>
      <c r="BC853" s="541">
        <v>307732</v>
      </c>
      <c r="BD853" s="541">
        <v>354812</v>
      </c>
      <c r="BE853" s="541">
        <v>428000</v>
      </c>
      <c r="BF853" s="541">
        <v>547840</v>
      </c>
      <c r="BG853" s="541">
        <v>610328</v>
      </c>
      <c r="BH853" s="21"/>
      <c r="BI853" s="30" t="s">
        <v>595</v>
      </c>
      <c r="BJ853" s="541">
        <v>307732</v>
      </c>
      <c r="BK853" s="541">
        <v>354812</v>
      </c>
      <c r="BL853" s="541">
        <v>428000</v>
      </c>
      <c r="BM853" s="541">
        <v>547840</v>
      </c>
      <c r="BN853" s="54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 customHeight="1">
      <c r="A854"/>
      <c r="B854"/>
      <c r="C854" s="3" t="s">
        <v>1865</v>
      </c>
      <c r="D854"/>
      <c r="E854"/>
      <c r="F854"/>
      <c r="G854"/>
      <c r="H854"/>
      <c r="I854"/>
      <c r="J854" s="8" t="s">
        <v>282</v>
      </c>
      <c r="K854" s="9"/>
      <c r="L854" s="9"/>
      <c r="M854" s="1077" t="s">
        <v>2457</v>
      </c>
      <c r="N854" s="1203"/>
      <c r="O854" s="1203"/>
      <c r="P854" s="1203"/>
      <c r="Q854" s="1203"/>
      <c r="R854" s="1203"/>
      <c r="S854" s="1203"/>
      <c r="T854" s="1203"/>
      <c r="U854" s="1203"/>
      <c r="V854" s="1204"/>
      <c r="W854" s="1199">
        <v>800</v>
      </c>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596</v>
      </c>
      <c r="BC854" s="542">
        <v>384234</v>
      </c>
      <c r="BD854" s="542">
        <v>443018</v>
      </c>
      <c r="BE854" s="542">
        <v>534400</v>
      </c>
      <c r="BF854" s="542">
        <v>684032</v>
      </c>
      <c r="BG854" s="542">
        <v>762054</v>
      </c>
      <c r="BH854" s="21"/>
      <c r="BI854" s="30" t="s">
        <v>596</v>
      </c>
      <c r="BJ854" s="542">
        <v>384234</v>
      </c>
      <c r="BK854" s="542">
        <v>443018</v>
      </c>
      <c r="BL854" s="542">
        <v>534400</v>
      </c>
      <c r="BM854" s="542">
        <v>684032</v>
      </c>
      <c r="BN854" s="542">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 customHeight="1">
      <c r="A855"/>
      <c r="B855"/>
      <c r="C855"/>
      <c r="D855"/>
      <c r="E855"/>
      <c r="F855"/>
      <c r="G855"/>
      <c r="H855"/>
      <c r="I855"/>
      <c r="J855" s="8" t="s">
        <v>282</v>
      </c>
      <c r="K855" s="9"/>
      <c r="L855" s="9"/>
      <c r="M855" s="1215" t="s">
        <v>560</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597</v>
      </c>
      <c r="BC855" s="541">
        <v>352022</v>
      </c>
      <c r="BD855" s="541">
        <v>405878</v>
      </c>
      <c r="BE855" s="541">
        <v>489600</v>
      </c>
      <c r="BF855" s="541">
        <v>626688</v>
      </c>
      <c r="BG855" s="541">
        <v>698170</v>
      </c>
      <c r="BH855" s="21"/>
      <c r="BI855" s="30" t="s">
        <v>597</v>
      </c>
      <c r="BJ855" s="541">
        <v>352022</v>
      </c>
      <c r="BK855" s="541">
        <v>405878</v>
      </c>
      <c r="BL855" s="541">
        <v>489600</v>
      </c>
      <c r="BM855" s="541">
        <v>626688</v>
      </c>
      <c r="BN855" s="541">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 customHeight="1">
      <c r="A856"/>
      <c r="B856"/>
      <c r="C856"/>
      <c r="D856"/>
      <c r="E856"/>
      <c r="F856"/>
      <c r="G856"/>
      <c r="H856"/>
      <c r="I856"/>
      <c r="J856" s="8" t="s">
        <v>282</v>
      </c>
      <c r="K856" s="9"/>
      <c r="L856" s="9"/>
      <c r="M856" s="1215" t="s">
        <v>560</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598</v>
      </c>
      <c r="BC856" s="542">
        <v>352022</v>
      </c>
      <c r="BD856" s="542">
        <v>405878</v>
      </c>
      <c r="BE856" s="542">
        <v>489600</v>
      </c>
      <c r="BF856" s="542">
        <v>626688</v>
      </c>
      <c r="BG856" s="542">
        <v>698170</v>
      </c>
      <c r="BH856" s="21"/>
      <c r="BI856" s="30" t="s">
        <v>598</v>
      </c>
      <c r="BJ856" s="542">
        <v>352022</v>
      </c>
      <c r="BK856" s="542">
        <v>405878</v>
      </c>
      <c r="BL856" s="542">
        <v>489600</v>
      </c>
      <c r="BM856" s="542">
        <v>626688</v>
      </c>
      <c r="BN856" s="542">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 customHeight="1">
      <c r="A857"/>
      <c r="B857"/>
      <c r="C857"/>
      <c r="D857"/>
      <c r="E857"/>
      <c r="F857"/>
      <c r="G857"/>
      <c r="H857"/>
      <c r="I857"/>
      <c r="J857" s="8" t="s">
        <v>282</v>
      </c>
      <c r="K857" s="9"/>
      <c r="L857" s="9"/>
      <c r="M857" s="1215" t="s">
        <v>560</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600</v>
      </c>
      <c r="BC857" s="541">
        <v>307732</v>
      </c>
      <c r="BD857" s="541">
        <v>354812</v>
      </c>
      <c r="BE857" s="541">
        <v>428000</v>
      </c>
      <c r="BF857" s="541">
        <v>547840</v>
      </c>
      <c r="BG857" s="541">
        <v>610328</v>
      </c>
      <c r="BH857" s="21"/>
      <c r="BI857" s="30" t="s">
        <v>600</v>
      </c>
      <c r="BJ857" s="541">
        <v>307732</v>
      </c>
      <c r="BK857" s="541">
        <v>354812</v>
      </c>
      <c r="BL857" s="541">
        <v>428000</v>
      </c>
      <c r="BM857" s="541">
        <v>547840</v>
      </c>
      <c r="BN857" s="541">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2" customHeight="1">
      <c r="A858"/>
      <c r="B858"/>
      <c r="C858"/>
      <c r="D858"/>
      <c r="E858"/>
      <c r="F858"/>
      <c r="G858"/>
      <c r="H858"/>
      <c r="I858"/>
      <c r="J858" s="8"/>
      <c r="K858" s="9"/>
      <c r="L858" s="9"/>
      <c r="M858" s="9"/>
      <c r="N858" s="9"/>
      <c r="O858" s="9"/>
      <c r="P858" s="9"/>
      <c r="Q858" s="9"/>
      <c r="R858" s="9"/>
      <c r="S858" s="9"/>
      <c r="T858" s="9"/>
      <c r="U858" s="9"/>
      <c r="V858" s="60" t="s">
        <v>17</v>
      </c>
      <c r="W858" s="1193">
        <f>SUM(W853:AC857)</f>
        <v>800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601</v>
      </c>
      <c r="BC858" s="542">
        <v>352022</v>
      </c>
      <c r="BD858" s="542">
        <v>405878</v>
      </c>
      <c r="BE858" s="542">
        <v>489600</v>
      </c>
      <c r="BF858" s="542">
        <v>626688</v>
      </c>
      <c r="BG858" s="542">
        <v>698170</v>
      </c>
      <c r="BH858" s="21"/>
      <c r="BI858" s="30" t="s">
        <v>601</v>
      </c>
      <c r="BJ858" s="542">
        <v>352022</v>
      </c>
      <c r="BK858" s="542">
        <v>405878</v>
      </c>
      <c r="BL858" s="542">
        <v>489600</v>
      </c>
      <c r="BM858" s="542">
        <v>626688</v>
      </c>
      <c r="BN858" s="542">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2"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602</v>
      </c>
      <c r="BC859" s="541">
        <v>352022</v>
      </c>
      <c r="BD859" s="541">
        <v>405878</v>
      </c>
      <c r="BE859" s="541">
        <v>489600</v>
      </c>
      <c r="BF859" s="541">
        <v>626688</v>
      </c>
      <c r="BG859" s="541">
        <v>698170</v>
      </c>
      <c r="BI859" s="30" t="s">
        <v>602</v>
      </c>
      <c r="BJ859" s="541">
        <v>352022</v>
      </c>
      <c r="BK859" s="541">
        <v>405878</v>
      </c>
      <c r="BL859" s="541">
        <v>489600</v>
      </c>
      <c r="BM859" s="541">
        <v>626688</v>
      </c>
      <c r="BN859" s="541">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2"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570</v>
      </c>
      <c r="BC860" s="542">
        <v>387110</v>
      </c>
      <c r="BD860" s="542">
        <v>446334</v>
      </c>
      <c r="BE860" s="542">
        <v>538400</v>
      </c>
      <c r="BF860" s="542">
        <v>689152</v>
      </c>
      <c r="BG860" s="542">
        <v>767758</v>
      </c>
      <c r="BI860" s="30" t="s">
        <v>570</v>
      </c>
      <c r="BJ860" s="542">
        <v>387110</v>
      </c>
      <c r="BK860" s="542">
        <v>446334</v>
      </c>
      <c r="BL860" s="542">
        <v>538400</v>
      </c>
      <c r="BM860" s="542">
        <v>689152</v>
      </c>
      <c r="BN860" s="542">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2"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572</v>
      </c>
      <c r="BC861" s="541">
        <v>384234</v>
      </c>
      <c r="BD861" s="541">
        <v>443018</v>
      </c>
      <c r="BE861" s="541">
        <v>534400</v>
      </c>
      <c r="BF861" s="541">
        <v>684032</v>
      </c>
      <c r="BG861" s="541">
        <v>762054</v>
      </c>
      <c r="BI861" s="30" t="s">
        <v>572</v>
      </c>
      <c r="BJ861" s="541">
        <v>384234</v>
      </c>
      <c r="BK861" s="541">
        <v>443018</v>
      </c>
      <c r="BL861" s="541">
        <v>534400</v>
      </c>
      <c r="BM861" s="541">
        <v>684032</v>
      </c>
      <c r="BN861" s="541">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2"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687605</v>
      </c>
      <c r="AD862" s="1194"/>
      <c r="AE862" s="1194"/>
      <c r="AF862" s="1194"/>
      <c r="AG862" s="1194"/>
      <c r="AH862" s="1195"/>
      <c r="AI862"/>
      <c r="AJ862"/>
      <c r="AK862"/>
      <c r="AL862"/>
      <c r="AM862" s="38"/>
      <c r="AN862" s="38"/>
      <c r="BB862" s="30" t="s">
        <v>573</v>
      </c>
      <c r="BC862" s="542">
        <v>352022</v>
      </c>
      <c r="BD862" s="542">
        <v>405878</v>
      </c>
      <c r="BE862" s="542">
        <v>489600</v>
      </c>
      <c r="BF862" s="542">
        <v>626688</v>
      </c>
      <c r="BG862" s="542">
        <v>698170</v>
      </c>
      <c r="BI862" s="30" t="s">
        <v>573</v>
      </c>
      <c r="BJ862" s="542">
        <v>352022</v>
      </c>
      <c r="BK862" s="542">
        <v>405878</v>
      </c>
      <c r="BL862" s="542">
        <v>489600</v>
      </c>
      <c r="BM862" s="542">
        <v>626688</v>
      </c>
      <c r="BN862" s="542">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2"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696</v>
      </c>
      <c r="AC863" s="1188">
        <f>O776+O756+G730</f>
        <v>72</v>
      </c>
      <c r="AD863" s="1189"/>
      <c r="AE863" s="1189"/>
      <c r="AF863" s="1189"/>
      <c r="AG863" s="1189"/>
      <c r="AH863" s="1190"/>
      <c r="AI863"/>
      <c r="AJ863"/>
      <c r="AK863"/>
      <c r="AL863"/>
      <c r="AM863" s="38"/>
      <c r="AN863" s="38"/>
      <c r="BB863" s="30" t="s">
        <v>574</v>
      </c>
      <c r="BC863" s="541">
        <v>396888</v>
      </c>
      <c r="BD863" s="541">
        <v>457608</v>
      </c>
      <c r="BE863" s="541">
        <v>552000</v>
      </c>
      <c r="BF863" s="541">
        <v>706560</v>
      </c>
      <c r="BG863" s="541">
        <v>787152</v>
      </c>
      <c r="BI863" s="30" t="s">
        <v>574</v>
      </c>
      <c r="BJ863" s="541">
        <v>396888</v>
      </c>
      <c r="BK863" s="541">
        <v>457608</v>
      </c>
      <c r="BL863" s="541">
        <v>552000</v>
      </c>
      <c r="BM863" s="541">
        <v>706560</v>
      </c>
      <c r="BN863" s="541">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2" customHeight="1" thickBot="1">
      <c r="A864"/>
      <c r="B864"/>
      <c r="C864"/>
      <c r="D864"/>
      <c r="E864" s="1493" t="s">
        <v>345</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2">
        <f>IF(ISERROR((ROUNDDOWN(AC862/AC863,0))),0,(ROUNDDOWN(AC862/AC863,0)))</f>
        <v>9550</v>
      </c>
      <c r="AD864" s="1213"/>
      <c r="AE864" s="1213"/>
      <c r="AF864" s="1213"/>
      <c r="AG864" s="1213"/>
      <c r="AH864" s="1213"/>
      <c r="AI864"/>
      <c r="AJ864"/>
      <c r="AK864"/>
      <c r="AL864" s="3"/>
      <c r="AM864" s="38"/>
      <c r="AN864" s="38"/>
      <c r="BB864" s="30" t="s">
        <v>575</v>
      </c>
      <c r="BC864" s="542">
        <v>331890</v>
      </c>
      <c r="BD864" s="542">
        <v>382666</v>
      </c>
      <c r="BE864" s="542">
        <v>461600</v>
      </c>
      <c r="BF864" s="542">
        <v>590848</v>
      </c>
      <c r="BG864" s="542">
        <v>658242</v>
      </c>
      <c r="BI864" s="30" t="s">
        <v>575</v>
      </c>
      <c r="BJ864" s="542">
        <v>331890</v>
      </c>
      <c r="BK864" s="542">
        <v>382666</v>
      </c>
      <c r="BL864" s="542">
        <v>461600</v>
      </c>
      <c r="BM864" s="542">
        <v>590848</v>
      </c>
      <c r="BN864" s="542">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2"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3" t="s">
        <v>638</v>
      </c>
      <c r="AC865" s="1060">
        <f>+'Sources and Uses Budget'!B74</f>
        <v>288104</v>
      </c>
      <c r="AD865" s="1220"/>
      <c r="AE865" s="1220"/>
      <c r="AF865" s="1220"/>
      <c r="AG865" s="1220"/>
      <c r="AH865" s="1220"/>
      <c r="AI865"/>
      <c r="AJ865"/>
      <c r="AK865"/>
      <c r="AL865"/>
      <c r="AM865" s="38"/>
      <c r="AN865" s="38"/>
      <c r="BB865" s="30" t="s">
        <v>577</v>
      </c>
      <c r="BC865" s="541">
        <v>352022</v>
      </c>
      <c r="BD865" s="541">
        <v>405878</v>
      </c>
      <c r="BE865" s="541">
        <v>489600</v>
      </c>
      <c r="BF865" s="541">
        <v>626688</v>
      </c>
      <c r="BG865" s="541">
        <v>698170</v>
      </c>
      <c r="BI865" s="30" t="s">
        <v>577</v>
      </c>
      <c r="BJ865" s="541">
        <v>352022</v>
      </c>
      <c r="BK865" s="541">
        <v>405878</v>
      </c>
      <c r="BL865" s="541">
        <v>489600</v>
      </c>
      <c r="BM865" s="541">
        <v>626688</v>
      </c>
      <c r="BN865" s="541">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2"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1677</v>
      </c>
      <c r="AC866" s="1201">
        <v>0</v>
      </c>
      <c r="AD866" s="1211"/>
      <c r="AE866" s="1211"/>
      <c r="AF866" s="1211"/>
      <c r="AG866" s="1211"/>
      <c r="AH866" s="1211"/>
      <c r="AI866"/>
      <c r="AJ866"/>
      <c r="AK866"/>
      <c r="AL866"/>
      <c r="AM866" s="38"/>
      <c r="AN866" s="38"/>
      <c r="AV866" s="1492"/>
      <c r="AW866" s="1492"/>
      <c r="AX866" s="1492"/>
      <c r="AY866" s="1492"/>
      <c r="BB866" s="30" t="s">
        <v>578</v>
      </c>
      <c r="BC866" s="542">
        <v>314634</v>
      </c>
      <c r="BD866" s="542">
        <v>362770</v>
      </c>
      <c r="BE866" s="542">
        <v>437600</v>
      </c>
      <c r="BF866" s="542">
        <v>560128</v>
      </c>
      <c r="BG866" s="542">
        <v>624018</v>
      </c>
      <c r="BI866" s="30" t="s">
        <v>578</v>
      </c>
      <c r="BJ866" s="542">
        <v>314634</v>
      </c>
      <c r="BK866" s="542">
        <v>362770</v>
      </c>
      <c r="BL866" s="542">
        <v>437600</v>
      </c>
      <c r="BM866" s="542">
        <v>560128</v>
      </c>
      <c r="BN866" s="542">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2"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199">
        <v>95902</v>
      </c>
      <c r="AD867" s="1200"/>
      <c r="AE867" s="1200"/>
      <c r="AF867" s="1200"/>
      <c r="AG867" s="1200"/>
      <c r="AH867" s="1201"/>
      <c r="AI867"/>
      <c r="AJ867"/>
      <c r="AK867"/>
      <c r="AL867"/>
      <c r="AM867" s="38"/>
      <c r="AN867" s="38"/>
      <c r="BB867" s="30" t="s">
        <v>420</v>
      </c>
      <c r="BC867" s="541">
        <v>331890</v>
      </c>
      <c r="BD867" s="541">
        <v>382666</v>
      </c>
      <c r="BE867" s="541">
        <v>461600</v>
      </c>
      <c r="BF867" s="541">
        <v>590848</v>
      </c>
      <c r="BG867" s="541">
        <v>658242</v>
      </c>
      <c r="BI867" s="30" t="s">
        <v>420</v>
      </c>
      <c r="BJ867" s="541">
        <v>331890</v>
      </c>
      <c r="BK867" s="541">
        <v>382666</v>
      </c>
      <c r="BL867" s="541">
        <v>461600</v>
      </c>
      <c r="BM867" s="541">
        <v>590848</v>
      </c>
      <c r="BN867" s="541">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705</v>
      </c>
      <c r="AC868" s="1199">
        <v>36000</v>
      </c>
      <c r="AD868" s="1200"/>
      <c r="AE868" s="1200"/>
      <c r="AF868" s="1200"/>
      <c r="AG868" s="1200"/>
      <c r="AH868" s="1201"/>
      <c r="AI868"/>
      <c r="AJ868"/>
      <c r="AK868"/>
      <c r="AL868"/>
      <c r="AM868" s="38"/>
      <c r="AN868" s="38"/>
      <c r="BB868" s="30" t="s">
        <v>580</v>
      </c>
      <c r="BC868" s="542">
        <v>352022</v>
      </c>
      <c r="BD868" s="542">
        <v>405878</v>
      </c>
      <c r="BE868" s="542">
        <v>489600</v>
      </c>
      <c r="BF868" s="542">
        <v>626688</v>
      </c>
      <c r="BG868" s="542">
        <v>698170</v>
      </c>
      <c r="BI868" s="30" t="s">
        <v>580</v>
      </c>
      <c r="BJ868" s="542">
        <v>352022</v>
      </c>
      <c r="BK868" s="542">
        <v>405878</v>
      </c>
      <c r="BL868" s="542">
        <v>489600</v>
      </c>
      <c r="BM868" s="542">
        <v>626688</v>
      </c>
      <c r="BN868" s="542">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1933</v>
      </c>
      <c r="AC869" s="1199">
        <v>5400</v>
      </c>
      <c r="AD869" s="1200"/>
      <c r="AE869" s="1200"/>
      <c r="AF869" s="1200"/>
      <c r="AG869" s="1200"/>
      <c r="AH869" s="1201"/>
      <c r="AI869"/>
      <c r="AJ869"/>
      <c r="AK869"/>
      <c r="AL869"/>
      <c r="AM869" s="38"/>
      <c r="AN869" s="38"/>
      <c r="BB869" s="30" t="s">
        <v>581</v>
      </c>
      <c r="BC869" s="541">
        <v>314634</v>
      </c>
      <c r="BD869" s="541">
        <v>362770</v>
      </c>
      <c r="BE869" s="541">
        <v>437600</v>
      </c>
      <c r="BF869" s="541">
        <v>560128</v>
      </c>
      <c r="BG869" s="541">
        <v>624018</v>
      </c>
      <c r="BI869" s="30" t="s">
        <v>581</v>
      </c>
      <c r="BJ869" s="541">
        <v>314634</v>
      </c>
      <c r="BK869" s="541">
        <v>362770</v>
      </c>
      <c r="BL869" s="541">
        <v>437600</v>
      </c>
      <c r="BM869" s="541">
        <v>560128</v>
      </c>
      <c r="BN869" s="541">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706</v>
      </c>
      <c r="AC870" s="1199">
        <v>3090</v>
      </c>
      <c r="AD870" s="1200"/>
      <c r="AE870" s="1200"/>
      <c r="AF870" s="1200"/>
      <c r="AG870" s="1200"/>
      <c r="AH870" s="1201"/>
      <c r="AI870"/>
      <c r="AJ870"/>
      <c r="AK870"/>
      <c r="AL870"/>
      <c r="AM870" s="38"/>
      <c r="AN870" s="38"/>
      <c r="BB870" s="30" t="s">
        <v>582</v>
      </c>
      <c r="BC870" s="542">
        <v>353173</v>
      </c>
      <c r="BD870" s="542">
        <v>407205</v>
      </c>
      <c r="BE870" s="542">
        <v>491200</v>
      </c>
      <c r="BF870" s="542">
        <v>628736</v>
      </c>
      <c r="BG870" s="542">
        <v>700451</v>
      </c>
      <c r="BI870" s="30" t="s">
        <v>582</v>
      </c>
      <c r="BJ870" s="542">
        <v>353173</v>
      </c>
      <c r="BK870" s="542">
        <v>407205</v>
      </c>
      <c r="BL870" s="542">
        <v>491200</v>
      </c>
      <c r="BM870" s="542">
        <v>628736</v>
      </c>
      <c r="BN870" s="542">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1932</v>
      </c>
      <c r="AC871" s="1451"/>
      <c r="AD871" s="1211"/>
      <c r="AE871" s="1211"/>
      <c r="AF871" s="1211"/>
      <c r="AG871" s="1211"/>
      <c r="AH871" s="1211"/>
      <c r="AI871"/>
      <c r="AJ871"/>
      <c r="AK871"/>
      <c r="AL871"/>
      <c r="AM871" s="38"/>
      <c r="AN871" s="38"/>
      <c r="BB871" s="30" t="s">
        <v>751</v>
      </c>
      <c r="BC871" s="541">
        <v>689665</v>
      </c>
      <c r="BD871" s="541">
        <v>795177</v>
      </c>
      <c r="BE871" s="541">
        <v>959200</v>
      </c>
      <c r="BF871" s="541">
        <v>1227776</v>
      </c>
      <c r="BG871" s="541">
        <v>1367819</v>
      </c>
      <c r="BI871" s="30" t="s">
        <v>751</v>
      </c>
      <c r="BJ871" s="541">
        <v>689665</v>
      </c>
      <c r="BK871" s="541">
        <v>795177</v>
      </c>
      <c r="BL871" s="541">
        <v>959200</v>
      </c>
      <c r="BM871" s="541">
        <v>1227776</v>
      </c>
      <c r="BN871" s="541">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2" customHeight="1">
      <c r="A872"/>
      <c r="B872"/>
      <c r="C872"/>
      <c r="D872"/>
      <c r="E872" s="1196" t="s">
        <v>1207</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752</v>
      </c>
      <c r="BC872" s="542">
        <v>307732</v>
      </c>
      <c r="BD872" s="542">
        <v>354812</v>
      </c>
      <c r="BE872" s="542">
        <v>428000</v>
      </c>
      <c r="BF872" s="542">
        <v>547840</v>
      </c>
      <c r="BG872" s="542">
        <v>610328</v>
      </c>
      <c r="BI872" s="30" t="s">
        <v>752</v>
      </c>
      <c r="BJ872" s="542">
        <v>307732</v>
      </c>
      <c r="BK872" s="542">
        <v>354812</v>
      </c>
      <c r="BL872" s="542">
        <v>428000</v>
      </c>
      <c r="BM872" s="542">
        <v>547840</v>
      </c>
      <c r="BN872" s="542">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2" customHeight="1">
      <c r="A873"/>
      <c r="B873"/>
      <c r="C873"/>
      <c r="D873"/>
      <c r="E873" s="1196" t="s">
        <v>1207</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753</v>
      </c>
      <c r="BC873" s="541">
        <v>387110</v>
      </c>
      <c r="BD873" s="541">
        <v>446334</v>
      </c>
      <c r="BE873" s="541">
        <v>538400</v>
      </c>
      <c r="BF873" s="541">
        <v>689152</v>
      </c>
      <c r="BG873" s="541">
        <v>767758</v>
      </c>
      <c r="BI873" s="30" t="s">
        <v>753</v>
      </c>
      <c r="BJ873" s="541">
        <v>387110</v>
      </c>
      <c r="BK873" s="541">
        <v>446334</v>
      </c>
      <c r="BL873" s="541">
        <v>538400</v>
      </c>
      <c r="BM873" s="541">
        <v>689152</v>
      </c>
      <c r="BN873" s="541">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2"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754</v>
      </c>
      <c r="BC874" s="540">
        <v>532060</v>
      </c>
      <c r="BD874" s="540">
        <v>613460</v>
      </c>
      <c r="BE874" s="542">
        <v>740000</v>
      </c>
      <c r="BF874" s="540">
        <v>947200</v>
      </c>
      <c r="BG874" s="540">
        <v>1055240</v>
      </c>
      <c r="BI874" s="30" t="s">
        <v>754</v>
      </c>
      <c r="BJ874" s="540">
        <v>532060</v>
      </c>
      <c r="BK874" s="540">
        <v>613460</v>
      </c>
      <c r="BL874" s="540">
        <v>740000</v>
      </c>
      <c r="BM874" s="540">
        <v>947200</v>
      </c>
      <c r="BN874" s="540">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2"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2"/>
      <c r="AQ875" s="1492"/>
      <c r="AR875" s="1492"/>
      <c r="AS875" s="1492"/>
      <c r="AT875" s="87"/>
      <c r="AU875" s="87"/>
      <c r="AV875" s="87"/>
      <c r="AW875" s="87"/>
      <c r="AX875" s="87"/>
      <c r="AY875" s="87"/>
      <c r="BB875" s="30" t="s">
        <v>755</v>
      </c>
      <c r="BC875" s="541">
        <v>387110</v>
      </c>
      <c r="BD875" s="541">
        <v>446334</v>
      </c>
      <c r="BE875" s="541">
        <v>538400</v>
      </c>
      <c r="BF875" s="541">
        <v>689152</v>
      </c>
      <c r="BG875" s="541">
        <v>767758</v>
      </c>
      <c r="BI875" s="30" t="s">
        <v>755</v>
      </c>
      <c r="BJ875" s="541">
        <v>387110</v>
      </c>
      <c r="BK875" s="541">
        <v>446334</v>
      </c>
      <c r="BL875" s="541">
        <v>538400</v>
      </c>
      <c r="BM875" s="541">
        <v>689152</v>
      </c>
      <c r="BN875" s="541">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2"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756</v>
      </c>
      <c r="BC876" s="540">
        <v>532060</v>
      </c>
      <c r="BD876" s="540">
        <v>613460</v>
      </c>
      <c r="BE876" s="540">
        <v>740000</v>
      </c>
      <c r="BF876" s="540">
        <v>947200</v>
      </c>
      <c r="BG876" s="540">
        <v>1055240</v>
      </c>
      <c r="BI876" s="30" t="s">
        <v>756</v>
      </c>
      <c r="BJ876" s="540">
        <v>532060</v>
      </c>
      <c r="BK876" s="540">
        <v>613460</v>
      </c>
      <c r="BL876" s="540">
        <v>740000</v>
      </c>
      <c r="BM876" s="540">
        <v>947200</v>
      </c>
      <c r="BN876" s="540">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2"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199">
        <v>0</v>
      </c>
      <c r="AA877" s="1200"/>
      <c r="AB877" s="1200"/>
      <c r="AC877" s="1200"/>
      <c r="AD877" s="1200"/>
      <c r="AE877" s="1201"/>
      <c r="AF877"/>
      <c r="AG877"/>
      <c r="AH877"/>
      <c r="AI877"/>
      <c r="AJ877"/>
      <c r="AK877"/>
      <c r="AL877"/>
      <c r="AM877" s="38"/>
      <c r="AN877" s="38"/>
      <c r="BB877" s="30" t="s">
        <v>656</v>
      </c>
      <c r="BC877" s="541">
        <v>387110</v>
      </c>
      <c r="BD877" s="541">
        <v>446334</v>
      </c>
      <c r="BE877" s="541">
        <v>538400</v>
      </c>
      <c r="BF877" s="541">
        <v>689152</v>
      </c>
      <c r="BG877" s="541">
        <v>767758</v>
      </c>
      <c r="BI877" s="30" t="s">
        <v>656</v>
      </c>
      <c r="BJ877" s="541">
        <v>387110</v>
      </c>
      <c r="BK877" s="541">
        <v>446334</v>
      </c>
      <c r="BL877" s="541">
        <v>538400</v>
      </c>
      <c r="BM877" s="541">
        <v>689152</v>
      </c>
      <c r="BN877" s="541">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199">
        <v>0</v>
      </c>
      <c r="AA878" s="1200"/>
      <c r="AB878" s="1200"/>
      <c r="AC878" s="1200"/>
      <c r="AD878" s="1200"/>
      <c r="AE878" s="1201"/>
      <c r="AF878"/>
      <c r="AG878"/>
      <c r="AH878"/>
      <c r="AI878"/>
      <c r="AJ878"/>
      <c r="AK878"/>
      <c r="AL878"/>
      <c r="AM878" s="38"/>
      <c r="AN878" s="38"/>
      <c r="BB878" s="30" t="s">
        <v>657</v>
      </c>
      <c r="BC878" s="542">
        <v>319236</v>
      </c>
      <c r="BD878" s="542">
        <v>368076</v>
      </c>
      <c r="BE878" s="542">
        <v>444000</v>
      </c>
      <c r="BF878" s="542">
        <v>568320</v>
      </c>
      <c r="BG878" s="542">
        <v>633144</v>
      </c>
      <c r="BI878" s="30" t="s">
        <v>657</v>
      </c>
      <c r="BJ878" s="542">
        <v>319236</v>
      </c>
      <c r="BK878" s="542">
        <v>368076</v>
      </c>
      <c r="BL878" s="542">
        <v>444000</v>
      </c>
      <c r="BM878" s="542">
        <v>568320</v>
      </c>
      <c r="BN878" s="542">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2" customHeight="1">
      <c r="H879" s="214" t="s">
        <v>784</v>
      </c>
      <c r="I879" s="9"/>
      <c r="J879" s="9"/>
      <c r="K879" s="9"/>
      <c r="L879" s="9"/>
      <c r="M879" s="9"/>
      <c r="N879" s="9"/>
      <c r="O879" s="9"/>
      <c r="P879" s="9"/>
      <c r="Q879" s="9"/>
      <c r="R879" s="9"/>
      <c r="S879" s="9"/>
      <c r="T879" s="9"/>
      <c r="U879" s="9"/>
      <c r="V879" s="9"/>
      <c r="W879" s="9"/>
      <c r="X879" s="9"/>
      <c r="Y879" s="9"/>
      <c r="Z879" s="1199">
        <v>0</v>
      </c>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658</v>
      </c>
      <c r="BC879" s="541">
        <v>352022</v>
      </c>
      <c r="BD879" s="541">
        <v>405878</v>
      </c>
      <c r="BE879" s="541">
        <v>489600</v>
      </c>
      <c r="BF879" s="541">
        <v>626688</v>
      </c>
      <c r="BG879" s="541">
        <v>698170</v>
      </c>
      <c r="BH879" s="21"/>
      <c r="BI879" s="30" t="s">
        <v>658</v>
      </c>
      <c r="BJ879" s="541">
        <v>352022</v>
      </c>
      <c r="BK879" s="541">
        <v>405878</v>
      </c>
      <c r="BL879" s="541">
        <v>489600</v>
      </c>
      <c r="BM879" s="541">
        <v>626688</v>
      </c>
      <c r="BN879" s="541">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 customHeight="1">
      <c r="H880" s="8"/>
      <c r="I880" s="9"/>
      <c r="J880" s="9"/>
      <c r="K880" s="9"/>
      <c r="L880" s="9"/>
      <c r="M880" s="9"/>
      <c r="N880" s="9"/>
      <c r="O880" s="9"/>
      <c r="P880" s="9"/>
      <c r="Q880" s="9"/>
      <c r="R880" s="9"/>
      <c r="S880" s="9"/>
      <c r="T880" s="9"/>
      <c r="U880" s="9"/>
      <c r="V880" s="9"/>
      <c r="W880" s="9"/>
      <c r="X880" s="9"/>
      <c r="Y880" s="306" t="s">
        <v>785</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659</v>
      </c>
      <c r="BC880" s="542">
        <v>352022</v>
      </c>
      <c r="BD880" s="542">
        <v>405878</v>
      </c>
      <c r="BE880" s="542">
        <v>489600</v>
      </c>
      <c r="BF880" s="542">
        <v>626688</v>
      </c>
      <c r="BG880" s="542">
        <v>698170</v>
      </c>
      <c r="BH880" s="21"/>
      <c r="BI880" s="30" t="s">
        <v>659</v>
      </c>
      <c r="BJ880" s="542">
        <v>352022</v>
      </c>
      <c r="BK880" s="542">
        <v>405878</v>
      </c>
      <c r="BL880" s="542">
        <v>489600</v>
      </c>
      <c r="BM880" s="542">
        <v>626688</v>
      </c>
      <c r="BN880" s="542">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660</v>
      </c>
      <c r="BC881" s="541">
        <v>384234</v>
      </c>
      <c r="BD881" s="541">
        <v>443018</v>
      </c>
      <c r="BE881" s="541">
        <v>534400</v>
      </c>
      <c r="BF881" s="541">
        <v>684032</v>
      </c>
      <c r="BG881" s="541">
        <v>762054</v>
      </c>
      <c r="BH881" s="21"/>
      <c r="BI881" s="30" t="s">
        <v>660</v>
      </c>
      <c r="BJ881" s="541">
        <v>384234</v>
      </c>
      <c r="BK881" s="541">
        <v>443018</v>
      </c>
      <c r="BL881" s="541">
        <v>534400</v>
      </c>
      <c r="BM881" s="541">
        <v>684032</v>
      </c>
      <c r="BN881" s="541">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895</v>
      </c>
      <c r="BC882" s="542">
        <v>384234</v>
      </c>
      <c r="BD882" s="542">
        <v>443018</v>
      </c>
      <c r="BE882" s="542">
        <v>534400</v>
      </c>
      <c r="BF882" s="542">
        <v>684032</v>
      </c>
      <c r="BG882" s="542">
        <v>762054</v>
      </c>
      <c r="BH882" s="21"/>
      <c r="BI882" s="30" t="s">
        <v>895</v>
      </c>
      <c r="BJ882" s="542">
        <v>384234</v>
      </c>
      <c r="BK882" s="542">
        <v>443018</v>
      </c>
      <c r="BL882" s="542">
        <v>534400</v>
      </c>
      <c r="BM882" s="542">
        <v>684032</v>
      </c>
      <c r="BN882" s="542">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896</v>
      </c>
      <c r="BC883" s="541">
        <v>307732</v>
      </c>
      <c r="BD883" s="541">
        <v>354812</v>
      </c>
      <c r="BE883" s="541">
        <v>428000</v>
      </c>
      <c r="BF883" s="541">
        <v>547840</v>
      </c>
      <c r="BG883" s="541">
        <v>610328</v>
      </c>
      <c r="BH883" s="21"/>
      <c r="BI883" s="30" t="s">
        <v>896</v>
      </c>
      <c r="BJ883" s="541">
        <v>307732</v>
      </c>
      <c r="BK883" s="541">
        <v>354812</v>
      </c>
      <c r="BL883" s="541">
        <v>428000</v>
      </c>
      <c r="BM883" s="541">
        <v>547840</v>
      </c>
      <c r="BN883" s="541">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2">
        <v>331890</v>
      </c>
      <c r="BD884" s="542">
        <v>382666</v>
      </c>
      <c r="BE884" s="542">
        <v>461600</v>
      </c>
      <c r="BF884" s="542">
        <v>590848</v>
      </c>
      <c r="BG884" s="542">
        <v>658242</v>
      </c>
      <c r="BH884" s="21"/>
      <c r="BI884" s="30" t="s">
        <v>1</v>
      </c>
      <c r="BJ884" s="542">
        <v>331890</v>
      </c>
      <c r="BK884" s="542">
        <v>382666</v>
      </c>
      <c r="BL884" s="542">
        <v>461600</v>
      </c>
      <c r="BM884" s="542">
        <v>590848</v>
      </c>
      <c r="BN884" s="542">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 customHeight="1">
      <c r="C885" s="21" t="s">
        <v>750</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1">
        <v>352022</v>
      </c>
      <c r="BD885" s="541">
        <v>405878</v>
      </c>
      <c r="BE885" s="541">
        <v>489600</v>
      </c>
      <c r="BF885" s="541">
        <v>626688</v>
      </c>
      <c r="BG885" s="541">
        <v>698170</v>
      </c>
      <c r="BH885" s="21"/>
      <c r="BI885" s="30" t="s">
        <v>2</v>
      </c>
      <c r="BJ885" s="541">
        <v>352022</v>
      </c>
      <c r="BK885" s="541">
        <v>405878</v>
      </c>
      <c r="BL885" s="541">
        <v>489600</v>
      </c>
      <c r="BM885" s="541">
        <v>626688</v>
      </c>
      <c r="BN885" s="541">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2">
        <v>352022</v>
      </c>
      <c r="BD886" s="542">
        <v>405878</v>
      </c>
      <c r="BE886" s="542">
        <v>489600</v>
      </c>
      <c r="BF886" s="542">
        <v>626688</v>
      </c>
      <c r="BG886" s="542">
        <v>698170</v>
      </c>
      <c r="BH886" s="21"/>
      <c r="BI886" s="30" t="s">
        <v>3</v>
      </c>
      <c r="BJ886" s="542">
        <v>352022</v>
      </c>
      <c r="BK886" s="542">
        <v>405878</v>
      </c>
      <c r="BL886" s="542">
        <v>489600</v>
      </c>
      <c r="BM886" s="542">
        <v>626688</v>
      </c>
      <c r="BN886" s="542">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 customHeight="1">
      <c r="A887" s="1083" t="s">
        <v>127</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1">
        <v>307732</v>
      </c>
      <c r="BD887" s="541">
        <v>354812</v>
      </c>
      <c r="BE887" s="541">
        <v>428000</v>
      </c>
      <c r="BF887" s="541">
        <v>547840</v>
      </c>
      <c r="BG887" s="541">
        <v>610328</v>
      </c>
      <c r="BH887" s="21"/>
      <c r="BI887" s="30" t="s">
        <v>4</v>
      </c>
      <c r="BJ887" s="541">
        <v>307732</v>
      </c>
      <c r="BK887" s="541">
        <v>354812</v>
      </c>
      <c r="BL887" s="541">
        <v>428000</v>
      </c>
      <c r="BM887" s="541">
        <v>547840</v>
      </c>
      <c r="BN887" s="541">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2">
        <v>352022</v>
      </c>
      <c r="BD888" s="542">
        <v>405878</v>
      </c>
      <c r="BE888" s="542">
        <v>489600</v>
      </c>
      <c r="BF888" s="542">
        <v>626688</v>
      </c>
      <c r="BG888" s="542">
        <v>698170</v>
      </c>
      <c r="BH888" s="21"/>
      <c r="BI888" s="30" t="s">
        <v>21</v>
      </c>
      <c r="BJ888" s="542">
        <v>352022</v>
      </c>
      <c r="BK888" s="542">
        <v>405878</v>
      </c>
      <c r="BL888" s="542">
        <v>489600</v>
      </c>
      <c r="BM888" s="542">
        <v>626688</v>
      </c>
      <c r="BN888" s="542">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1">
        <v>387110</v>
      </c>
      <c r="BD889" s="541">
        <v>446334</v>
      </c>
      <c r="BE889" s="541">
        <v>538400</v>
      </c>
      <c r="BF889" s="541">
        <v>689152</v>
      </c>
      <c r="BG889" s="541">
        <v>767758</v>
      </c>
      <c r="BH889" s="21"/>
      <c r="BI889" s="30" t="s">
        <v>5</v>
      </c>
      <c r="BJ889" s="541">
        <v>387110</v>
      </c>
      <c r="BK889" s="541">
        <v>446334</v>
      </c>
      <c r="BL889" s="541">
        <v>538400</v>
      </c>
      <c r="BM889" s="541">
        <v>689152</v>
      </c>
      <c r="BN889" s="541">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2" customHeight="1">
      <c r="A890" s="3" t="s">
        <v>651</v>
      </c>
      <c r="C890" s="3" t="s">
        <v>547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2">
        <v>331890</v>
      </c>
      <c r="BD890" s="542">
        <v>382666</v>
      </c>
      <c r="BE890" s="542">
        <v>461600</v>
      </c>
      <c r="BF890" s="542">
        <v>590848</v>
      </c>
      <c r="BG890" s="542">
        <v>658242</v>
      </c>
      <c r="BH890" s="21"/>
      <c r="BI890" s="30" t="s">
        <v>6</v>
      </c>
      <c r="BJ890" s="542">
        <v>331890</v>
      </c>
      <c r="BK890" s="542">
        <v>382666</v>
      </c>
      <c r="BL890" s="542">
        <v>461600</v>
      </c>
      <c r="BM890" s="542">
        <v>590848</v>
      </c>
      <c r="BN890" s="542">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2" customHeight="1">
      <c r="AM891" s="43"/>
      <c r="AN891" s="43"/>
      <c r="AO891" s="43"/>
      <c r="AP891" s="43"/>
      <c r="AQ891" s="43"/>
      <c r="AR891" s="43"/>
      <c r="AS891" s="43"/>
      <c r="AT891" s="43"/>
      <c r="AU891" s="43"/>
      <c r="AV891" s="43"/>
      <c r="BB891" s="30" t="s">
        <v>442</v>
      </c>
      <c r="BC891" s="541">
        <v>331890</v>
      </c>
      <c r="BD891" s="541">
        <v>382666</v>
      </c>
      <c r="BE891" s="541">
        <v>461600</v>
      </c>
      <c r="BF891" s="541">
        <v>590848</v>
      </c>
      <c r="BG891" s="541">
        <v>658242</v>
      </c>
      <c r="BH891" s="21"/>
      <c r="BI891" s="30" t="s">
        <v>442</v>
      </c>
      <c r="BJ891" s="541">
        <v>331890</v>
      </c>
      <c r="BK891" s="541">
        <v>382666</v>
      </c>
      <c r="BL891" s="541">
        <v>461600</v>
      </c>
      <c r="BM891" s="541">
        <v>590848</v>
      </c>
      <c r="BN891" s="541">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2" customHeight="1">
      <c r="F892" s="1546" t="s">
        <v>959</v>
      </c>
      <c r="G892" s="1547"/>
      <c r="H892" s="1547"/>
      <c r="I892" s="1547"/>
      <c r="J892" s="1547"/>
      <c r="K892" s="1547"/>
      <c r="L892" s="1547"/>
      <c r="M892" s="1547"/>
      <c r="N892" s="1547"/>
      <c r="O892" s="1547"/>
      <c r="P892" s="1547"/>
      <c r="Q892" s="1547"/>
      <c r="R892" s="1547"/>
      <c r="S892" s="1547"/>
      <c r="T892" s="1548"/>
      <c r="U892" s="1551" t="s">
        <v>344</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2" customHeight="1">
      <c r="B893" s="3"/>
      <c r="F893" s="1539" t="s">
        <v>1037</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2"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1" t="s">
        <v>55</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2" customHeight="1">
      <c r="F895" s="1052" t="s">
        <v>157</v>
      </c>
      <c r="G895" s="1053"/>
      <c r="H895" s="1053"/>
      <c r="I895" s="1053"/>
      <c r="J895" s="1053"/>
      <c r="K895" s="1053"/>
      <c r="L895" s="1053"/>
      <c r="M895" s="1053"/>
      <c r="N895" s="1053"/>
      <c r="O895" s="1053"/>
      <c r="P895" s="1053"/>
      <c r="Q895" s="1053"/>
      <c r="R895" s="1053"/>
      <c r="S895" s="1053"/>
      <c r="T895" s="1054"/>
      <c r="U895" s="1055" t="s">
        <v>107</v>
      </c>
      <c r="V895" s="1056"/>
      <c r="W895" s="1056"/>
      <c r="X895" s="1056"/>
      <c r="Y895" s="1056"/>
      <c r="Z895" s="1057"/>
      <c r="AA895" s="1058">
        <f>+AO624</f>
        <v>1834186</v>
      </c>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2" customHeight="1">
      <c r="F896" s="1052" t="s">
        <v>159</v>
      </c>
      <c r="G896" s="1053"/>
      <c r="H896" s="1053"/>
      <c r="I896" s="1053"/>
      <c r="J896" s="1053"/>
      <c r="K896" s="1053"/>
      <c r="L896" s="1053"/>
      <c r="M896" s="1053"/>
      <c r="N896" s="1053"/>
      <c r="O896" s="1053"/>
      <c r="P896" s="1053"/>
      <c r="Q896" s="1053"/>
      <c r="R896" s="1053"/>
      <c r="S896" s="1053"/>
      <c r="T896" s="1054"/>
      <c r="U896" s="1055" t="s">
        <v>107</v>
      </c>
      <c r="V896" s="1056"/>
      <c r="W896" s="1056"/>
      <c r="X896" s="1056"/>
      <c r="Y896" s="1056"/>
      <c r="Z896" s="1057"/>
      <c r="AA896" s="1058">
        <f>+AO625</f>
        <v>935758</v>
      </c>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2" customHeight="1">
      <c r="F897" s="1071" t="s">
        <v>944</v>
      </c>
      <c r="G897" s="1072"/>
      <c r="H897" s="1072"/>
      <c r="I897" s="1072"/>
      <c r="J897" s="1072"/>
      <c r="K897" s="1072"/>
      <c r="L897" s="1072"/>
      <c r="M897" s="1072"/>
      <c r="N897" s="1072"/>
      <c r="O897" s="1072"/>
      <c r="P897" s="1072"/>
      <c r="Q897" s="1072"/>
      <c r="R897" s="1072"/>
      <c r="S897" s="1072"/>
      <c r="T897" s="1073"/>
      <c r="U897" s="1055" t="s">
        <v>123</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2" customHeight="1">
      <c r="F898" s="1071" t="s">
        <v>945</v>
      </c>
      <c r="G898" s="1072"/>
      <c r="H898" s="1072"/>
      <c r="I898" s="1072"/>
      <c r="J898" s="1072"/>
      <c r="K898" s="1072"/>
      <c r="L898" s="1072"/>
      <c r="M898" s="1072"/>
      <c r="N898" s="1072"/>
      <c r="O898" s="1072"/>
      <c r="P898" s="1072"/>
      <c r="Q898" s="1072"/>
      <c r="R898" s="1072"/>
      <c r="S898" s="1072"/>
      <c r="T898" s="1073"/>
      <c r="U898" s="1055" t="s">
        <v>123</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2" customHeight="1">
      <c r="F899" s="1071" t="s">
        <v>946</v>
      </c>
      <c r="G899" s="1072"/>
      <c r="H899" s="1072"/>
      <c r="I899" s="1072"/>
      <c r="J899" s="1072"/>
      <c r="K899" s="1072"/>
      <c r="L899" s="1072"/>
      <c r="M899" s="1072"/>
      <c r="N899" s="1072"/>
      <c r="O899" s="1072"/>
      <c r="P899" s="1072"/>
      <c r="Q899" s="1072"/>
      <c r="R899" s="1072"/>
      <c r="S899" s="1072"/>
      <c r="T899" s="1073"/>
      <c r="U899" s="1055" t="s">
        <v>123</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2" customHeight="1">
      <c r="F900" s="1052" t="s">
        <v>158</v>
      </c>
      <c r="G900" s="1053"/>
      <c r="H900" s="1053"/>
      <c r="I900" s="1053"/>
      <c r="J900" s="1053"/>
      <c r="K900" s="1053"/>
      <c r="L900" s="1053"/>
      <c r="M900" s="1053"/>
      <c r="N900" s="1053"/>
      <c r="O900" s="1053"/>
      <c r="P900" s="1053"/>
      <c r="Q900" s="1053"/>
      <c r="R900" s="1053"/>
      <c r="S900" s="1053"/>
      <c r="T900" s="1054"/>
      <c r="U900" s="1055" t="s">
        <v>123</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2" customHeight="1">
      <c r="F901" s="1052" t="s">
        <v>2283</v>
      </c>
      <c r="G901" s="1053"/>
      <c r="H901" s="1053"/>
      <c r="I901" s="1053"/>
      <c r="J901" s="1053"/>
      <c r="K901" s="1053"/>
      <c r="L901" s="1053"/>
      <c r="M901" s="1053"/>
      <c r="N901" s="1053"/>
      <c r="O901" s="1053"/>
      <c r="P901" s="1053"/>
      <c r="Q901" s="1053"/>
      <c r="R901" s="1053"/>
      <c r="S901" s="1053"/>
      <c r="T901" s="1054"/>
      <c r="U901" s="1055" t="s">
        <v>123</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2" customHeight="1">
      <c r="F902" s="1052" t="s">
        <v>160</v>
      </c>
      <c r="G902" s="1053"/>
      <c r="H902" s="1053"/>
      <c r="I902" s="1053"/>
      <c r="J902" s="1053"/>
      <c r="K902" s="1053"/>
      <c r="L902" s="1053"/>
      <c r="M902" s="1053"/>
      <c r="N902" s="1053"/>
      <c r="O902" s="1053"/>
      <c r="P902" s="1053"/>
      <c r="Q902" s="1053"/>
      <c r="R902" s="1053"/>
      <c r="S902" s="1053"/>
      <c r="T902" s="1054"/>
      <c r="U902" s="1055" t="s">
        <v>123</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2" customHeight="1">
      <c r="F903" s="1052" t="s">
        <v>2280</v>
      </c>
      <c r="G903" s="1053"/>
      <c r="H903" s="1053"/>
      <c r="I903" s="1053"/>
      <c r="J903" s="1053"/>
      <c r="K903" s="1053"/>
      <c r="L903" s="1053"/>
      <c r="M903" s="1053"/>
      <c r="N903" s="1053"/>
      <c r="O903" s="1053"/>
      <c r="P903" s="1053"/>
      <c r="Q903" s="1053"/>
      <c r="R903" s="1053"/>
      <c r="S903" s="1053"/>
      <c r="T903" s="1054"/>
      <c r="U903" s="1055" t="s">
        <v>123</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2" customHeight="1">
      <c r="F904" s="1052" t="s">
        <v>2281</v>
      </c>
      <c r="G904" s="1053"/>
      <c r="H904" s="1053"/>
      <c r="I904" s="1053"/>
      <c r="J904" s="1053"/>
      <c r="K904" s="1053"/>
      <c r="L904" s="1053"/>
      <c r="M904" s="1053"/>
      <c r="N904" s="1053"/>
      <c r="O904" s="1053"/>
      <c r="P904" s="1053"/>
      <c r="Q904" s="1053"/>
      <c r="R904" s="1053"/>
      <c r="S904" s="1053"/>
      <c r="T904" s="1054"/>
      <c r="U904" s="1055" t="s">
        <v>123</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2" customHeight="1">
      <c r="F905" s="1052" t="s">
        <v>2282</v>
      </c>
      <c r="G905" s="1053"/>
      <c r="H905" s="1053"/>
      <c r="I905" s="1053"/>
      <c r="J905" s="1053"/>
      <c r="K905" s="1053"/>
      <c r="L905" s="1053"/>
      <c r="M905" s="1053"/>
      <c r="N905" s="1053"/>
      <c r="O905" s="1053"/>
      <c r="P905" s="1053"/>
      <c r="Q905" s="1053"/>
      <c r="R905" s="1053"/>
      <c r="S905" s="1053"/>
      <c r="T905" s="1054"/>
      <c r="U905" s="1055" t="s">
        <v>123</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2" customHeight="1">
      <c r="F906" s="1052" t="s">
        <v>2276</v>
      </c>
      <c r="G906" s="1053"/>
      <c r="H906" s="1053"/>
      <c r="I906" s="1053"/>
      <c r="J906" s="1053"/>
      <c r="K906" s="1053"/>
      <c r="L906" s="1053"/>
      <c r="M906" s="1053"/>
      <c r="N906" s="1053"/>
      <c r="O906" s="1053"/>
      <c r="P906" s="1053"/>
      <c r="Q906" s="1053"/>
      <c r="R906" s="1053"/>
      <c r="S906" s="1053"/>
      <c r="T906" s="1054"/>
      <c r="U906" s="1055" t="s">
        <v>123</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2" customHeight="1">
      <c r="F907" s="1052" t="s">
        <v>2273</v>
      </c>
      <c r="G907" s="1053"/>
      <c r="H907" s="1053"/>
      <c r="I907" s="1053"/>
      <c r="J907" s="1053"/>
      <c r="K907" s="1053"/>
      <c r="L907" s="1053"/>
      <c r="M907" s="1053"/>
      <c r="N907" s="1053"/>
      <c r="O907" s="1053"/>
      <c r="P907" s="1053"/>
      <c r="Q907" s="1053"/>
      <c r="R907" s="1053"/>
      <c r="S907" s="1053"/>
      <c r="T907" s="1054"/>
      <c r="U907" s="1055" t="s">
        <v>123</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2" customHeight="1">
      <c r="F908" s="1068" t="s">
        <v>156</v>
      </c>
      <c r="G908" s="1069"/>
      <c r="H908" s="1069"/>
      <c r="I908" s="1069"/>
      <c r="J908" s="1069"/>
      <c r="K908" s="1069"/>
      <c r="L908" s="1069"/>
      <c r="M908" s="1069"/>
      <c r="N908" s="1069"/>
      <c r="O908" s="1069"/>
      <c r="P908" s="1069"/>
      <c r="Q908" s="1069"/>
      <c r="R908" s="1069"/>
      <c r="S908" s="1069"/>
      <c r="T908" s="1070"/>
      <c r="U908" s="1055" t="s">
        <v>123</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2" customHeight="1">
      <c r="F909" s="1052" t="s">
        <v>1902</v>
      </c>
      <c r="G909" s="1053"/>
      <c r="H909" s="1053"/>
      <c r="I909" s="1053"/>
      <c r="J909" s="1053"/>
      <c r="K909" s="1053"/>
      <c r="L909" s="1053"/>
      <c r="M909" s="1053"/>
      <c r="N909" s="1053"/>
      <c r="O909" s="1053"/>
      <c r="P909" s="1053"/>
      <c r="Q909" s="1053"/>
      <c r="R909" s="1053"/>
      <c r="S909" s="1053"/>
      <c r="T909" s="1054"/>
      <c r="U909" s="1055" t="s">
        <v>123</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2" customHeight="1">
      <c r="F910" s="1071" t="s">
        <v>1006</v>
      </c>
      <c r="G910" s="1072"/>
      <c r="H910" s="1072"/>
      <c r="I910" s="1072"/>
      <c r="J910" s="1072"/>
      <c r="K910" s="1072"/>
      <c r="L910" s="1072"/>
      <c r="M910" s="1072"/>
      <c r="N910" s="1072"/>
      <c r="O910" s="1072"/>
      <c r="P910" s="1072"/>
      <c r="Q910" s="1072"/>
      <c r="R910" s="1072"/>
      <c r="S910" s="1072"/>
      <c r="T910" s="1073"/>
      <c r="U910" s="1055" t="s">
        <v>123</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2" customHeight="1">
      <c r="F911" s="1065" t="s">
        <v>2284</v>
      </c>
      <c r="G911" s="1066"/>
      <c r="H911" s="1066"/>
      <c r="I911" s="1066"/>
      <c r="J911" s="1066"/>
      <c r="K911" s="1066"/>
      <c r="L911" s="1066"/>
      <c r="M911" s="1066"/>
      <c r="N911" s="1066"/>
      <c r="O911" s="1066"/>
      <c r="P911" s="1066"/>
      <c r="Q911" s="1066"/>
      <c r="R911" s="1066"/>
      <c r="S911" s="1066"/>
      <c r="T911" s="1067"/>
      <c r="U911" s="1055" t="s">
        <v>123</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2" customHeight="1">
      <c r="F912" s="1065" t="s">
        <v>2286</v>
      </c>
      <c r="G912" s="1066"/>
      <c r="H912" s="1066"/>
      <c r="I912" s="1066"/>
      <c r="J912" s="1066"/>
      <c r="K912" s="1066"/>
      <c r="L912" s="1066"/>
      <c r="M912" s="1066"/>
      <c r="N912" s="1066"/>
      <c r="O912" s="1066"/>
      <c r="P912" s="1066"/>
      <c r="Q912" s="1066"/>
      <c r="R912" s="1066"/>
      <c r="S912" s="1066"/>
      <c r="T912" s="1067"/>
      <c r="U912" s="1055" t="s">
        <v>123</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F913" s="1052" t="s">
        <v>2274</v>
      </c>
      <c r="G913" s="1053"/>
      <c r="H913" s="1053"/>
      <c r="I913" s="1053"/>
      <c r="J913" s="1053"/>
      <c r="K913" s="1053"/>
      <c r="L913" s="1053"/>
      <c r="M913" s="1053"/>
      <c r="N913" s="1053"/>
      <c r="O913" s="1053"/>
      <c r="P913" s="1053"/>
      <c r="Q913" s="1053"/>
      <c r="R913" s="1053"/>
      <c r="S913" s="1053"/>
      <c r="T913" s="1054"/>
      <c r="U913" s="1080" t="s">
        <v>123</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F914" s="1052" t="s">
        <v>2278</v>
      </c>
      <c r="G914" s="1053"/>
      <c r="H914" s="1053"/>
      <c r="I914" s="1053"/>
      <c r="J914" s="1053"/>
      <c r="K914" s="1053"/>
      <c r="L914" s="1053"/>
      <c r="M914" s="1053"/>
      <c r="N914" s="1053"/>
      <c r="O914" s="1053"/>
      <c r="P914" s="1053"/>
      <c r="Q914" s="1053"/>
      <c r="R914" s="1053"/>
      <c r="S914" s="1053"/>
      <c r="T914" s="1054"/>
      <c r="U914" s="1080" t="s">
        <v>123</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1052" t="s">
        <v>2275</v>
      </c>
      <c r="G915" s="1053"/>
      <c r="H915" s="1053"/>
      <c r="I915" s="1053"/>
      <c r="J915" s="1053"/>
      <c r="K915" s="1053"/>
      <c r="L915" s="1053"/>
      <c r="M915" s="1053"/>
      <c r="N915" s="1053"/>
      <c r="O915" s="1053"/>
      <c r="P915" s="1053"/>
      <c r="Q915" s="1053"/>
      <c r="R915" s="1053"/>
      <c r="S915" s="1053"/>
      <c r="T915" s="1054"/>
      <c r="U915" s="1080" t="s">
        <v>123</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1065" t="s">
        <v>1900</v>
      </c>
      <c r="G916" s="1066"/>
      <c r="H916" s="1066"/>
      <c r="I916" s="1066"/>
      <c r="J916" s="1066"/>
      <c r="K916" s="1066"/>
      <c r="L916" s="1066"/>
      <c r="M916" s="1066"/>
      <c r="N916" s="1066"/>
      <c r="O916" s="1066"/>
      <c r="P916" s="1066"/>
      <c r="Q916" s="1066"/>
      <c r="R916" s="1066"/>
      <c r="S916" s="1066"/>
      <c r="T916" s="1067"/>
      <c r="U916" s="1055" t="s">
        <v>123</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1065" t="s">
        <v>2287</v>
      </c>
      <c r="G917" s="1066"/>
      <c r="H917" s="1066"/>
      <c r="I917" s="1066"/>
      <c r="J917" s="1066"/>
      <c r="K917" s="1066"/>
      <c r="L917" s="1066"/>
      <c r="M917" s="1066"/>
      <c r="N917" s="1066"/>
      <c r="O917" s="1066"/>
      <c r="P917" s="1066"/>
      <c r="Q917" s="1066"/>
      <c r="R917" s="1066"/>
      <c r="S917" s="1066"/>
      <c r="T917" s="1067"/>
      <c r="U917" s="1055" t="s">
        <v>107</v>
      </c>
      <c r="V917" s="1056"/>
      <c r="W917" s="1056"/>
      <c r="X917" s="1056"/>
      <c r="Y917" s="1056"/>
      <c r="Z917" s="1057"/>
      <c r="AA917" s="1058">
        <f>+AO626</f>
        <v>1000000</v>
      </c>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1065" t="s">
        <v>1901</v>
      </c>
      <c r="G918" s="1066"/>
      <c r="H918" s="1066"/>
      <c r="I918" s="1066"/>
      <c r="J918" s="1066"/>
      <c r="K918" s="1066"/>
      <c r="L918" s="1066"/>
      <c r="M918" s="1066"/>
      <c r="N918" s="1066"/>
      <c r="O918" s="1066"/>
      <c r="P918" s="1066"/>
      <c r="Q918" s="1066"/>
      <c r="R918" s="1066"/>
      <c r="S918" s="1066"/>
      <c r="T918" s="1067"/>
      <c r="U918" s="1055" t="s">
        <v>123</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1065" t="s">
        <v>155</v>
      </c>
      <c r="G919" s="1066"/>
      <c r="H919" s="1066"/>
      <c r="I919" s="1066"/>
      <c r="J919" s="1066"/>
      <c r="K919" s="1066"/>
      <c r="L919" s="1066"/>
      <c r="M919" s="1066"/>
      <c r="N919" s="1066"/>
      <c r="O919" s="1066"/>
      <c r="P919" s="1066"/>
      <c r="Q919" s="1066"/>
      <c r="R919" s="1066"/>
      <c r="S919" s="1066"/>
      <c r="T919" s="1067"/>
      <c r="U919" s="1055" t="s">
        <v>123</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1065" t="s">
        <v>2285</v>
      </c>
      <c r="G920" s="1066"/>
      <c r="H920" s="1066"/>
      <c r="I920" s="1066"/>
      <c r="J920" s="1066"/>
      <c r="K920" s="1066"/>
      <c r="L920" s="1066"/>
      <c r="M920" s="1066"/>
      <c r="N920" s="1066"/>
      <c r="O920" s="1066"/>
      <c r="P920" s="1066"/>
      <c r="Q920" s="1066"/>
      <c r="R920" s="1066"/>
      <c r="S920" s="1066"/>
      <c r="T920" s="1067"/>
      <c r="U920" s="1055" t="s">
        <v>123</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8" t="s">
        <v>1017</v>
      </c>
      <c r="G921" s="9"/>
      <c r="H921" s="9"/>
      <c r="I921" s="9"/>
      <c r="J921" s="9"/>
      <c r="K921" s="9"/>
      <c r="L921" s="9"/>
      <c r="M921" s="9"/>
      <c r="N921" s="9"/>
      <c r="O921" s="9"/>
      <c r="P921" s="1331" t="s">
        <v>481</v>
      </c>
      <c r="Q921" s="1056"/>
      <c r="R921" s="1056"/>
      <c r="S921" s="1056"/>
      <c r="T921" s="1057"/>
      <c r="U921" s="1055" t="s">
        <v>123</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1052" t="s">
        <v>2277</v>
      </c>
      <c r="G922" s="1053"/>
      <c r="H922" s="1054"/>
      <c r="I922" s="1077" t="s">
        <v>560</v>
      </c>
      <c r="J922" s="1078"/>
      <c r="K922" s="1078"/>
      <c r="L922" s="1078"/>
      <c r="M922" s="1078"/>
      <c r="N922" s="1078"/>
      <c r="O922" s="1078"/>
      <c r="P922" s="1078"/>
      <c r="Q922" s="1078"/>
      <c r="R922" s="1078"/>
      <c r="S922" s="1078"/>
      <c r="T922" s="1079"/>
      <c r="U922" s="1055" t="s">
        <v>123</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052" t="s">
        <v>372</v>
      </c>
      <c r="G923" s="1053"/>
      <c r="H923" s="1054"/>
      <c r="I923" s="1077" t="str">
        <f>+C622</f>
        <v>HCD - Joe Serna</v>
      </c>
      <c r="J923" s="1078"/>
      <c r="K923" s="1078"/>
      <c r="L923" s="1078"/>
      <c r="M923" s="1078"/>
      <c r="N923" s="1078"/>
      <c r="O923" s="1078"/>
      <c r="P923" s="1078"/>
      <c r="Q923" s="1078"/>
      <c r="R923" s="1078"/>
      <c r="S923" s="1078"/>
      <c r="T923" s="1079"/>
      <c r="U923" s="1055" t="s">
        <v>107</v>
      </c>
      <c r="V923" s="1056"/>
      <c r="W923" s="1056"/>
      <c r="X923" s="1056"/>
      <c r="Y923" s="1056"/>
      <c r="Z923" s="1057"/>
      <c r="AA923" s="1058">
        <f>+AO622</f>
        <v>18299382</v>
      </c>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F924" s="1052" t="s">
        <v>824</v>
      </c>
      <c r="G924" s="1053"/>
      <c r="H924" s="1054"/>
      <c r="I924" s="1077" t="s">
        <v>560</v>
      </c>
      <c r="J924" s="1078"/>
      <c r="K924" s="1078"/>
      <c r="L924" s="1078"/>
      <c r="M924" s="1078"/>
      <c r="N924" s="1078"/>
      <c r="O924" s="1078"/>
      <c r="P924" s="1078"/>
      <c r="Q924" s="1078"/>
      <c r="R924" s="1078"/>
      <c r="S924" s="1078"/>
      <c r="T924" s="1079"/>
      <c r="U924" s="1055" t="s">
        <v>123</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F925" s="1052" t="s">
        <v>282</v>
      </c>
      <c r="G925" s="1053"/>
      <c r="H925" s="1054"/>
      <c r="I925" s="1077" t="str">
        <f>+C623</f>
        <v>HCD - IIG</v>
      </c>
      <c r="J925" s="1078"/>
      <c r="K925" s="1078"/>
      <c r="L925" s="1078"/>
      <c r="M925" s="1078"/>
      <c r="N925" s="1078"/>
      <c r="O925" s="1078"/>
      <c r="P925" s="1078"/>
      <c r="Q925" s="1078"/>
      <c r="R925" s="1078"/>
      <c r="S925" s="1078"/>
      <c r="T925" s="1079"/>
      <c r="U925" s="1055" t="s">
        <v>107</v>
      </c>
      <c r="V925" s="1056"/>
      <c r="W925" s="1056"/>
      <c r="X925" s="1056"/>
      <c r="Y925" s="1056"/>
      <c r="Z925" s="1057"/>
      <c r="AA925" s="1058">
        <f>+AO623</f>
        <v>3611400</v>
      </c>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926" s="21"/>
      <c r="F926" s="1052" t="s">
        <v>282</v>
      </c>
      <c r="G926" s="1053"/>
      <c r="H926" s="1054"/>
      <c r="I926" s="1077" t="s">
        <v>560</v>
      </c>
      <c r="J926" s="1078"/>
      <c r="K926" s="1078"/>
      <c r="L926" s="1078"/>
      <c r="M926" s="1078"/>
      <c r="N926" s="1078"/>
      <c r="O926" s="1078"/>
      <c r="P926" s="1078"/>
      <c r="Q926" s="1078"/>
      <c r="R926" s="1078"/>
      <c r="S926" s="1078"/>
      <c r="T926" s="1079"/>
      <c r="U926" s="1055" t="s">
        <v>123</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C931" s="72" t="s">
        <v>825</v>
      </c>
      <c r="D931" s="9"/>
      <c r="E931" s="9"/>
      <c r="F931" s="9"/>
      <c r="G931" s="9"/>
      <c r="H931" s="9"/>
      <c r="I931" s="9"/>
      <c r="J931" s="9"/>
      <c r="K931" s="9"/>
      <c r="L931" s="1185">
        <v>45237</v>
      </c>
      <c r="M931" s="1186"/>
      <c r="N931" s="1186"/>
      <c r="O931" s="1186"/>
      <c r="P931" s="1186"/>
      <c r="Q931" s="1186"/>
      <c r="R931" s="1186"/>
      <c r="S931" s="1187"/>
      <c r="U931" s="72" t="s">
        <v>825</v>
      </c>
      <c r="V931" s="9"/>
      <c r="W931" s="9"/>
      <c r="X931" s="9"/>
      <c r="Y931" s="9"/>
      <c r="Z931" s="9"/>
      <c r="AA931" s="9"/>
      <c r="AB931" s="9"/>
      <c r="AC931" s="9"/>
      <c r="AD931" s="52"/>
      <c r="AE931" s="1185"/>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C932" s="72" t="s">
        <v>826</v>
      </c>
      <c r="D932" s="9"/>
      <c r="E932" s="9"/>
      <c r="F932" s="9"/>
      <c r="G932" s="9"/>
      <c r="H932" s="9"/>
      <c r="I932" s="9"/>
      <c r="J932" s="9"/>
      <c r="K932" s="9"/>
      <c r="L932" s="1392" t="s">
        <v>2410</v>
      </c>
      <c r="M932" s="1186"/>
      <c r="N932" s="1186"/>
      <c r="O932" s="1186"/>
      <c r="P932" s="1186"/>
      <c r="Q932" s="1186"/>
      <c r="R932" s="1186"/>
      <c r="S932" s="1187"/>
      <c r="U932" s="72" t="s">
        <v>826</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C933" s="72" t="s">
        <v>1106</v>
      </c>
      <c r="D933" s="9"/>
      <c r="E933" s="9"/>
      <c r="L933" s="1389" t="s">
        <v>2411</v>
      </c>
      <c r="M933" s="1390"/>
      <c r="N933" s="1390"/>
      <c r="O933" s="1390"/>
      <c r="P933" s="1390"/>
      <c r="Q933" s="1390"/>
      <c r="R933" s="1390"/>
      <c r="S933" s="1391"/>
      <c r="U933" s="72" t="s">
        <v>1106</v>
      </c>
      <c r="V933" s="9"/>
      <c r="W933" s="9"/>
      <c r="AE933" s="1389" t="s">
        <v>78</v>
      </c>
      <c r="AF933" s="1390"/>
      <c r="AG933" s="1390"/>
      <c r="AH933" s="1390"/>
      <c r="AI933" s="1390"/>
      <c r="AJ933" s="1390"/>
      <c r="AK933" s="139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C934" s="72" t="s">
        <v>827</v>
      </c>
      <c r="D934" s="9"/>
      <c r="E934" s="9"/>
      <c r="F934" s="9"/>
      <c r="G934" s="9"/>
      <c r="H934" s="9"/>
      <c r="I934" s="9"/>
      <c r="J934" s="9"/>
      <c r="K934" s="9"/>
      <c r="L934" s="1523">
        <v>0.25</v>
      </c>
      <c r="M934" s="1524"/>
      <c r="N934" s="1524"/>
      <c r="O934" s="1524"/>
      <c r="P934" s="1524"/>
      <c r="Q934" s="1524"/>
      <c r="R934" s="1524"/>
      <c r="S934" s="1525"/>
      <c r="U934" s="72" t="s">
        <v>827</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C935" s="72" t="s">
        <v>828</v>
      </c>
      <c r="D935" s="9"/>
      <c r="E935" s="9"/>
      <c r="F935" s="9"/>
      <c r="G935" s="9"/>
      <c r="H935" s="9"/>
      <c r="I935" s="9"/>
      <c r="J935" s="9"/>
      <c r="K935" s="9"/>
      <c r="L935" s="1531">
        <v>18</v>
      </c>
      <c r="M935" s="1532"/>
      <c r="N935" s="1532"/>
      <c r="O935" s="1532"/>
      <c r="P935" s="1532"/>
      <c r="Q935" s="1532"/>
      <c r="R935" s="1532"/>
      <c r="S935" s="1533"/>
      <c r="U935" s="72" t="s">
        <v>828</v>
      </c>
      <c r="V935" s="9"/>
      <c r="W935" s="9"/>
      <c r="X935" s="9"/>
      <c r="Y935" s="9"/>
      <c r="Z935" s="9"/>
      <c r="AA935" s="9"/>
      <c r="AB935" s="9"/>
      <c r="AC935" s="9"/>
      <c r="AD935" s="52"/>
      <c r="AE935" s="1497"/>
      <c r="AF935" s="1381"/>
      <c r="AG935" s="1381"/>
      <c r="AH935" s="1381"/>
      <c r="AI935" s="1381"/>
      <c r="AJ935" s="1381"/>
      <c r="AK935" s="138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C936" s="72" t="s">
        <v>829</v>
      </c>
      <c r="D936" s="9"/>
      <c r="E936" s="9"/>
      <c r="F936" s="9"/>
      <c r="G936" s="9"/>
      <c r="H936" s="9"/>
      <c r="I936" s="9"/>
      <c r="J936" s="9"/>
      <c r="K936" s="9"/>
      <c r="L936" s="1199">
        <f>+Z788</f>
        <v>152208</v>
      </c>
      <c r="M936" s="1200"/>
      <c r="N936" s="1200"/>
      <c r="O936" s="1200"/>
      <c r="P936" s="1200"/>
      <c r="Q936" s="1200"/>
      <c r="R936" s="1200"/>
      <c r="S936" s="1201"/>
      <c r="U936" s="72" t="s">
        <v>829</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C937" s="72" t="s">
        <v>830</v>
      </c>
      <c r="D937" s="9"/>
      <c r="E937" s="9"/>
      <c r="F937" s="9"/>
      <c r="G937" s="9"/>
      <c r="H937" s="9"/>
      <c r="I937" s="9"/>
      <c r="J937" s="9"/>
      <c r="K937" s="9"/>
      <c r="L937" s="1199">
        <v>3888101</v>
      </c>
      <c r="M937" s="1200"/>
      <c r="N937" s="1200"/>
      <c r="O937" s="1200"/>
      <c r="P937" s="1200"/>
      <c r="Q937" s="1200"/>
      <c r="R937" s="1200"/>
      <c r="S937" s="1201"/>
      <c r="U937" s="72" t="s">
        <v>830</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C938" s="214" t="s">
        <v>1969</v>
      </c>
      <c r="D938" s="9"/>
      <c r="E938" s="9"/>
      <c r="F938" s="9"/>
      <c r="G938" s="9"/>
      <c r="H938" s="9"/>
      <c r="I938" s="9"/>
      <c r="J938" s="9"/>
      <c r="K938" s="9"/>
      <c r="L938" s="1531">
        <v>20</v>
      </c>
      <c r="M938" s="1532"/>
      <c r="N938" s="1532"/>
      <c r="O938" s="1532"/>
      <c r="P938" s="1532"/>
      <c r="Q938" s="1532"/>
      <c r="R938" s="1532"/>
      <c r="S938" s="1533"/>
      <c r="U938" s="214" t="s">
        <v>1969</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F943" s="8" t="s">
        <v>845</v>
      </c>
      <c r="G943" s="9"/>
      <c r="H943" s="9"/>
      <c r="I943" s="9"/>
      <c r="J943" s="9"/>
      <c r="K943" s="9"/>
      <c r="L943" s="52"/>
      <c r="M943" s="1449"/>
      <c r="N943" s="1450"/>
      <c r="O943" s="1450"/>
      <c r="P943" s="1450"/>
      <c r="Q943" s="1450"/>
      <c r="R943" s="1450"/>
      <c r="S943" s="1451"/>
      <c r="T943" s="72" t="s">
        <v>948</v>
      </c>
      <c r="U943" s="9"/>
      <c r="V943" s="9"/>
      <c r="W943" s="9"/>
      <c r="X943" s="9"/>
      <c r="Y943" s="9"/>
      <c r="Z943" s="52"/>
      <c r="AA943" s="1449"/>
      <c r="AB943" s="1450"/>
      <c r="AC943" s="1450"/>
      <c r="AD943" s="1450"/>
      <c r="AE943" s="1450"/>
      <c r="AF943" s="1450"/>
      <c r="AG943" s="145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F944" s="8" t="s">
        <v>846</v>
      </c>
      <c r="G944" s="9"/>
      <c r="H944" s="9"/>
      <c r="I944" s="9"/>
      <c r="J944" s="9"/>
      <c r="K944" s="9"/>
      <c r="L944" s="52"/>
      <c r="M944" s="1449"/>
      <c r="N944" s="1450"/>
      <c r="O944" s="1450"/>
      <c r="P944" s="1450"/>
      <c r="Q944" s="1450"/>
      <c r="R944" s="1450"/>
      <c r="S944" s="1451"/>
      <c r="T944" s="72" t="s">
        <v>947</v>
      </c>
      <c r="U944" s="9"/>
      <c r="V944" s="9"/>
      <c r="W944" s="9"/>
      <c r="X944" s="9"/>
      <c r="Y944" s="9"/>
      <c r="Z944" s="52"/>
      <c r="AA944" s="1449"/>
      <c r="AB944" s="1450"/>
      <c r="AC944" s="1450"/>
      <c r="AD944" s="1450"/>
      <c r="AE944" s="1450"/>
      <c r="AF944" s="1450"/>
      <c r="AG944" s="145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F945" s="72" t="s">
        <v>1138</v>
      </c>
      <c r="G945" s="9"/>
      <c r="H945" s="9"/>
      <c r="I945" s="9"/>
      <c r="J945" s="9"/>
      <c r="K945" s="9"/>
      <c r="L945" s="52"/>
      <c r="M945" s="1324" t="s">
        <v>123</v>
      </c>
      <c r="N945" s="1258"/>
      <c r="O945" s="1258"/>
      <c r="P945" s="1258"/>
      <c r="Q945" s="1258"/>
      <c r="R945" s="1258"/>
      <c r="S945" s="1325"/>
      <c r="T945" s="8" t="s">
        <v>564</v>
      </c>
      <c r="U945" s="9"/>
      <c r="V945" s="9"/>
      <c r="W945" s="9"/>
      <c r="X945" s="9"/>
      <c r="Y945" s="9"/>
      <c r="Z945" s="52"/>
      <c r="AA945" s="1449"/>
      <c r="AB945" s="1450"/>
      <c r="AC945" s="1450"/>
      <c r="AD945" s="1450"/>
      <c r="AE945" s="1450"/>
      <c r="AF945" s="1450"/>
      <c r="AG945" s="145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F946" s="8" t="s">
        <v>847</v>
      </c>
      <c r="G946" s="9"/>
      <c r="H946" s="9"/>
      <c r="I946" s="9"/>
      <c r="J946" s="9"/>
      <c r="K946" s="9"/>
      <c r="L946" s="52"/>
      <c r="M946" s="1449"/>
      <c r="N946" s="1450"/>
      <c r="O946" s="1450"/>
      <c r="P946" s="1450"/>
      <c r="Q946" s="1450"/>
      <c r="R946" s="1450"/>
      <c r="S946" s="1451"/>
      <c r="T946" s="8" t="s">
        <v>565</v>
      </c>
      <c r="U946" s="9"/>
      <c r="V946" s="9"/>
      <c r="W946" s="9"/>
      <c r="X946" s="9"/>
      <c r="Y946" s="9"/>
      <c r="Z946" s="52"/>
      <c r="AA946" s="1449"/>
      <c r="AB946" s="1450"/>
      <c r="AC946" s="1450"/>
      <c r="AD946" s="1450"/>
      <c r="AE946" s="1450"/>
      <c r="AF946" s="1450"/>
      <c r="AG946" s="145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F947" s="8" t="s">
        <v>82</v>
      </c>
      <c r="G947" s="9"/>
      <c r="H947" s="9"/>
      <c r="I947" s="9"/>
      <c r="J947" s="9"/>
      <c r="K947" s="9"/>
      <c r="L947" s="52"/>
      <c r="M947" s="1449"/>
      <c r="N947" s="1450"/>
      <c r="O947" s="1450"/>
      <c r="P947" s="1450"/>
      <c r="Q947" s="1450"/>
      <c r="R947" s="1450"/>
      <c r="S947" s="1451"/>
      <c r="T947" s="8" t="s">
        <v>492</v>
      </c>
      <c r="U947" s="9"/>
      <c r="V947" s="9"/>
      <c r="W947" s="9"/>
      <c r="X947" s="9"/>
      <c r="Y947" s="9"/>
      <c r="Z947" s="52"/>
      <c r="AA947" s="1449"/>
      <c r="AB947" s="1450"/>
      <c r="AC947" s="1450"/>
      <c r="AD947" s="1450"/>
      <c r="AE947" s="1450"/>
      <c r="AF947" s="1450"/>
      <c r="AG947" s="145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F948" s="413" t="s">
        <v>1106</v>
      </c>
      <c r="G948" s="7"/>
      <c r="H948" s="7"/>
      <c r="I948" s="7"/>
      <c r="J948" s="7"/>
      <c r="K948" s="7"/>
      <c r="L948" s="64"/>
      <c r="M948" s="1389" t="s">
        <v>78</v>
      </c>
      <c r="N948" s="1390"/>
      <c r="O948" s="1390"/>
      <c r="P948" s="1390"/>
      <c r="Q948" s="1390"/>
      <c r="R948" s="1390"/>
      <c r="S948" s="1391"/>
      <c r="T948" s="1461"/>
      <c r="U948" s="1462"/>
      <c r="V948" s="1462"/>
      <c r="W948" s="1462"/>
      <c r="X948" s="1462"/>
      <c r="Y948" s="1462"/>
      <c r="Z948" s="1463"/>
      <c r="AA948" s="1449"/>
      <c r="AB948" s="1450"/>
      <c r="AC948" s="1450"/>
      <c r="AD948" s="1450"/>
      <c r="AE948" s="1450"/>
      <c r="AF948" s="1450"/>
      <c r="AG948" s="145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F949" s="6" t="s">
        <v>83</v>
      </c>
      <c r="G949" s="7"/>
      <c r="H949" s="7"/>
      <c r="I949" s="7"/>
      <c r="J949" s="7"/>
      <c r="K949" s="7"/>
      <c r="L949" s="64"/>
      <c r="M949" s="1449"/>
      <c r="N949" s="1450"/>
      <c r="O949" s="1450"/>
      <c r="P949" s="1450"/>
      <c r="Q949" s="1450"/>
      <c r="R949" s="1450"/>
      <c r="S949" s="1451"/>
      <c r="T949" s="1461"/>
      <c r="U949" s="1462"/>
      <c r="V949" s="1462"/>
      <c r="W949" s="1462"/>
      <c r="X949" s="1462"/>
      <c r="Y949" s="1462"/>
      <c r="Z949" s="1463"/>
      <c r="AA949" s="1449"/>
      <c r="AB949" s="1450"/>
      <c r="AC949" s="1450"/>
      <c r="AD949" s="1450"/>
      <c r="AE949" s="1450"/>
      <c r="AF949" s="1450"/>
      <c r="AG949" s="145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F950" s="6" t="s">
        <v>563</v>
      </c>
      <c r="G950" s="7"/>
      <c r="H950" s="7"/>
      <c r="I950" s="7"/>
      <c r="J950" s="7"/>
      <c r="K950" s="7"/>
      <c r="L950" s="7"/>
      <c r="M950" s="7"/>
      <c r="N950" s="7"/>
      <c r="O950" s="1324" t="s">
        <v>481</v>
      </c>
      <c r="P950" s="1325"/>
      <c r="Q950" s="146"/>
      <c r="R950" s="146"/>
      <c r="S950" s="147"/>
      <c r="T950" s="6" t="s">
        <v>282</v>
      </c>
      <c r="U950" s="7"/>
      <c r="V950" s="7"/>
      <c r="W950" s="1455" t="s">
        <v>560</v>
      </c>
      <c r="X950" s="1456"/>
      <c r="Y950" s="1456"/>
      <c r="Z950" s="1456"/>
      <c r="AA950" s="1456"/>
      <c r="AB950" s="1456"/>
      <c r="AC950" s="1456"/>
      <c r="AD950" s="1456"/>
      <c r="AE950" s="1456"/>
      <c r="AF950" s="1456"/>
      <c r="AG950" s="145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F951" s="1534" t="s">
        <v>225</v>
      </c>
      <c r="G951" s="1260"/>
      <c r="H951" s="1260"/>
      <c r="I951" s="1260"/>
      <c r="J951" s="1260"/>
      <c r="K951" s="1260"/>
      <c r="L951" s="1260"/>
      <c r="M951" s="1449"/>
      <c r="N951" s="1450"/>
      <c r="O951" s="1450"/>
      <c r="P951" s="1450"/>
      <c r="Q951" s="1450"/>
      <c r="R951" s="1450"/>
      <c r="S951" s="1451"/>
      <c r="T951" s="53"/>
      <c r="U951" s="54"/>
      <c r="V951" s="54"/>
      <c r="W951" s="54"/>
      <c r="X951" s="54"/>
      <c r="Y951" s="54"/>
      <c r="Z951" s="226" t="s">
        <v>226</v>
      </c>
      <c r="AA951" s="1458"/>
      <c r="AB951" s="1459"/>
      <c r="AC951" s="1459"/>
      <c r="AD951" s="1459"/>
      <c r="AE951" s="1459"/>
      <c r="AF951" s="1459"/>
      <c r="AG951" s="146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3.2" customHeight="1">
      <c r="A955" s="1083" t="s">
        <v>128</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59" customFormat="1" ht="13.2"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3.2"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3" t="s">
        <v>651</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2" t="s">
        <v>423</v>
      </c>
      <c r="E960" s="1453"/>
      <c r="F960" s="1453"/>
      <c r="G960" s="1453"/>
      <c r="H960" s="1453"/>
      <c r="I960" s="1453"/>
      <c r="J960" s="1453"/>
      <c r="K960" s="1453"/>
      <c r="L960" s="1453"/>
      <c r="M960" s="1453"/>
      <c r="N960" s="1453"/>
      <c r="O960" s="1453"/>
      <c r="P960" s="1453"/>
      <c r="Q960" s="1454"/>
      <c r="R960" s="1452" t="s">
        <v>424</v>
      </c>
      <c r="S960" s="1453"/>
      <c r="T960" s="1453"/>
      <c r="U960" s="1453"/>
      <c r="V960" s="1453"/>
      <c r="W960" s="1453"/>
      <c r="X960" s="1453"/>
      <c r="Y960" s="1453"/>
      <c r="Z960" s="1453"/>
      <c r="AA960" s="1454"/>
      <c r="AB960" s="1452" t="s">
        <v>425</v>
      </c>
      <c r="AC960" s="1453"/>
      <c r="AD960" s="1453"/>
      <c r="AE960" s="1453"/>
      <c r="AF960" s="1453"/>
      <c r="AG960" s="1453"/>
      <c r="AH960" s="1453"/>
      <c r="AI960" s="1454"/>
      <c r="AJ960" s="1452" t="s">
        <v>426</v>
      </c>
      <c r="AK960" s="1453"/>
      <c r="AL960" s="1453"/>
      <c r="AM960" s="1453"/>
      <c r="AN960" s="1453"/>
      <c r="AO960" s="1453"/>
      <c r="AP960" s="1453"/>
      <c r="AQ960" s="145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857"/>
      <c r="D961" s="1136" t="s">
        <v>418</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384234</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79"/>
      <c r="C962" s="83"/>
      <c r="D962" s="1136" t="s">
        <v>441</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443018</v>
      </c>
      <c r="S962" s="1139"/>
      <c r="T962" s="1139"/>
      <c r="U962" s="1139"/>
      <c r="V962" s="1139"/>
      <c r="W962" s="1139"/>
      <c r="X962" s="1139"/>
      <c r="Y962" s="1139"/>
      <c r="Z962" s="1139"/>
      <c r="AA962" s="1139"/>
      <c r="AB962" s="1140">
        <f>BS651</f>
        <v>32</v>
      </c>
      <c r="AC962" s="1141"/>
      <c r="AD962" s="1141"/>
      <c r="AE962" s="1141"/>
      <c r="AF962" s="1141"/>
      <c r="AG962" s="1141"/>
      <c r="AH962" s="1141"/>
      <c r="AI962" s="1142"/>
      <c r="AJ962" s="1143">
        <f>IF(ISERROR((R962*AB962)),0,(R962*AB962))</f>
        <v>14176576</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79"/>
      <c r="C963" s="83"/>
      <c r="D963" s="1136" t="s">
        <v>778</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534400</v>
      </c>
      <c r="S963" s="1139"/>
      <c r="T963" s="1139"/>
      <c r="U963" s="1139"/>
      <c r="V963" s="1139"/>
      <c r="W963" s="1139"/>
      <c r="X963" s="1139"/>
      <c r="Y963" s="1139"/>
      <c r="Z963" s="1139"/>
      <c r="AA963" s="1139"/>
      <c r="AB963" s="1140">
        <f>BX651</f>
        <v>22</v>
      </c>
      <c r="AC963" s="1141"/>
      <c r="AD963" s="1141"/>
      <c r="AE963" s="1141"/>
      <c r="AF963" s="1141"/>
      <c r="AG963" s="1141"/>
      <c r="AH963" s="1141"/>
      <c r="AI963" s="1142"/>
      <c r="AJ963" s="1143">
        <f>IF(ISERROR((R963*AB963)),0,(R963*AB963))</f>
        <v>11756800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79"/>
      <c r="C964" s="83"/>
      <c r="D964" s="1136" t="s">
        <v>779</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684032</v>
      </c>
      <c r="S964" s="1139"/>
      <c r="T964" s="1139"/>
      <c r="U964" s="1139"/>
      <c r="V964" s="1139"/>
      <c r="W964" s="1139"/>
      <c r="X964" s="1139"/>
      <c r="Y964" s="1139"/>
      <c r="Z964" s="1139"/>
      <c r="AA964" s="1139"/>
      <c r="AB964" s="1140">
        <f>CC651</f>
        <v>18</v>
      </c>
      <c r="AC964" s="1141"/>
      <c r="AD964" s="1141"/>
      <c r="AE964" s="1141"/>
      <c r="AF964" s="1141"/>
      <c r="AG964" s="1141"/>
      <c r="AH964" s="1141"/>
      <c r="AI964" s="1142"/>
      <c r="AJ964" s="1143">
        <f>IF(ISERROR((R964*AB964)),0,(R964*AB964))</f>
        <v>12312576</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53"/>
      <c r="C965" s="81"/>
      <c r="D965" s="1136" t="s">
        <v>789</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762054</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1153" t="s">
        <v>958</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72</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1464" t="s">
        <v>745</v>
      </c>
      <c r="C967" s="1465"/>
      <c r="D967" s="1465"/>
      <c r="E967" s="1465"/>
      <c r="F967" s="1465"/>
      <c r="G967" s="1465"/>
      <c r="H967" s="1465"/>
      <c r="I967" s="1465"/>
      <c r="J967" s="1465"/>
      <c r="K967" s="1465"/>
      <c r="L967" s="1465"/>
      <c r="M967" s="1465"/>
      <c r="N967" s="1465"/>
      <c r="O967" s="1465"/>
      <c r="P967" s="1465"/>
      <c r="Q967" s="1465"/>
      <c r="R967" s="1465"/>
      <c r="S967" s="1465"/>
      <c r="T967" s="1465"/>
      <c r="U967" s="1465"/>
      <c r="V967" s="1465"/>
      <c r="W967" s="1465"/>
      <c r="X967" s="1465"/>
      <c r="Y967" s="1465"/>
      <c r="Z967" s="1465"/>
      <c r="AA967" s="1465"/>
      <c r="AB967" s="1465"/>
      <c r="AC967" s="1465"/>
      <c r="AD967" s="1465"/>
      <c r="AE967" s="1465"/>
      <c r="AF967" s="1465"/>
      <c r="AG967" s="1465"/>
      <c r="AH967" s="1465"/>
      <c r="AI967" s="1466"/>
      <c r="AJ967" s="1143">
        <f>SUM(AJ961:AQ965)</f>
        <v>38245952</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1440"/>
      <c r="C968" s="1441"/>
      <c r="D968" s="1441"/>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1437" t="s">
        <v>478</v>
      </c>
      <c r="AG968" s="1438"/>
      <c r="AH968" s="1438"/>
      <c r="AI968" s="1439"/>
      <c r="AJ968" s="1440"/>
      <c r="AK968" s="1441"/>
      <c r="AL968" s="1441"/>
      <c r="AM968" s="1441"/>
      <c r="AN968" s="1441"/>
      <c r="AO968" s="1441"/>
      <c r="AP968" s="1441"/>
      <c r="AQ968" s="14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858" t="s">
        <v>480</v>
      </c>
      <c r="D969" s="1146" t="s">
        <v>1887</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107</v>
      </c>
      <c r="AH969" s="1152"/>
      <c r="AI969" s="85"/>
      <c r="AJ969" s="1127">
        <f>ROUND(IF(AND(AG969="yes",D975&lt;&gt;""),AJ967*0.2,0),0)</f>
        <v>7649190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859"/>
      <c r="C970" s="860"/>
      <c r="D970" s="1108" t="s">
        <v>2271</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59"/>
      <c r="C971" s="860"/>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 customHeight="1">
      <c r="A972" s="21"/>
      <c r="B972" s="859"/>
      <c r="C972" s="860"/>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 customHeight="1">
      <c r="A973" s="21"/>
      <c r="B973" s="859"/>
      <c r="C973" s="860"/>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 customHeight="1">
      <c r="A974" s="21"/>
      <c r="B974" s="859"/>
      <c r="C974" s="860"/>
      <c r="D974" s="1111" t="s">
        <v>2272</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 customHeight="1">
      <c r="A975" s="21"/>
      <c r="B975" s="859"/>
      <c r="C975" s="860"/>
      <c r="D975" s="1446" t="s">
        <v>2412</v>
      </c>
      <c r="E975" s="1447"/>
      <c r="F975" s="1447"/>
      <c r="G975" s="1447"/>
      <c r="H975" s="1447"/>
      <c r="I975" s="1447"/>
      <c r="J975" s="1447"/>
      <c r="K975" s="1447"/>
      <c r="L975" s="1447"/>
      <c r="M975" s="1447"/>
      <c r="N975" s="1447"/>
      <c r="O975" s="1447"/>
      <c r="P975" s="1447"/>
      <c r="Q975" s="1447"/>
      <c r="R975" s="1447"/>
      <c r="S975" s="1447"/>
      <c r="T975" s="1447"/>
      <c r="U975" s="1447"/>
      <c r="V975" s="1447"/>
      <c r="W975" s="1447"/>
      <c r="X975" s="1447"/>
      <c r="Y975" s="1447"/>
      <c r="Z975" s="1447"/>
      <c r="AA975" s="1447"/>
      <c r="AB975" s="1447"/>
      <c r="AC975" s="1447"/>
      <c r="AD975" s="1447"/>
      <c r="AE975" s="1448"/>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 customHeight="1">
      <c r="A976" s="21"/>
      <c r="B976" s="861"/>
      <c r="C976" s="862"/>
      <c r="D976" s="1170" t="s">
        <v>1995</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481</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21"/>
      <c r="B977" s="859"/>
      <c r="C977" s="863"/>
      <c r="D977" s="1108" t="s">
        <v>1888</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21"/>
      <c r="B978" s="859"/>
      <c r="C978" s="8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21"/>
      <c r="B979" s="859"/>
      <c r="C979" s="863"/>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21"/>
      <c r="B980" s="859"/>
      <c r="C980" s="863"/>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21"/>
      <c r="B981" s="864"/>
      <c r="C981" s="865"/>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21"/>
      <c r="B982" s="861"/>
      <c r="C982" s="554" t="s">
        <v>484</v>
      </c>
      <c r="D982" s="1170" t="s">
        <v>1996</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481</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21"/>
      <c r="B983" s="79"/>
      <c r="C983" s="555"/>
      <c r="D983" s="1163" t="s">
        <v>1997</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21"/>
      <c r="B984" s="79"/>
      <c r="C984" s="555"/>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21"/>
      <c r="B985" s="866"/>
      <c r="C985" s="865"/>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21"/>
      <c r="B986" s="82"/>
      <c r="C986" s="554" t="s">
        <v>488</v>
      </c>
      <c r="D986" s="1170" t="s">
        <v>1889</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481</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21"/>
      <c r="B987" s="79"/>
      <c r="C987" s="555"/>
      <c r="D987" s="1166" t="s">
        <v>1890</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21"/>
      <c r="B988" s="82"/>
      <c r="C988" s="554" t="s">
        <v>491</v>
      </c>
      <c r="D988" s="1170" t="s">
        <v>1891</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481</v>
      </c>
      <c r="AH988" s="1150"/>
      <c r="AI988" s="82"/>
      <c r="AJ988" s="1127">
        <f>ROUND(IF(AG988="yes",AJ967*0.02,0),0)</f>
        <v>0</v>
      </c>
      <c r="AK988" s="1128"/>
      <c r="AL988" s="1128"/>
      <c r="AM988" s="1128"/>
      <c r="AN988" s="1128"/>
      <c r="AO988" s="1128"/>
      <c r="AP988" s="1128"/>
      <c r="AQ988" s="1129"/>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21"/>
      <c r="B989" s="79"/>
      <c r="C989" s="555"/>
      <c r="D989" s="1163" t="s">
        <v>1892</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21"/>
      <c r="B990" s="864"/>
      <c r="C990" s="865"/>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thickBot="1">
      <c r="A991" s="21"/>
      <c r="B991" s="82"/>
      <c r="C991" s="554" t="s">
        <v>594</v>
      </c>
      <c r="D991" s="1146" t="s">
        <v>1893</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481</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thickBot="1">
      <c r="A992" s="21"/>
      <c r="B992" s="79"/>
      <c r="C992" s="555"/>
      <c r="D992" s="1163" t="s">
        <v>1998</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0">
        <f>IF(SUM(BA983:BA991)&lt;=0.1,SUM(BA983:BA991),0.1)</f>
        <v>0</v>
      </c>
      <c r="BB992" s="41" t="s">
        <v>2009</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21"/>
      <c r="B993" s="79"/>
      <c r="C993" s="555"/>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21"/>
      <c r="B994" s="867"/>
      <c r="C994" s="863"/>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21"/>
      <c r="B995" s="82"/>
      <c r="C995" s="554" t="s">
        <v>599</v>
      </c>
      <c r="D995" s="1173" t="s">
        <v>1894</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481</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21"/>
      <c r="B996" s="867"/>
      <c r="C996" s="868"/>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customHeight="1">
      <c r="A997" s="21"/>
      <c r="B997" s="867"/>
      <c r="C997" s="868"/>
      <c r="D997" s="1163" t="s">
        <v>1895</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customHeight="1">
      <c r="A998" s="21"/>
      <c r="B998" s="867"/>
      <c r="C998" s="868"/>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5"/>
      <c r="AG998" s="1535"/>
      <c r="AH998" s="1535"/>
      <c r="AI998" s="1535"/>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A999" s="21"/>
      <c r="B999" s="867"/>
      <c r="C999" s="868"/>
      <c r="D999" s="869" t="s">
        <v>881</v>
      </c>
      <c r="E999" s="88"/>
      <c r="F999" s="88"/>
      <c r="G999" s="409"/>
      <c r="H999" s="409"/>
      <c r="I999" s="55"/>
      <c r="J999" s="1179" t="s">
        <v>123</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5"/>
      <c r="AG999" s="1535"/>
      <c r="AH999" s="1535"/>
      <c r="AI999" s="1535"/>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c r="A1000" s="21"/>
      <c r="B1000" s="82"/>
      <c r="C1000" s="554" t="s">
        <v>571</v>
      </c>
      <c r="D1000" s="1170" t="s">
        <v>1896</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107</v>
      </c>
      <c r="AH1000" s="1150"/>
      <c r="AI1000" s="85"/>
      <c r="AJ1000" s="1127">
        <f>ROUND(IF(AG1000="Yes",AF1002,0),0)</f>
        <v>2606174</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c r="A1001" s="21"/>
      <c r="B1001" s="79"/>
      <c r="C1001" s="555"/>
      <c r="D1001" s="1163" t="s">
        <v>1999</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6" t="str">
        <f>IF(AG1000="yes","Please Enter Amount:","")</f>
        <v>Please Enter Amount:</v>
      </c>
      <c r="AG1001" s="1537"/>
      <c r="AH1001" s="1537"/>
      <c r="AI1001" s="1538"/>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21"/>
      <c r="B1002" s="79"/>
      <c r="C1002" s="555"/>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5">
        <f>+'Sources and Uses Budget'!B84</f>
        <v>2606174</v>
      </c>
      <c r="AG1002" s="1535"/>
      <c r="AH1002" s="1535"/>
      <c r="AI1002" s="1535"/>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1"/>
      <c r="B1003" s="866"/>
      <c r="C1003" s="868"/>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5"/>
      <c r="AG1003" s="1535"/>
      <c r="AH1003" s="1535"/>
      <c r="AI1003" s="1535"/>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3.2" customHeight="1">
      <c r="A1004" s="21"/>
      <c r="B1004" s="82"/>
      <c r="C1004" s="554" t="s">
        <v>576</v>
      </c>
      <c r="D1004" s="1146" t="s">
        <v>1897</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481</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3.2" customHeight="1">
      <c r="A1005" s="21"/>
      <c r="B1005" s="79"/>
      <c r="C1005" s="555"/>
      <c r="D1005" s="1163" t="s">
        <v>1898</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3.2" customHeight="1">
      <c r="A1006" s="553"/>
      <c r="B1006" s="80"/>
      <c r="C1006" s="555"/>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3.2" customHeight="1">
      <c r="A1007" s="553"/>
      <c r="B1007" s="79"/>
      <c r="C1007" s="554" t="s">
        <v>579</v>
      </c>
      <c r="D1007" s="1170" t="s">
        <v>2000</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481</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3.2" customHeight="1">
      <c r="A1008" s="553"/>
      <c r="B1008" s="79"/>
      <c r="C1008" s="555"/>
      <c r="D1008" s="1158" t="s">
        <v>2001</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0"/>
      <c r="AG1008" s="871"/>
      <c r="AH1008" s="871"/>
      <c r="AI1008" s="872"/>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 customHeight="1">
      <c r="A1009" s="553"/>
      <c r="B1009" s="79"/>
      <c r="C1009" s="555"/>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0"/>
      <c r="AG1009" s="871"/>
      <c r="AH1009" s="871"/>
      <c r="AI1009" s="872"/>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 customHeight="1">
      <c r="A1010" s="553"/>
      <c r="B1010" s="79"/>
      <c r="C1010" s="555"/>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3"/>
      <c r="AG1010" s="874"/>
      <c r="AH1010" s="874"/>
      <c r="AI1010" s="875"/>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 customHeight="1">
      <c r="A1011" s="86"/>
      <c r="B1011" s="79"/>
      <c r="C1011" s="554" t="s">
        <v>579</v>
      </c>
      <c r="D1011" s="1146" t="s">
        <v>2002</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481</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2" customHeight="1">
      <c r="A1012" s="86"/>
      <c r="B1012" s="79"/>
      <c r="C1012" s="555"/>
      <c r="D1012" s="1158" t="s">
        <v>2003</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2" customHeight="1">
      <c r="A1013" s="86"/>
      <c r="B1013" s="79"/>
      <c r="C1013" s="555"/>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2" customHeight="1">
      <c r="A1014" s="86"/>
      <c r="B1014" s="79"/>
      <c r="C1014" s="555"/>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2" customHeight="1">
      <c r="A1015" s="86"/>
      <c r="B1015" s="79"/>
      <c r="C1015" s="555"/>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86"/>
      <c r="B1016" s="82"/>
      <c r="C1016" s="876" t="s">
        <v>2004</v>
      </c>
      <c r="D1016" s="1170" t="s">
        <v>1899</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481</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86"/>
      <c r="B1017" s="79"/>
      <c r="C1017" s="555"/>
      <c r="D1017" s="1163" t="s">
        <v>2212</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86"/>
      <c r="B1018" s="79"/>
      <c r="C1018" s="555"/>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86"/>
      <c r="B1019" s="79"/>
      <c r="C1019" s="555"/>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86"/>
      <c r="B1020" s="177"/>
      <c r="C1020" s="877"/>
      <c r="D1020" s="1555" t="s">
        <v>746</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48501316</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86"/>
      <c r="B1023" s="21"/>
      <c r="C1023" s="363"/>
      <c r="D1023" s="366" t="s">
        <v>1043</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86"/>
      <c r="B1024" s="21"/>
      <c r="C1024" s="363"/>
      <c r="D1024" s="368" t="s">
        <v>1038</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8">
        <f>'Sources and Uses Budget'!S106+'Sources and Uses Budget'!T106</f>
        <v>50271829</v>
      </c>
      <c r="Y1024" s="1388"/>
      <c r="Z1024" s="1388"/>
      <c r="AA1024" s="1388"/>
      <c r="AB1024" s="1388"/>
      <c r="AC1024" s="138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 customHeight="1">
      <c r="A1025" s="86"/>
      <c r="B1025" s="21"/>
      <c r="C1025" s="363"/>
      <c r="D1025" s="368"/>
      <c r="E1025" s="368" t="s">
        <v>1041</v>
      </c>
      <c r="F1025" s="369"/>
      <c r="G1025" s="369"/>
      <c r="H1025" s="369"/>
      <c r="I1025" s="369"/>
      <c r="J1025" s="369"/>
      <c r="K1025" s="369"/>
      <c r="L1025" s="369"/>
      <c r="M1025" s="369"/>
      <c r="N1025" s="369"/>
      <c r="O1025" s="369"/>
      <c r="P1025" s="369"/>
      <c r="Q1025" s="369"/>
      <c r="R1025" s="369"/>
      <c r="S1025" s="369"/>
      <c r="T1025" s="369"/>
      <c r="U1025" s="369"/>
      <c r="V1025" s="369"/>
      <c r="W1025" s="369"/>
      <c r="X1025" s="1384">
        <f>IFERROR(X1024/AJ1020,"")</f>
        <v>1.0365044321683972</v>
      </c>
      <c r="Y1025" s="1385"/>
      <c r="Z1025" s="1385"/>
      <c r="AA1025" s="1385"/>
      <c r="AB1025" s="1385"/>
      <c r="AC1025" s="138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2"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 customHeight="1">
      <c r="A1031"/>
      <c r="B1031" s="1387"/>
      <c r="C1031" s="1387"/>
      <c r="D1031" s="1387"/>
      <c r="E1031" s="1387"/>
      <c r="F1031" s="1387"/>
      <c r="G1031" s="1387"/>
      <c r="H1031" s="1387"/>
      <c r="I1031" s="1387"/>
      <c r="J1031" s="1387"/>
      <c r="K1031" s="1387"/>
      <c r="L1031" s="1387"/>
      <c r="M1031" s="1387"/>
      <c r="N1031" s="1387"/>
      <c r="O1031" s="1387"/>
      <c r="P1031" s="1387"/>
      <c r="Q1031" s="1387"/>
      <c r="R1031" s="1387"/>
      <c r="S1031" s="1387"/>
      <c r="T1031" s="1387"/>
      <c r="U1031" s="1387"/>
      <c r="V1031" s="1387"/>
      <c r="W1031" s="1387"/>
      <c r="X1031" s="1387"/>
      <c r="Y1031" s="1387"/>
      <c r="Z1031" s="1387"/>
      <c r="AA1031" s="1387"/>
      <c r="AB1031" s="1387"/>
      <c r="AC1031" s="1387"/>
      <c r="AD1031" s="1387"/>
      <c r="AE1031" s="1387"/>
      <c r="AF1031" s="1387"/>
      <c r="AG1031" s="1387"/>
      <c r="AH1031" s="1387"/>
      <c r="AI1031" s="1387"/>
      <c r="AJ1031" s="1387"/>
      <c r="AK1031" s="138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 customHeight="1">
      <c r="A1032" s="1169" t="s">
        <v>987</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 customHeight="1">
      <c r="A1034" s="63" t="s">
        <v>988</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266" t="s">
        <v>989</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1098" t="s">
        <v>123</v>
      </c>
      <c r="B1036" s="1098"/>
      <c r="C1036" s="12">
        <v>1</v>
      </c>
      <c r="D1036" s="975" t="s">
        <v>1517</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2"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 customHeight="1">
      <c r="A1042" s="1098" t="s">
        <v>123</v>
      </c>
      <c r="B1042" s="1098"/>
      <c r="C1042" s="12">
        <v>2</v>
      </c>
      <c r="D1042" s="968" t="s">
        <v>1518</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2" customHeight="1">
      <c r="A1048" s="1098" t="s">
        <v>123</v>
      </c>
      <c r="B1048" s="1098"/>
      <c r="C1048" s="12">
        <v>3</v>
      </c>
      <c r="D1048" s="968" t="s">
        <v>2211</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2"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2"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2"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2"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2"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2"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2" customHeight="1">
      <c r="A1055" s="1098" t="s">
        <v>123</v>
      </c>
      <c r="B1055" s="1098"/>
      <c r="C1055" s="12">
        <v>4</v>
      </c>
      <c r="D1055" s="968" t="s">
        <v>2043</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2"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2"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2"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2" customHeight="1">
      <c r="A1059" s="1098" t="s">
        <v>123</v>
      </c>
      <c r="B1059" s="1098"/>
      <c r="C1059" s="12">
        <v>5</v>
      </c>
      <c r="D1059" s="968" t="s">
        <v>1719</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2"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2"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2"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2" customHeight="1">
      <c r="A1063" s="1098" t="s">
        <v>123</v>
      </c>
      <c r="B1063" s="1098"/>
      <c r="C1063" s="12">
        <v>6</v>
      </c>
      <c r="D1063" s="975" t="s">
        <v>1519</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2"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2"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2" customHeight="1">
      <c r="A1066" s="1098" t="s">
        <v>123</v>
      </c>
      <c r="B1066" s="1098"/>
      <c r="C1066" s="350">
        <v>7</v>
      </c>
      <c r="D1066" s="975" t="s">
        <v>1521</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2"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2"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2"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2"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2" customHeight="1">
      <c r="A1071" s="1098" t="s">
        <v>123</v>
      </c>
      <c r="B1071" s="1098"/>
      <c r="C1071" s="350">
        <v>8</v>
      </c>
      <c r="D1071" s="968" t="s">
        <v>2015</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3.2"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3.2"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3.2"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3.2" customHeight="1">
      <c r="A1075" s="1529" t="s">
        <v>123</v>
      </c>
      <c r="B1075" s="1529"/>
      <c r="C1075" s="350">
        <v>9</v>
      </c>
      <c r="D1075" s="968" t="s">
        <v>1520</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3.2"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3.2"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3.2"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zoomScale="130" zoomScaleNormal="130" workbookViewId="0">
      <selection activeCell="E22" sqref="E22"/>
    </sheetView>
  </sheetViews>
  <sheetFormatPr defaultColWidth="8.6640625" defaultRowHeight="12" zeroHeight="1"/>
  <cols>
    <col min="1" max="1" width="32.44140625" style="482" customWidth="1"/>
    <col min="2" max="12" width="12.21875" style="480" customWidth="1"/>
    <col min="13" max="17" width="11.44140625" style="480" customWidth="1"/>
    <col min="18" max="18" width="12.44140625" style="480" customWidth="1"/>
    <col min="19" max="20" width="12.21875" style="480" customWidth="1"/>
    <col min="21" max="21" width="0.44140625" style="481" customWidth="1"/>
    <col min="22" max="16384" width="8.6640625" style="480"/>
  </cols>
  <sheetData>
    <row r="1" spans="1:21" s="200" customFormat="1" ht="13.8">
      <c r="A1" s="264" t="s">
        <v>130</v>
      </c>
      <c r="B1" s="227"/>
      <c r="C1" s="227"/>
      <c r="D1" s="227"/>
      <c r="E1" s="228"/>
      <c r="F1" s="1586" t="s">
        <v>183</v>
      </c>
      <c r="G1" s="1587"/>
      <c r="H1" s="1587"/>
      <c r="I1" s="1587"/>
      <c r="J1" s="1587"/>
      <c r="K1" s="1587"/>
      <c r="L1" s="1587"/>
      <c r="M1" s="1587"/>
      <c r="N1" s="1587"/>
      <c r="O1" s="1587"/>
      <c r="P1" s="1587"/>
      <c r="Q1" s="1587"/>
      <c r="R1" s="1588"/>
      <c r="S1" s="202"/>
      <c r="T1" s="201"/>
      <c r="U1" s="203"/>
    </row>
    <row r="2" spans="1:21" s="232" customFormat="1" ht="60" customHeight="1">
      <c r="A2" s="231"/>
      <c r="B2" s="232" t="s">
        <v>795</v>
      </c>
      <c r="C2" s="232" t="s">
        <v>506</v>
      </c>
      <c r="D2" s="232" t="s">
        <v>505</v>
      </c>
      <c r="E2" s="232" t="s">
        <v>796</v>
      </c>
      <c r="F2" s="233" t="str">
        <f>Application!B621&amp;Application!C621</f>
        <v>1)Chase Perm Loan</v>
      </c>
      <c r="G2" s="233" t="str">
        <f>Application!B622&amp;Application!C622</f>
        <v>2)HCD - Joe Serna</v>
      </c>
      <c r="H2" s="233" t="str">
        <f>Application!B623&amp;Application!C623</f>
        <v>3)HCD - IIG</v>
      </c>
      <c r="I2" s="233" t="str">
        <f>Application!B624&amp;Application!C624</f>
        <v>4)Sonoma County - HOME</v>
      </c>
      <c r="J2" s="233" t="str">
        <f>Application!B625&amp;Application!C625</f>
        <v>5)Sonoma County - CDBG</v>
      </c>
      <c r="K2" s="233" t="str">
        <f>Application!B626&amp;Application!C626</f>
        <v>6)FHLB - AHP</v>
      </c>
      <c r="L2" s="233" t="str">
        <f>Application!B627&amp;Application!C627</f>
        <v>7)Deferred Developer Fee</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797</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4250000</v>
      </c>
      <c r="C4" s="241">
        <v>4250000</v>
      </c>
      <c r="D4" s="241"/>
      <c r="E4" s="241">
        <f>+B4-SUM(F4:Q4)</f>
        <v>4250000</v>
      </c>
      <c r="F4" s="241"/>
      <c r="G4" s="241"/>
      <c r="H4" s="241"/>
      <c r="I4" s="241"/>
      <c r="J4" s="241"/>
      <c r="K4" s="241"/>
      <c r="L4" s="241"/>
      <c r="M4" s="241"/>
      <c r="N4" s="241"/>
      <c r="O4" s="241"/>
      <c r="P4" s="241"/>
      <c r="Q4" s="241"/>
      <c r="R4" s="241">
        <f>C4</f>
        <v>4250000</v>
      </c>
      <c r="S4" s="242"/>
      <c r="T4" s="242"/>
      <c r="U4" s="237"/>
    </row>
    <row r="5" spans="1:21" s="238" customFormat="1" ht="13.2">
      <c r="A5" s="300" t="s">
        <v>67</v>
      </c>
      <c r="B5" s="240">
        <f>SUM(C5+D5)</f>
        <v>0</v>
      </c>
      <c r="C5" s="241"/>
      <c r="D5" s="241"/>
      <c r="E5" s="241">
        <f t="shared" ref="E5:E7" si="0">+B5-SUM(F5:Q5)</f>
        <v>0</v>
      </c>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40732</v>
      </c>
      <c r="C6" s="241">
        <v>40732</v>
      </c>
      <c r="D6" s="241"/>
      <c r="E6" s="241">
        <f t="shared" si="0"/>
        <v>40732</v>
      </c>
      <c r="F6" s="241"/>
      <c r="G6" s="241"/>
      <c r="H6" s="241"/>
      <c r="I6" s="241"/>
      <c r="J6" s="241"/>
      <c r="K6" s="241"/>
      <c r="L6" s="241"/>
      <c r="M6" s="241"/>
      <c r="N6" s="241"/>
      <c r="O6" s="241"/>
      <c r="P6" s="241"/>
      <c r="Q6" s="241"/>
      <c r="R6" s="241">
        <f>SUM(E6:Q6)</f>
        <v>40732</v>
      </c>
      <c r="S6" s="242"/>
      <c r="T6" s="242"/>
      <c r="U6" s="237"/>
    </row>
    <row r="7" spans="1:21" s="238" customFormat="1" ht="11.4">
      <c r="A7" s="239" t="s">
        <v>281</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702</v>
      </c>
      <c r="B8" s="240">
        <f>SUM(C8:D8)</f>
        <v>4290732</v>
      </c>
      <c r="C8" s="240">
        <f t="shared" ref="C8:R8" si="1">SUM(C4:C7)</f>
        <v>4290732</v>
      </c>
      <c r="D8" s="240">
        <f t="shared" si="1"/>
        <v>0</v>
      </c>
      <c r="E8" s="240">
        <f t="shared" si="1"/>
        <v>4290732</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4290732</v>
      </c>
      <c r="S8" s="242"/>
      <c r="T8" s="242"/>
      <c r="U8" s="237"/>
    </row>
    <row r="9" spans="1:21" s="238" customFormat="1" ht="11.4">
      <c r="A9" s="239" t="s">
        <v>1718</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1067083</v>
      </c>
      <c r="C10" s="241">
        <v>1067083</v>
      </c>
      <c r="D10" s="241"/>
      <c r="E10" s="241">
        <f t="shared" si="2"/>
        <v>1067083</v>
      </c>
      <c r="F10" s="241"/>
      <c r="G10" s="241"/>
      <c r="H10" s="241"/>
      <c r="I10" s="241"/>
      <c r="J10" s="241"/>
      <c r="K10" s="241"/>
      <c r="L10" s="241"/>
      <c r="M10" s="241"/>
      <c r="N10" s="241"/>
      <c r="O10" s="241"/>
      <c r="P10" s="241"/>
      <c r="Q10" s="241"/>
      <c r="R10" s="241">
        <f>SUM(E10:Q10)</f>
        <v>1067083</v>
      </c>
      <c r="S10" s="241">
        <f>C10</f>
        <v>1067083</v>
      </c>
      <c r="T10" s="241"/>
      <c r="U10" s="237"/>
    </row>
    <row r="11" spans="1:21" s="238" customFormat="1">
      <c r="A11" s="243" t="s">
        <v>584</v>
      </c>
      <c r="B11" s="240">
        <f>SUM(C11:D11)</f>
        <v>1067083</v>
      </c>
      <c r="C11" s="240">
        <f t="shared" ref="C11:T11" si="3">SUM(C9:C10)</f>
        <v>1067083</v>
      </c>
      <c r="D11" s="240">
        <f t="shared" si="3"/>
        <v>0</v>
      </c>
      <c r="E11" s="240">
        <f t="shared" si="3"/>
        <v>1067083</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1067083</v>
      </c>
      <c r="S11" s="242"/>
      <c r="T11" s="240">
        <f t="shared" si="3"/>
        <v>0</v>
      </c>
      <c r="U11" s="237"/>
    </row>
    <row r="12" spans="1:21" s="238" customFormat="1">
      <c r="A12" s="243" t="s">
        <v>709</v>
      </c>
      <c r="B12" s="240">
        <f t="shared" ref="B12:R12" si="4">SUM(B8+B11)</f>
        <v>5357815</v>
      </c>
      <c r="C12" s="240">
        <f t="shared" si="4"/>
        <v>5357815</v>
      </c>
      <c r="D12" s="240">
        <f t="shared" si="4"/>
        <v>0</v>
      </c>
      <c r="E12" s="240">
        <f t="shared" si="4"/>
        <v>5357815</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5357815</v>
      </c>
      <c r="S12" s="242"/>
      <c r="T12" s="242"/>
      <c r="U12" s="237"/>
    </row>
    <row r="13" spans="1:21" s="238" customFormat="1" ht="11.4">
      <c r="A13" s="455" t="s">
        <v>1108</v>
      </c>
      <c r="B13" s="240">
        <f>SUM(C13+D13)</f>
        <v>260311</v>
      </c>
      <c r="C13" s="241">
        <v>260311</v>
      </c>
      <c r="D13" s="241"/>
      <c r="E13" s="241">
        <f t="shared" ref="E13:E15" si="5">+B13-SUM(F13:Q13)</f>
        <v>260311</v>
      </c>
      <c r="F13" s="241"/>
      <c r="G13" s="241"/>
      <c r="H13" s="241"/>
      <c r="I13" s="241"/>
      <c r="J13" s="241"/>
      <c r="K13" s="241"/>
      <c r="L13" s="241"/>
      <c r="M13" s="241"/>
      <c r="N13" s="241"/>
      <c r="O13" s="241"/>
      <c r="P13" s="241"/>
      <c r="Q13" s="241"/>
      <c r="R13" s="241">
        <f>SUM(E13:Q13)</f>
        <v>260311</v>
      </c>
      <c r="S13" s="241">
        <v>60000</v>
      </c>
      <c r="T13" s="241"/>
      <c r="U13" s="237"/>
    </row>
    <row r="14" spans="1:21" s="238" customFormat="1" ht="22.8">
      <c r="A14" s="239" t="s">
        <v>1139</v>
      </c>
      <c r="B14" s="240">
        <f>SUM(C14+D14)</f>
        <v>0</v>
      </c>
      <c r="C14" s="241"/>
      <c r="D14" s="241"/>
      <c r="E14" s="241">
        <f t="shared" si="5"/>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1679</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907</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908</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909</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910</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911</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912</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ht="11.4">
      <c r="A22" s="239" t="s">
        <v>913</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ht="11.4">
      <c r="A23" s="239" t="s">
        <v>914</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ht="11.4">
      <c r="A24" s="250" t="s">
        <v>1950</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ht="11.4">
      <c r="A25" s="246" t="s">
        <v>532</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221</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915</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1.4">
      <c r="A28" s="235" t="s">
        <v>916</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908</v>
      </c>
      <c r="B29" s="240">
        <f t="shared" ref="B29:B38" si="9">SUM(C29+D29)</f>
        <v>3369350</v>
      </c>
      <c r="C29" s="241">
        <v>3369350</v>
      </c>
      <c r="D29" s="241"/>
      <c r="E29" s="241">
        <f t="shared" ref="E29:E37" si="10">+B29-SUM(F29:Q29)</f>
        <v>3369350</v>
      </c>
      <c r="F29" s="241"/>
      <c r="G29" s="241"/>
      <c r="H29" s="241"/>
      <c r="I29" s="241"/>
      <c r="J29" s="241"/>
      <c r="K29" s="241"/>
      <c r="L29" s="241"/>
      <c r="M29" s="241"/>
      <c r="N29" s="241"/>
      <c r="O29" s="241"/>
      <c r="P29" s="241"/>
      <c r="Q29" s="241"/>
      <c r="R29" s="241">
        <f t="shared" ref="R29:R37" si="11">SUM(E29:Q29)</f>
        <v>3369350</v>
      </c>
      <c r="S29" s="241">
        <f>+C29</f>
        <v>3369350</v>
      </c>
      <c r="T29" s="241"/>
      <c r="U29" s="237"/>
    </row>
    <row r="30" spans="1:21" s="238" customFormat="1" ht="11.4">
      <c r="A30" s="239" t="s">
        <v>909</v>
      </c>
      <c r="B30" s="240">
        <f t="shared" si="9"/>
        <v>28204904</v>
      </c>
      <c r="C30" s="241">
        <v>28204904</v>
      </c>
      <c r="D30" s="241"/>
      <c r="E30" s="241">
        <f t="shared" si="10"/>
        <v>381178</v>
      </c>
      <c r="F30" s="241">
        <f>+F107</f>
        <v>2143000</v>
      </c>
      <c r="G30" s="241">
        <f t="shared" ref="G30:K30" si="12">+G107</f>
        <v>18299382</v>
      </c>
      <c r="H30" s="241">
        <f t="shared" si="12"/>
        <v>3611400</v>
      </c>
      <c r="I30" s="241">
        <f t="shared" si="12"/>
        <v>1834186</v>
      </c>
      <c r="J30" s="241">
        <f t="shared" si="12"/>
        <v>935758</v>
      </c>
      <c r="K30" s="241">
        <f t="shared" si="12"/>
        <v>1000000</v>
      </c>
      <c r="L30" s="241"/>
      <c r="M30" s="241"/>
      <c r="N30" s="241"/>
      <c r="O30" s="241"/>
      <c r="P30" s="241"/>
      <c r="Q30" s="241"/>
      <c r="R30" s="241">
        <f t="shared" si="11"/>
        <v>28204904</v>
      </c>
      <c r="S30" s="241">
        <f t="shared" ref="S30:S37" si="13">+C30</f>
        <v>28204904</v>
      </c>
      <c r="T30" s="241"/>
      <c r="U30" s="237"/>
    </row>
    <row r="31" spans="1:21" s="238" customFormat="1" ht="11.4">
      <c r="A31" s="239" t="s">
        <v>910</v>
      </c>
      <c r="B31" s="240">
        <f t="shared" si="9"/>
        <v>1512505</v>
      </c>
      <c r="C31" s="241">
        <v>1512505</v>
      </c>
      <c r="D31" s="241"/>
      <c r="E31" s="241">
        <f t="shared" si="10"/>
        <v>1512505</v>
      </c>
      <c r="F31" s="241"/>
      <c r="G31" s="241"/>
      <c r="H31" s="241"/>
      <c r="I31" s="241"/>
      <c r="J31" s="241"/>
      <c r="K31" s="241"/>
      <c r="L31" s="241"/>
      <c r="M31" s="241"/>
      <c r="N31" s="241"/>
      <c r="O31" s="241"/>
      <c r="P31" s="241"/>
      <c r="Q31" s="241"/>
      <c r="R31" s="241">
        <f t="shared" si="11"/>
        <v>1512505</v>
      </c>
      <c r="S31" s="241">
        <f t="shared" si="13"/>
        <v>1512505</v>
      </c>
      <c r="T31" s="241"/>
      <c r="U31" s="237"/>
    </row>
    <row r="32" spans="1:21" s="238" customFormat="1" ht="11.4">
      <c r="A32" s="239" t="s">
        <v>911</v>
      </c>
      <c r="B32" s="240">
        <f t="shared" si="9"/>
        <v>1451538</v>
      </c>
      <c r="C32" s="241">
        <v>1451538</v>
      </c>
      <c r="D32" s="241"/>
      <c r="E32" s="241">
        <f t="shared" si="10"/>
        <v>1451538</v>
      </c>
      <c r="F32" s="241"/>
      <c r="G32" s="241"/>
      <c r="H32" s="241"/>
      <c r="I32" s="241"/>
      <c r="J32" s="241"/>
      <c r="K32" s="241"/>
      <c r="L32" s="241"/>
      <c r="M32" s="241"/>
      <c r="N32" s="241"/>
      <c r="O32" s="241"/>
      <c r="P32" s="241"/>
      <c r="Q32" s="241"/>
      <c r="R32" s="241">
        <f t="shared" si="11"/>
        <v>1451538</v>
      </c>
      <c r="S32" s="241">
        <f t="shared" si="13"/>
        <v>1451538</v>
      </c>
      <c r="T32" s="241"/>
      <c r="U32" s="237"/>
    </row>
    <row r="33" spans="1:21" s="238" customFormat="1" ht="11.4">
      <c r="A33" s="239" t="s">
        <v>912</v>
      </c>
      <c r="B33" s="240">
        <f t="shared" si="9"/>
        <v>0</v>
      </c>
      <c r="C33" s="241"/>
      <c r="D33" s="241"/>
      <c r="E33" s="241">
        <f t="shared" si="10"/>
        <v>0</v>
      </c>
      <c r="F33" s="241"/>
      <c r="G33" s="241"/>
      <c r="H33" s="241"/>
      <c r="I33" s="241"/>
      <c r="J33" s="241"/>
      <c r="K33" s="241"/>
      <c r="L33" s="241"/>
      <c r="M33" s="241"/>
      <c r="N33" s="241"/>
      <c r="O33" s="241"/>
      <c r="P33" s="241"/>
      <c r="Q33" s="241"/>
      <c r="R33" s="241">
        <f t="shared" si="11"/>
        <v>0</v>
      </c>
      <c r="S33" s="241">
        <f t="shared" si="13"/>
        <v>0</v>
      </c>
      <c r="T33" s="241"/>
      <c r="U33" s="237"/>
    </row>
    <row r="34" spans="1:21" s="238" customFormat="1" ht="11.4">
      <c r="A34" s="239" t="s">
        <v>913</v>
      </c>
      <c r="B34" s="240">
        <f t="shared" si="9"/>
        <v>0</v>
      </c>
      <c r="C34" s="241"/>
      <c r="D34" s="241"/>
      <c r="E34" s="241">
        <f t="shared" si="10"/>
        <v>0</v>
      </c>
      <c r="F34" s="241"/>
      <c r="G34" s="241"/>
      <c r="H34" s="241"/>
      <c r="I34" s="241"/>
      <c r="J34" s="241"/>
      <c r="K34" s="241"/>
      <c r="L34" s="241"/>
      <c r="M34" s="241"/>
      <c r="N34" s="241"/>
      <c r="O34" s="241"/>
      <c r="P34" s="241"/>
      <c r="Q34" s="241"/>
      <c r="R34" s="241">
        <f t="shared" si="11"/>
        <v>0</v>
      </c>
      <c r="S34" s="241">
        <f t="shared" si="13"/>
        <v>0</v>
      </c>
      <c r="T34" s="241"/>
      <c r="U34" s="237"/>
    </row>
    <row r="35" spans="1:21" s="238" customFormat="1" ht="11.4">
      <c r="A35" s="239" t="s">
        <v>914</v>
      </c>
      <c r="B35" s="240">
        <f t="shared" si="9"/>
        <v>454246</v>
      </c>
      <c r="C35" s="241">
        <v>454246</v>
      </c>
      <c r="D35" s="241"/>
      <c r="E35" s="241">
        <f t="shared" si="10"/>
        <v>454246</v>
      </c>
      <c r="F35" s="241"/>
      <c r="G35" s="241"/>
      <c r="H35" s="241"/>
      <c r="I35" s="241"/>
      <c r="J35" s="241"/>
      <c r="K35" s="241"/>
      <c r="L35" s="241"/>
      <c r="M35" s="241"/>
      <c r="N35" s="241"/>
      <c r="O35" s="241"/>
      <c r="P35" s="241"/>
      <c r="Q35" s="241"/>
      <c r="R35" s="241">
        <f t="shared" si="11"/>
        <v>454246</v>
      </c>
      <c r="S35" s="241">
        <f t="shared" si="13"/>
        <v>454246</v>
      </c>
      <c r="T35" s="241"/>
      <c r="U35" s="237"/>
    </row>
    <row r="36" spans="1:21" s="238" customFormat="1" ht="11.4">
      <c r="A36" s="250" t="s">
        <v>1950</v>
      </c>
      <c r="B36" s="240">
        <f t="shared" si="9"/>
        <v>0</v>
      </c>
      <c r="C36" s="241"/>
      <c r="D36" s="241"/>
      <c r="E36" s="241">
        <f t="shared" si="10"/>
        <v>0</v>
      </c>
      <c r="F36" s="241"/>
      <c r="G36" s="241"/>
      <c r="H36" s="241"/>
      <c r="I36" s="241"/>
      <c r="J36" s="241"/>
      <c r="K36" s="241"/>
      <c r="L36" s="241"/>
      <c r="M36" s="241"/>
      <c r="N36" s="241"/>
      <c r="O36" s="241"/>
      <c r="P36" s="241"/>
      <c r="Q36" s="241"/>
      <c r="R36" s="241">
        <f t="shared" si="11"/>
        <v>0</v>
      </c>
      <c r="S36" s="241">
        <f t="shared" si="13"/>
        <v>0</v>
      </c>
      <c r="T36" s="241"/>
      <c r="U36" s="237"/>
    </row>
    <row r="37" spans="1:21" s="238" customFormat="1" ht="11.4">
      <c r="A37" s="246" t="s">
        <v>532</v>
      </c>
      <c r="B37" s="240">
        <f t="shared" si="9"/>
        <v>0</v>
      </c>
      <c r="C37" s="241"/>
      <c r="D37" s="241"/>
      <c r="E37" s="241">
        <f t="shared" si="10"/>
        <v>0</v>
      </c>
      <c r="F37" s="241"/>
      <c r="G37" s="241"/>
      <c r="H37" s="241"/>
      <c r="I37" s="241"/>
      <c r="J37" s="241"/>
      <c r="K37" s="241"/>
      <c r="L37" s="241"/>
      <c r="M37" s="241"/>
      <c r="N37" s="241"/>
      <c r="O37" s="241"/>
      <c r="P37" s="241"/>
      <c r="Q37" s="241"/>
      <c r="R37" s="241">
        <f t="shared" si="11"/>
        <v>0</v>
      </c>
      <c r="S37" s="241">
        <f t="shared" si="13"/>
        <v>0</v>
      </c>
      <c r="T37" s="241"/>
      <c r="U37" s="237"/>
    </row>
    <row r="38" spans="1:21" s="238" customFormat="1">
      <c r="A38" s="243" t="s">
        <v>917</v>
      </c>
      <c r="B38" s="240">
        <f t="shared" si="9"/>
        <v>34992543</v>
      </c>
      <c r="C38" s="240">
        <f>SUM(C29:C37)</f>
        <v>34992543</v>
      </c>
      <c r="D38" s="240">
        <f>SUM(D29:D37)</f>
        <v>0</v>
      </c>
      <c r="E38" s="240">
        <f>SUM(E29:E37)</f>
        <v>7168817</v>
      </c>
      <c r="F38" s="240">
        <f t="shared" ref="F38:T38" si="14">SUM(F29:F37)</f>
        <v>2143000</v>
      </c>
      <c r="G38" s="240">
        <f t="shared" si="14"/>
        <v>18299382</v>
      </c>
      <c r="H38" s="240">
        <f t="shared" si="14"/>
        <v>3611400</v>
      </c>
      <c r="I38" s="240">
        <f t="shared" si="14"/>
        <v>1834186</v>
      </c>
      <c r="J38" s="240">
        <f t="shared" si="14"/>
        <v>935758</v>
      </c>
      <c r="K38" s="240">
        <f t="shared" si="14"/>
        <v>1000000</v>
      </c>
      <c r="L38" s="240">
        <f t="shared" si="14"/>
        <v>0</v>
      </c>
      <c r="M38" s="240">
        <f t="shared" si="14"/>
        <v>0</v>
      </c>
      <c r="N38" s="240">
        <f t="shared" si="14"/>
        <v>0</v>
      </c>
      <c r="O38" s="240">
        <f t="shared" si="14"/>
        <v>0</v>
      </c>
      <c r="P38" s="240">
        <f t="shared" si="14"/>
        <v>0</v>
      </c>
      <c r="Q38" s="240">
        <f t="shared" si="14"/>
        <v>0</v>
      </c>
      <c r="R38" s="240">
        <f t="shared" si="14"/>
        <v>34992543</v>
      </c>
      <c r="S38" s="244">
        <f t="shared" si="14"/>
        <v>34992543</v>
      </c>
      <c r="T38" s="244">
        <f t="shared" si="14"/>
        <v>0</v>
      </c>
      <c r="U38" s="237"/>
    </row>
    <row r="39" spans="1:21" s="238" customFormat="1" ht="11.4">
      <c r="A39" s="235" t="s">
        <v>918</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919</v>
      </c>
      <c r="B40" s="240">
        <f>SUM(C40+D40)</f>
        <v>1633545</v>
      </c>
      <c r="C40" s="241">
        <v>1633545</v>
      </c>
      <c r="D40" s="241"/>
      <c r="E40" s="241">
        <f t="shared" ref="E40:E41" si="15">+B40-SUM(F40:Q40)</f>
        <v>1633545</v>
      </c>
      <c r="F40" s="241"/>
      <c r="G40" s="241"/>
      <c r="H40" s="241"/>
      <c r="I40" s="241"/>
      <c r="J40" s="241"/>
      <c r="K40" s="241"/>
      <c r="L40" s="241"/>
      <c r="M40" s="241"/>
      <c r="N40" s="241"/>
      <c r="O40" s="241"/>
      <c r="P40" s="241"/>
      <c r="Q40" s="241"/>
      <c r="R40" s="241">
        <f>SUM(E40:Q40)</f>
        <v>1633545</v>
      </c>
      <c r="S40" s="241">
        <f t="shared" ref="S40:S41" si="16">+C40</f>
        <v>1633545</v>
      </c>
      <c r="T40" s="241"/>
      <c r="U40" s="237"/>
    </row>
    <row r="41" spans="1:21" s="238" customFormat="1" ht="11.4">
      <c r="A41" s="239" t="s">
        <v>920</v>
      </c>
      <c r="B41" s="240">
        <f>SUM(C41+D41)</f>
        <v>613625</v>
      </c>
      <c r="C41" s="241">
        <v>613625</v>
      </c>
      <c r="D41" s="241"/>
      <c r="E41" s="241">
        <f t="shared" si="15"/>
        <v>613625</v>
      </c>
      <c r="F41" s="241"/>
      <c r="G41" s="241"/>
      <c r="H41" s="241"/>
      <c r="I41" s="241"/>
      <c r="J41" s="241"/>
      <c r="K41" s="241"/>
      <c r="L41" s="241"/>
      <c r="M41" s="241"/>
      <c r="N41" s="241"/>
      <c r="O41" s="241"/>
      <c r="P41" s="241"/>
      <c r="Q41" s="241"/>
      <c r="R41" s="241">
        <f>SUM(E41:Q41)</f>
        <v>613625</v>
      </c>
      <c r="S41" s="241">
        <f t="shared" si="16"/>
        <v>613625</v>
      </c>
      <c r="T41" s="241"/>
      <c r="U41" s="237"/>
    </row>
    <row r="42" spans="1:21" s="238" customFormat="1">
      <c r="A42" s="243" t="s">
        <v>921</v>
      </c>
      <c r="B42" s="240">
        <f>SUM(C42:D42)</f>
        <v>2247170</v>
      </c>
      <c r="C42" s="240">
        <f>SUM(C39:C41)</f>
        <v>2247170</v>
      </c>
      <c r="D42" s="240">
        <f>SUM(D39:D41)</f>
        <v>0</v>
      </c>
      <c r="E42" s="240">
        <f t="shared" ref="E42:T42" si="17">SUM(E40:E41)</f>
        <v>2247170</v>
      </c>
      <c r="F42" s="240">
        <f t="shared" si="17"/>
        <v>0</v>
      </c>
      <c r="G42" s="240">
        <f t="shared" si="17"/>
        <v>0</v>
      </c>
      <c r="H42" s="240">
        <f t="shared" si="17"/>
        <v>0</v>
      </c>
      <c r="I42" s="240">
        <f t="shared" si="17"/>
        <v>0</v>
      </c>
      <c r="J42" s="240">
        <f t="shared" si="17"/>
        <v>0</v>
      </c>
      <c r="K42" s="240">
        <f t="shared" si="17"/>
        <v>0</v>
      </c>
      <c r="L42" s="240">
        <f t="shared" si="17"/>
        <v>0</v>
      </c>
      <c r="M42" s="240">
        <f t="shared" si="17"/>
        <v>0</v>
      </c>
      <c r="N42" s="240">
        <f t="shared" si="17"/>
        <v>0</v>
      </c>
      <c r="O42" s="240">
        <f t="shared" si="17"/>
        <v>0</v>
      </c>
      <c r="P42" s="240">
        <f t="shared" si="17"/>
        <v>0</v>
      </c>
      <c r="Q42" s="240">
        <f t="shared" si="17"/>
        <v>0</v>
      </c>
      <c r="R42" s="240">
        <f t="shared" si="17"/>
        <v>2247170</v>
      </c>
      <c r="S42" s="244">
        <f t="shared" si="17"/>
        <v>2247170</v>
      </c>
      <c r="T42" s="244">
        <f t="shared" si="17"/>
        <v>0</v>
      </c>
      <c r="U42" s="237"/>
    </row>
    <row r="43" spans="1:21" s="238" customFormat="1">
      <c r="A43" s="243" t="s">
        <v>922</v>
      </c>
      <c r="B43" s="240">
        <f>SUM(C43:D43)</f>
        <v>1139220</v>
      </c>
      <c r="C43" s="241">
        <v>1139220</v>
      </c>
      <c r="D43" s="241"/>
      <c r="E43" s="241">
        <f>+B43-SUM(F43:Q43)</f>
        <v>1139220</v>
      </c>
      <c r="F43" s="241">
        <v>0</v>
      </c>
      <c r="G43" s="241"/>
      <c r="H43" s="241"/>
      <c r="I43" s="241"/>
      <c r="J43" s="241"/>
      <c r="K43" s="241"/>
      <c r="L43" s="241"/>
      <c r="M43" s="241"/>
      <c r="N43" s="241"/>
      <c r="O43" s="241"/>
      <c r="P43" s="241"/>
      <c r="Q43" s="241"/>
      <c r="R43" s="241">
        <f>SUM(E43:Q43)</f>
        <v>1139220</v>
      </c>
      <c r="S43" s="241">
        <f>+C43</f>
        <v>1139220</v>
      </c>
      <c r="T43" s="241"/>
      <c r="U43" s="237"/>
    </row>
    <row r="44" spans="1:21" s="238" customFormat="1" ht="11.4">
      <c r="A44" s="235" t="s">
        <v>923</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924</v>
      </c>
      <c r="B45" s="240">
        <f t="shared" ref="B45:B52" si="18">SUM(C45+D45)</f>
        <v>2561057</v>
      </c>
      <c r="C45" s="241">
        <v>2561057</v>
      </c>
      <c r="D45" s="241"/>
      <c r="E45" s="241">
        <f t="shared" ref="E45:E52" si="19">+B45-SUM(F45:Q45)</f>
        <v>2561057</v>
      </c>
      <c r="F45" s="241"/>
      <c r="G45" s="241"/>
      <c r="H45" s="241"/>
      <c r="I45" s="241"/>
      <c r="J45" s="241"/>
      <c r="K45" s="241"/>
      <c r="L45" s="241"/>
      <c r="M45" s="241"/>
      <c r="N45" s="241"/>
      <c r="O45" s="241"/>
      <c r="P45" s="241"/>
      <c r="Q45" s="241"/>
      <c r="R45" s="241">
        <f t="shared" ref="R45:R52" si="20">SUM(E45:Q45)</f>
        <v>2561057</v>
      </c>
      <c r="S45" s="241">
        <v>1301753</v>
      </c>
      <c r="T45" s="241"/>
      <c r="U45" s="237"/>
    </row>
    <row r="46" spans="1:21" s="238" customFormat="1" ht="11.4">
      <c r="A46" s="239" t="s">
        <v>925</v>
      </c>
      <c r="B46" s="240">
        <f t="shared" si="18"/>
        <v>268897</v>
      </c>
      <c r="C46" s="241">
        <v>268897</v>
      </c>
      <c r="D46" s="241"/>
      <c r="E46" s="241">
        <f t="shared" si="19"/>
        <v>268897</v>
      </c>
      <c r="F46" s="241"/>
      <c r="G46" s="241"/>
      <c r="H46" s="241"/>
      <c r="I46" s="241"/>
      <c r="J46" s="241"/>
      <c r="K46" s="241"/>
      <c r="L46" s="241"/>
      <c r="M46" s="241"/>
      <c r="N46" s="241"/>
      <c r="O46" s="241"/>
      <c r="P46" s="241"/>
      <c r="Q46" s="241"/>
      <c r="R46" s="241">
        <f t="shared" si="20"/>
        <v>268897</v>
      </c>
      <c r="S46" s="241">
        <v>113375</v>
      </c>
      <c r="T46" s="241"/>
      <c r="U46" s="237"/>
    </row>
    <row r="47" spans="1:21" s="238" customFormat="1" ht="12" customHeight="1">
      <c r="A47" s="239" t="s">
        <v>926</v>
      </c>
      <c r="B47" s="240">
        <f t="shared" si="18"/>
        <v>0</v>
      </c>
      <c r="C47" s="241"/>
      <c r="D47" s="241"/>
      <c r="E47" s="241">
        <f t="shared" si="19"/>
        <v>0</v>
      </c>
      <c r="F47" s="241"/>
      <c r="G47" s="241"/>
      <c r="H47" s="241"/>
      <c r="I47" s="241"/>
      <c r="J47" s="241"/>
      <c r="K47" s="241"/>
      <c r="L47" s="241"/>
      <c r="M47" s="241"/>
      <c r="N47" s="241"/>
      <c r="O47" s="241"/>
      <c r="P47" s="241"/>
      <c r="Q47" s="241"/>
      <c r="R47" s="241">
        <f t="shared" si="20"/>
        <v>0</v>
      </c>
      <c r="S47" s="241">
        <f t="shared" ref="S47:S51" si="21">+C47</f>
        <v>0</v>
      </c>
      <c r="T47" s="241"/>
      <c r="U47" s="237"/>
    </row>
    <row r="48" spans="1:21" s="238" customFormat="1" ht="11.4">
      <c r="A48" s="239" t="s">
        <v>927</v>
      </c>
      <c r="B48" s="240">
        <f t="shared" si="18"/>
        <v>0</v>
      </c>
      <c r="C48" s="241"/>
      <c r="D48" s="241"/>
      <c r="E48" s="241">
        <f t="shared" si="19"/>
        <v>0</v>
      </c>
      <c r="F48" s="241"/>
      <c r="G48" s="241"/>
      <c r="H48" s="241"/>
      <c r="I48" s="241"/>
      <c r="J48" s="241"/>
      <c r="K48" s="241"/>
      <c r="L48" s="241"/>
      <c r="M48" s="241"/>
      <c r="N48" s="241"/>
      <c r="O48" s="241"/>
      <c r="P48" s="241"/>
      <c r="Q48" s="241"/>
      <c r="R48" s="241">
        <f t="shared" si="20"/>
        <v>0</v>
      </c>
      <c r="S48" s="241">
        <f t="shared" si="21"/>
        <v>0</v>
      </c>
      <c r="T48" s="241"/>
      <c r="U48" s="237"/>
    </row>
    <row r="49" spans="1:21" s="238" customFormat="1" ht="11.4">
      <c r="A49" s="239" t="s">
        <v>930</v>
      </c>
      <c r="B49" s="240">
        <f t="shared" si="18"/>
        <v>85000</v>
      </c>
      <c r="C49" s="241">
        <v>85000</v>
      </c>
      <c r="D49" s="241"/>
      <c r="E49" s="241">
        <f t="shared" si="19"/>
        <v>85000</v>
      </c>
      <c r="F49" s="241"/>
      <c r="G49" s="241"/>
      <c r="H49" s="241"/>
      <c r="I49" s="241"/>
      <c r="J49" s="241"/>
      <c r="K49" s="241"/>
      <c r="L49" s="241"/>
      <c r="M49" s="241"/>
      <c r="N49" s="241"/>
      <c r="O49" s="241"/>
      <c r="P49" s="241"/>
      <c r="Q49" s="241"/>
      <c r="R49" s="241">
        <f t="shared" si="20"/>
        <v>85000</v>
      </c>
      <c r="S49" s="241">
        <f t="shared" si="21"/>
        <v>85000</v>
      </c>
      <c r="T49" s="241"/>
      <c r="U49" s="237"/>
    </row>
    <row r="50" spans="1:21" s="238" customFormat="1" ht="11.4">
      <c r="A50" s="239" t="s">
        <v>928</v>
      </c>
      <c r="B50" s="240">
        <f t="shared" si="18"/>
        <v>61889</v>
      </c>
      <c r="C50" s="241">
        <v>61889</v>
      </c>
      <c r="D50" s="241"/>
      <c r="E50" s="241">
        <f t="shared" si="19"/>
        <v>61889</v>
      </c>
      <c r="F50" s="241"/>
      <c r="G50" s="241"/>
      <c r="H50" s="241"/>
      <c r="I50" s="241"/>
      <c r="J50" s="241"/>
      <c r="K50" s="241"/>
      <c r="L50" s="241"/>
      <c r="M50" s="241"/>
      <c r="N50" s="241"/>
      <c r="O50" s="241"/>
      <c r="P50" s="241"/>
      <c r="Q50" s="241"/>
      <c r="R50" s="241">
        <f t="shared" si="20"/>
        <v>61889</v>
      </c>
      <c r="S50" s="241">
        <f t="shared" si="21"/>
        <v>61889</v>
      </c>
      <c r="T50" s="241"/>
      <c r="U50" s="237"/>
    </row>
    <row r="51" spans="1:21" s="238" customFormat="1" ht="11.4">
      <c r="A51" s="239" t="s">
        <v>929</v>
      </c>
      <c r="B51" s="240">
        <f t="shared" si="18"/>
        <v>605802</v>
      </c>
      <c r="C51" s="241">
        <v>605802</v>
      </c>
      <c r="D51" s="241"/>
      <c r="E51" s="241">
        <f t="shared" si="19"/>
        <v>605802</v>
      </c>
      <c r="F51" s="241"/>
      <c r="G51" s="241"/>
      <c r="H51" s="241"/>
      <c r="I51" s="241"/>
      <c r="J51" s="241"/>
      <c r="K51" s="241"/>
      <c r="L51" s="241"/>
      <c r="M51" s="241"/>
      <c r="N51" s="241"/>
      <c r="O51" s="241"/>
      <c r="P51" s="241"/>
      <c r="Q51" s="241"/>
      <c r="R51" s="241">
        <f t="shared" si="20"/>
        <v>605802</v>
      </c>
      <c r="S51" s="241">
        <f t="shared" si="21"/>
        <v>605802</v>
      </c>
      <c r="T51" s="241"/>
      <c r="U51" s="237"/>
    </row>
    <row r="52" spans="1:21" s="238" customFormat="1" ht="11.4">
      <c r="A52" s="246" t="s">
        <v>532</v>
      </c>
      <c r="B52" s="240">
        <f t="shared" si="18"/>
        <v>0</v>
      </c>
      <c r="C52" s="241"/>
      <c r="D52" s="241"/>
      <c r="E52" s="241">
        <f t="shared" si="19"/>
        <v>0</v>
      </c>
      <c r="F52" s="241"/>
      <c r="G52" s="241"/>
      <c r="H52" s="241"/>
      <c r="I52" s="241"/>
      <c r="J52" s="241"/>
      <c r="K52" s="241"/>
      <c r="L52" s="241"/>
      <c r="M52" s="241"/>
      <c r="N52" s="241"/>
      <c r="O52" s="241"/>
      <c r="P52" s="241"/>
      <c r="Q52" s="241"/>
      <c r="R52" s="241">
        <f t="shared" si="20"/>
        <v>0</v>
      </c>
      <c r="S52" s="241"/>
      <c r="T52" s="241"/>
      <c r="U52" s="237"/>
    </row>
    <row r="53" spans="1:21" s="248" customFormat="1">
      <c r="A53" s="243" t="s">
        <v>931</v>
      </c>
      <c r="B53" s="244">
        <f>SUM(C53:D53)</f>
        <v>3582645</v>
      </c>
      <c r="C53" s="244">
        <f t="shared" ref="C53:T53" si="22">SUM(C45:C52)</f>
        <v>3582645</v>
      </c>
      <c r="D53" s="244">
        <f t="shared" si="22"/>
        <v>0</v>
      </c>
      <c r="E53" s="244">
        <f t="shared" si="22"/>
        <v>3582645</v>
      </c>
      <c r="F53" s="244">
        <f t="shared" si="22"/>
        <v>0</v>
      </c>
      <c r="G53" s="244">
        <f t="shared" si="22"/>
        <v>0</v>
      </c>
      <c r="H53" s="244">
        <f t="shared" si="22"/>
        <v>0</v>
      </c>
      <c r="I53" s="244">
        <f t="shared" si="22"/>
        <v>0</v>
      </c>
      <c r="J53" s="244">
        <f t="shared" si="22"/>
        <v>0</v>
      </c>
      <c r="K53" s="244">
        <f t="shared" si="22"/>
        <v>0</v>
      </c>
      <c r="L53" s="244">
        <f t="shared" si="22"/>
        <v>0</v>
      </c>
      <c r="M53" s="244">
        <f t="shared" si="22"/>
        <v>0</v>
      </c>
      <c r="N53" s="244">
        <f t="shared" si="22"/>
        <v>0</v>
      </c>
      <c r="O53" s="244">
        <f t="shared" si="22"/>
        <v>0</v>
      </c>
      <c r="P53" s="244">
        <f t="shared" si="22"/>
        <v>0</v>
      </c>
      <c r="Q53" s="244">
        <f t="shared" si="22"/>
        <v>0</v>
      </c>
      <c r="R53" s="240">
        <f t="shared" si="22"/>
        <v>3582645</v>
      </c>
      <c r="S53" s="244">
        <f t="shared" si="22"/>
        <v>2167819</v>
      </c>
      <c r="T53" s="244">
        <f t="shared" si="22"/>
        <v>0</v>
      </c>
      <c r="U53" s="247"/>
    </row>
    <row r="54" spans="1:21" s="238" customFormat="1" ht="11.4">
      <c r="A54" s="235" t="s">
        <v>681</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932</v>
      </c>
      <c r="B55" s="240">
        <f t="shared" ref="B55:B60" si="23">SUM(C55+D55)</f>
        <v>54430</v>
      </c>
      <c r="C55" s="241">
        <v>54430</v>
      </c>
      <c r="D55" s="241"/>
      <c r="E55" s="241">
        <f t="shared" ref="E55:E60" si="24">+B55-SUM(F55:Q55)</f>
        <v>54430</v>
      </c>
      <c r="F55" s="241"/>
      <c r="G55" s="241"/>
      <c r="H55" s="241"/>
      <c r="I55" s="241"/>
      <c r="J55" s="241"/>
      <c r="K55" s="241"/>
      <c r="L55" s="241"/>
      <c r="M55" s="241"/>
      <c r="N55" s="241"/>
      <c r="O55" s="241"/>
      <c r="P55" s="241"/>
      <c r="Q55" s="241"/>
      <c r="R55" s="241">
        <f t="shared" ref="R55:R60" si="25">SUM(E55:Q55)</f>
        <v>54430</v>
      </c>
      <c r="S55" s="242"/>
      <c r="T55" s="242"/>
      <c r="U55" s="237"/>
    </row>
    <row r="56" spans="1:21" s="238" customFormat="1" ht="12" customHeight="1">
      <c r="A56" s="239" t="s">
        <v>926</v>
      </c>
      <c r="B56" s="240">
        <f t="shared" si="23"/>
        <v>0</v>
      </c>
      <c r="C56" s="241"/>
      <c r="D56" s="241"/>
      <c r="E56" s="241">
        <f t="shared" si="24"/>
        <v>0</v>
      </c>
      <c r="F56" s="241"/>
      <c r="G56" s="241"/>
      <c r="H56" s="241"/>
      <c r="I56" s="241"/>
      <c r="J56" s="241"/>
      <c r="K56" s="241"/>
      <c r="L56" s="241"/>
      <c r="M56" s="241"/>
      <c r="N56" s="241"/>
      <c r="O56" s="241"/>
      <c r="P56" s="241"/>
      <c r="Q56" s="241"/>
      <c r="R56" s="241">
        <f t="shared" si="25"/>
        <v>0</v>
      </c>
      <c r="S56" s="242"/>
      <c r="T56" s="242"/>
      <c r="U56" s="237"/>
    </row>
    <row r="57" spans="1:21" s="238" customFormat="1" ht="11.4">
      <c r="A57" s="239" t="s">
        <v>930</v>
      </c>
      <c r="B57" s="240">
        <f t="shared" si="23"/>
        <v>15000</v>
      </c>
      <c r="C57" s="241">
        <v>15000</v>
      </c>
      <c r="D57" s="241"/>
      <c r="E57" s="241">
        <f t="shared" si="24"/>
        <v>15000</v>
      </c>
      <c r="F57" s="241"/>
      <c r="G57" s="241"/>
      <c r="H57" s="241"/>
      <c r="I57" s="241"/>
      <c r="J57" s="241"/>
      <c r="K57" s="241"/>
      <c r="L57" s="241"/>
      <c r="M57" s="241"/>
      <c r="N57" s="241"/>
      <c r="O57" s="241"/>
      <c r="P57" s="241"/>
      <c r="Q57" s="241"/>
      <c r="R57" s="241">
        <f t="shared" si="25"/>
        <v>15000</v>
      </c>
      <c r="S57" s="242"/>
      <c r="T57" s="242"/>
      <c r="U57" s="237"/>
    </row>
    <row r="58" spans="1:21" s="238" customFormat="1" ht="11.4">
      <c r="A58" s="239" t="s">
        <v>928</v>
      </c>
      <c r="B58" s="240">
        <f t="shared" si="23"/>
        <v>0</v>
      </c>
      <c r="C58" s="241"/>
      <c r="D58" s="241"/>
      <c r="E58" s="241">
        <f t="shared" si="24"/>
        <v>0</v>
      </c>
      <c r="F58" s="241"/>
      <c r="G58" s="241"/>
      <c r="H58" s="241"/>
      <c r="I58" s="241"/>
      <c r="J58" s="241"/>
      <c r="K58" s="241"/>
      <c r="L58" s="241"/>
      <c r="M58" s="241"/>
      <c r="N58" s="241"/>
      <c r="O58" s="241"/>
      <c r="P58" s="241"/>
      <c r="Q58" s="241"/>
      <c r="R58" s="241">
        <f t="shared" si="25"/>
        <v>0</v>
      </c>
      <c r="S58" s="242"/>
      <c r="T58" s="242"/>
      <c r="U58" s="237"/>
    </row>
    <row r="59" spans="1:21" s="238" customFormat="1" ht="11.4">
      <c r="A59" s="239" t="s">
        <v>929</v>
      </c>
      <c r="B59" s="240">
        <f t="shared" si="23"/>
        <v>0</v>
      </c>
      <c r="C59" s="241"/>
      <c r="D59" s="241"/>
      <c r="E59" s="241">
        <f t="shared" si="24"/>
        <v>0</v>
      </c>
      <c r="F59" s="241"/>
      <c r="G59" s="241"/>
      <c r="H59" s="241"/>
      <c r="I59" s="241"/>
      <c r="J59" s="241"/>
      <c r="K59" s="241"/>
      <c r="L59" s="241"/>
      <c r="M59" s="241"/>
      <c r="N59" s="241"/>
      <c r="O59" s="241"/>
      <c r="P59" s="241"/>
      <c r="Q59" s="241"/>
      <c r="R59" s="241">
        <f t="shared" si="25"/>
        <v>0</v>
      </c>
      <c r="S59" s="242"/>
      <c r="T59" s="242"/>
      <c r="U59" s="237"/>
    </row>
    <row r="60" spans="1:21" s="238" customFormat="1" ht="11.4">
      <c r="A60" s="246" t="s">
        <v>2461</v>
      </c>
      <c r="B60" s="240">
        <f t="shared" si="23"/>
        <v>55000</v>
      </c>
      <c r="C60" s="241">
        <v>55000</v>
      </c>
      <c r="D60" s="241"/>
      <c r="E60" s="241">
        <f t="shared" si="24"/>
        <v>55000</v>
      </c>
      <c r="F60" s="241"/>
      <c r="G60" s="241"/>
      <c r="H60" s="241"/>
      <c r="I60" s="241"/>
      <c r="J60" s="241"/>
      <c r="K60" s="241"/>
      <c r="L60" s="241"/>
      <c r="M60" s="241"/>
      <c r="N60" s="241"/>
      <c r="O60" s="241"/>
      <c r="P60" s="241"/>
      <c r="Q60" s="241"/>
      <c r="R60" s="241">
        <f t="shared" si="25"/>
        <v>55000</v>
      </c>
      <c r="S60" s="242"/>
      <c r="T60" s="242"/>
      <c r="U60" s="237"/>
    </row>
    <row r="61" spans="1:21" s="238" customFormat="1" ht="13.95" customHeight="1">
      <c r="A61" s="243" t="s">
        <v>499</v>
      </c>
      <c r="B61" s="240">
        <f>SUM(C61:D61)</f>
        <v>124430</v>
      </c>
      <c r="C61" s="240">
        <f t="shared" ref="C61:R61" si="26">SUM(C55:C60)</f>
        <v>124430</v>
      </c>
      <c r="D61" s="240">
        <f t="shared" si="26"/>
        <v>0</v>
      </c>
      <c r="E61" s="240">
        <f t="shared" si="26"/>
        <v>124430</v>
      </c>
      <c r="F61" s="240">
        <f t="shared" si="26"/>
        <v>0</v>
      </c>
      <c r="G61" s="240">
        <f t="shared" si="26"/>
        <v>0</v>
      </c>
      <c r="H61" s="240">
        <f t="shared" si="26"/>
        <v>0</v>
      </c>
      <c r="I61" s="240">
        <f t="shared" si="26"/>
        <v>0</v>
      </c>
      <c r="J61" s="240">
        <f t="shared" si="26"/>
        <v>0</v>
      </c>
      <c r="K61" s="240">
        <f t="shared" si="26"/>
        <v>0</v>
      </c>
      <c r="L61" s="240">
        <f t="shared" si="26"/>
        <v>0</v>
      </c>
      <c r="M61" s="240">
        <f t="shared" si="26"/>
        <v>0</v>
      </c>
      <c r="N61" s="240">
        <f t="shared" si="26"/>
        <v>0</v>
      </c>
      <c r="O61" s="240">
        <f t="shared" si="26"/>
        <v>0</v>
      </c>
      <c r="P61" s="240">
        <f t="shared" si="26"/>
        <v>0</v>
      </c>
      <c r="Q61" s="240">
        <f t="shared" si="26"/>
        <v>0</v>
      </c>
      <c r="R61" s="240">
        <f t="shared" si="26"/>
        <v>124430</v>
      </c>
      <c r="S61" s="242"/>
      <c r="T61" s="242"/>
      <c r="U61" s="237"/>
    </row>
    <row r="62" spans="1:21" s="238" customFormat="1" ht="11.4">
      <c r="A62" s="249" t="s">
        <v>500</v>
      </c>
      <c r="B62" s="240">
        <f>SUM(C62:D62)</f>
        <v>47704134</v>
      </c>
      <c r="C62" s="240">
        <f t="shared" ref="C62:R62" si="27">SUM(C8+C11+C13+C14+C15+C26+C27+C38+C42+C43+C53+C61)</f>
        <v>47704134</v>
      </c>
      <c r="D62" s="240">
        <f t="shared" si="27"/>
        <v>0</v>
      </c>
      <c r="E62" s="240">
        <f t="shared" si="27"/>
        <v>19880408</v>
      </c>
      <c r="F62" s="240">
        <f t="shared" si="27"/>
        <v>2143000</v>
      </c>
      <c r="G62" s="240">
        <f t="shared" si="27"/>
        <v>18299382</v>
      </c>
      <c r="H62" s="240">
        <f t="shared" si="27"/>
        <v>3611400</v>
      </c>
      <c r="I62" s="240">
        <f t="shared" si="27"/>
        <v>1834186</v>
      </c>
      <c r="J62" s="240">
        <f t="shared" si="27"/>
        <v>935758</v>
      </c>
      <c r="K62" s="240">
        <f t="shared" si="27"/>
        <v>1000000</v>
      </c>
      <c r="L62" s="240">
        <f t="shared" si="27"/>
        <v>0</v>
      </c>
      <c r="M62" s="240">
        <f t="shared" si="27"/>
        <v>0</v>
      </c>
      <c r="N62" s="240">
        <f t="shared" si="27"/>
        <v>0</v>
      </c>
      <c r="O62" s="240">
        <f t="shared" si="27"/>
        <v>0</v>
      </c>
      <c r="P62" s="240">
        <f t="shared" si="27"/>
        <v>0</v>
      </c>
      <c r="Q62" s="240">
        <f t="shared" si="27"/>
        <v>0</v>
      </c>
      <c r="R62" s="240">
        <f t="shared" si="27"/>
        <v>47704134</v>
      </c>
      <c r="S62" s="240">
        <f>SUM(S10+S13+S14+S15+S26+S27+S38+S42+S43+S53)</f>
        <v>41673835</v>
      </c>
      <c r="T62" s="240">
        <f>SUM(T11+T13+T14+T15+T26+T27+T38+T42+T43+T53)</f>
        <v>0</v>
      </c>
      <c r="U62" s="237"/>
    </row>
    <row r="63" spans="1:21" s="238" customFormat="1" ht="22.8">
      <c r="A63" s="235" t="s">
        <v>1951</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85000</v>
      </c>
      <c r="C64" s="241">
        <v>85000</v>
      </c>
      <c r="D64" s="241"/>
      <c r="E64" s="241">
        <f t="shared" ref="E64:E68" si="28">+B64-SUM(F64:Q64)</f>
        <v>85000</v>
      </c>
      <c r="F64" s="241"/>
      <c r="G64" s="241"/>
      <c r="H64" s="241"/>
      <c r="I64" s="241"/>
      <c r="J64" s="241"/>
      <c r="K64" s="241"/>
      <c r="L64" s="241"/>
      <c r="M64" s="241"/>
      <c r="N64" s="241"/>
      <c r="O64" s="241"/>
      <c r="P64" s="241"/>
      <c r="Q64" s="241"/>
      <c r="R64" s="241">
        <f>SUM(E64:Q64)</f>
        <v>85000</v>
      </c>
      <c r="S64" s="241">
        <v>35839</v>
      </c>
      <c r="T64" s="241"/>
      <c r="U64" s="237"/>
    </row>
    <row r="65" spans="1:21" s="238" customFormat="1" ht="22.8">
      <c r="A65" s="239" t="s">
        <v>1952</v>
      </c>
      <c r="B65" s="240">
        <f>SUM(C65+D65)</f>
        <v>0</v>
      </c>
      <c r="C65" s="241"/>
      <c r="D65" s="241"/>
      <c r="E65" s="241">
        <f t="shared" si="28"/>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1953</v>
      </c>
      <c r="B66" s="240">
        <f>SUM(C66+D66)</f>
        <v>0</v>
      </c>
      <c r="C66" s="241"/>
      <c r="D66" s="241"/>
      <c r="E66" s="241">
        <f t="shared" si="28"/>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1954</v>
      </c>
      <c r="B67" s="240">
        <f>SUM(C67+D67)</f>
        <v>0</v>
      </c>
      <c r="C67" s="241"/>
      <c r="D67" s="241"/>
      <c r="E67" s="241">
        <f t="shared" si="28"/>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2460</v>
      </c>
      <c r="B68" s="240">
        <f>SUM(C68+D68)</f>
        <v>134000</v>
      </c>
      <c r="C68" s="241">
        <v>134000</v>
      </c>
      <c r="D68" s="241"/>
      <c r="E68" s="241">
        <f t="shared" si="28"/>
        <v>134000</v>
      </c>
      <c r="F68" s="241"/>
      <c r="G68" s="241"/>
      <c r="H68" s="241"/>
      <c r="I68" s="241"/>
      <c r="J68" s="241"/>
      <c r="K68" s="241"/>
      <c r="L68" s="241"/>
      <c r="M68" s="241"/>
      <c r="N68" s="241"/>
      <c r="O68" s="241"/>
      <c r="P68" s="241"/>
      <c r="Q68" s="241"/>
      <c r="R68" s="241">
        <f>SUM(E68:Q68)</f>
        <v>134000</v>
      </c>
      <c r="S68" s="241">
        <v>50000</v>
      </c>
      <c r="T68" s="241"/>
      <c r="U68" s="237"/>
    </row>
    <row r="69" spans="1:21" s="238" customFormat="1">
      <c r="A69" s="243" t="s">
        <v>1955</v>
      </c>
      <c r="B69" s="240">
        <f>SUM(C69:D69)</f>
        <v>219000</v>
      </c>
      <c r="C69" s="240">
        <f>SUM(C63:C68)</f>
        <v>219000</v>
      </c>
      <c r="D69" s="240">
        <f>SUM(D63:D68)</f>
        <v>0</v>
      </c>
      <c r="E69" s="240">
        <f t="shared" ref="E69:T69" si="29">SUM(E64:E68)</f>
        <v>219000</v>
      </c>
      <c r="F69" s="240">
        <f t="shared" si="29"/>
        <v>0</v>
      </c>
      <c r="G69" s="240">
        <f t="shared" si="29"/>
        <v>0</v>
      </c>
      <c r="H69" s="240">
        <f t="shared" si="29"/>
        <v>0</v>
      </c>
      <c r="I69" s="240">
        <f t="shared" si="29"/>
        <v>0</v>
      </c>
      <c r="J69" s="240">
        <f t="shared" si="29"/>
        <v>0</v>
      </c>
      <c r="K69" s="240">
        <f t="shared" si="29"/>
        <v>0</v>
      </c>
      <c r="L69" s="240">
        <f t="shared" si="29"/>
        <v>0</v>
      </c>
      <c r="M69" s="240">
        <f t="shared" si="29"/>
        <v>0</v>
      </c>
      <c r="N69" s="240">
        <f t="shared" si="29"/>
        <v>0</v>
      </c>
      <c r="O69" s="240">
        <f t="shared" si="29"/>
        <v>0</v>
      </c>
      <c r="P69" s="240">
        <f t="shared" si="29"/>
        <v>0</v>
      </c>
      <c r="Q69" s="240">
        <f t="shared" si="29"/>
        <v>0</v>
      </c>
      <c r="R69" s="240">
        <f t="shared" si="29"/>
        <v>219000</v>
      </c>
      <c r="S69" s="244">
        <f t="shared" si="29"/>
        <v>85839</v>
      </c>
      <c r="T69" s="244">
        <f t="shared" si="29"/>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f t="shared" ref="E71:E75" si="30">+B71-SUM(F71:Q71)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f t="shared" si="30"/>
        <v>0</v>
      </c>
      <c r="F72" s="241"/>
      <c r="G72" s="241"/>
      <c r="H72" s="241"/>
      <c r="I72" s="241"/>
      <c r="J72" s="241"/>
      <c r="K72" s="241"/>
      <c r="L72" s="241"/>
      <c r="M72" s="241"/>
      <c r="N72" s="241"/>
      <c r="O72" s="241"/>
      <c r="P72" s="241"/>
      <c r="Q72" s="241"/>
      <c r="R72" s="241">
        <f>SUM(E72:Q72)</f>
        <v>0</v>
      </c>
      <c r="S72" s="242"/>
      <c r="T72" s="242"/>
      <c r="U72" s="237"/>
    </row>
    <row r="73" spans="1:21" s="238" customFormat="1" ht="11.4">
      <c r="A73" s="455" t="s">
        <v>1237</v>
      </c>
      <c r="B73" s="240">
        <f>SUM(C73+D73)</f>
        <v>0</v>
      </c>
      <c r="C73" s="241"/>
      <c r="D73" s="241"/>
      <c r="E73" s="241">
        <f t="shared" si="30"/>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288104</v>
      </c>
      <c r="C74" s="241">
        <v>288104</v>
      </c>
      <c r="D74" s="241"/>
      <c r="E74" s="241">
        <f t="shared" si="30"/>
        <v>288104</v>
      </c>
      <c r="F74" s="241"/>
      <c r="G74" s="241"/>
      <c r="H74" s="241"/>
      <c r="I74" s="241"/>
      <c r="J74" s="241"/>
      <c r="K74" s="241"/>
      <c r="L74" s="241"/>
      <c r="M74" s="241"/>
      <c r="N74" s="241"/>
      <c r="O74" s="241"/>
      <c r="P74" s="241"/>
      <c r="Q74" s="241"/>
      <c r="R74" s="241">
        <f>SUM(E74:Q74)</f>
        <v>288104</v>
      </c>
      <c r="S74" s="242"/>
      <c r="T74" s="242"/>
      <c r="U74" s="237"/>
    </row>
    <row r="75" spans="1:21" s="238" customFormat="1" ht="11.4">
      <c r="A75" s="246" t="s">
        <v>532</v>
      </c>
      <c r="B75" s="240">
        <f>SUM(C75+D75)</f>
        <v>0</v>
      </c>
      <c r="C75" s="241"/>
      <c r="D75" s="241"/>
      <c r="E75" s="241">
        <f t="shared" si="30"/>
        <v>0</v>
      </c>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288104</v>
      </c>
      <c r="C76" s="240">
        <f t="shared" ref="C76:Q76" si="31">SUM(C71:C75)</f>
        <v>288104</v>
      </c>
      <c r="D76" s="240">
        <f t="shared" si="31"/>
        <v>0</v>
      </c>
      <c r="E76" s="240">
        <f>SUM(E71:E75)</f>
        <v>288104</v>
      </c>
      <c r="F76" s="240">
        <f>SUM(F71:F75)</f>
        <v>0</v>
      </c>
      <c r="G76" s="240">
        <f>SUM(G71:G75)</f>
        <v>0</v>
      </c>
      <c r="H76" s="240">
        <f t="shared" si="31"/>
        <v>0</v>
      </c>
      <c r="I76" s="240">
        <f t="shared" si="31"/>
        <v>0</v>
      </c>
      <c r="J76" s="240">
        <f t="shared" si="31"/>
        <v>0</v>
      </c>
      <c r="K76" s="240">
        <f t="shared" si="31"/>
        <v>0</v>
      </c>
      <c r="L76" s="240">
        <f t="shared" si="31"/>
        <v>0</v>
      </c>
      <c r="M76" s="240">
        <f t="shared" si="31"/>
        <v>0</v>
      </c>
      <c r="N76" s="240">
        <f t="shared" si="31"/>
        <v>0</v>
      </c>
      <c r="O76" s="240">
        <f t="shared" si="31"/>
        <v>0</v>
      </c>
      <c r="P76" s="240">
        <f t="shared" si="31"/>
        <v>0</v>
      </c>
      <c r="Q76" s="240">
        <f t="shared" si="31"/>
        <v>0</v>
      </c>
      <c r="R76" s="240">
        <f>SUM(R71:R75)</f>
        <v>288104</v>
      </c>
      <c r="S76" s="242"/>
      <c r="T76" s="242"/>
      <c r="U76" s="237"/>
    </row>
    <row r="77" spans="1:21" s="238" customFormat="1" ht="11.7" customHeight="1">
      <c r="A77" s="235" t="s">
        <v>1741</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1739</v>
      </c>
      <c r="B78" s="240">
        <f>SUM(C78+D78)</f>
        <v>1802981</v>
      </c>
      <c r="C78" s="241">
        <v>1802981</v>
      </c>
      <c r="D78" s="241"/>
      <c r="E78" s="241">
        <f t="shared" ref="E78:E79" si="32">+B78-SUM(F78:Q78)</f>
        <v>1802981</v>
      </c>
      <c r="F78" s="241"/>
      <c r="G78" s="241"/>
      <c r="H78" s="241"/>
      <c r="I78" s="241"/>
      <c r="J78" s="241"/>
      <c r="K78" s="241"/>
      <c r="L78" s="241"/>
      <c r="M78" s="241"/>
      <c r="N78" s="241"/>
      <c r="O78" s="241"/>
      <c r="P78" s="241"/>
      <c r="Q78" s="241"/>
      <c r="R78" s="241">
        <f>SUM(E78:Q78)</f>
        <v>1802981</v>
      </c>
      <c r="S78" s="241">
        <f t="shared" ref="S78:S79" si="33">+C78</f>
        <v>1802981</v>
      </c>
      <c r="T78" s="241"/>
      <c r="U78" s="237"/>
    </row>
    <row r="79" spans="1:21" s="238" customFormat="1" ht="11.4">
      <c r="A79" s="239" t="s">
        <v>537</v>
      </c>
      <c r="B79" s="240">
        <f>SUM(C79+D79)</f>
        <v>387000</v>
      </c>
      <c r="C79" s="241">
        <v>387000</v>
      </c>
      <c r="D79" s="241"/>
      <c r="E79" s="241">
        <f t="shared" si="32"/>
        <v>387000</v>
      </c>
      <c r="F79" s="241"/>
      <c r="G79" s="241"/>
      <c r="H79" s="241"/>
      <c r="I79" s="241"/>
      <c r="J79" s="241"/>
      <c r="K79" s="241"/>
      <c r="L79" s="241"/>
      <c r="M79" s="241"/>
      <c r="N79" s="241"/>
      <c r="O79" s="241"/>
      <c r="P79" s="241"/>
      <c r="Q79" s="241"/>
      <c r="R79" s="241">
        <f>SUM(E79:Q79)</f>
        <v>387000</v>
      </c>
      <c r="S79" s="241">
        <f t="shared" si="33"/>
        <v>387000</v>
      </c>
      <c r="T79" s="241"/>
      <c r="U79" s="237"/>
    </row>
    <row r="80" spans="1:21" s="238" customFormat="1">
      <c r="A80" s="243" t="s">
        <v>1740</v>
      </c>
      <c r="B80" s="240">
        <f>SUM(C80:D80)</f>
        <v>2189981</v>
      </c>
      <c r="C80" s="665">
        <f>SUM(C78:C79)</f>
        <v>2189981</v>
      </c>
      <c r="D80" s="665">
        <f t="shared" ref="D80:R80" si="34">SUM(D78:D79)</f>
        <v>0</v>
      </c>
      <c r="E80" s="665">
        <f t="shared" si="34"/>
        <v>2189981</v>
      </c>
      <c r="F80" s="665">
        <f t="shared" si="34"/>
        <v>0</v>
      </c>
      <c r="G80" s="665">
        <f t="shared" si="34"/>
        <v>0</v>
      </c>
      <c r="H80" s="665">
        <f t="shared" si="34"/>
        <v>0</v>
      </c>
      <c r="I80" s="665">
        <f t="shared" si="34"/>
        <v>0</v>
      </c>
      <c r="J80" s="665">
        <f t="shared" si="34"/>
        <v>0</v>
      </c>
      <c r="K80" s="665">
        <f t="shared" si="34"/>
        <v>0</v>
      </c>
      <c r="L80" s="665">
        <f t="shared" si="34"/>
        <v>0</v>
      </c>
      <c r="M80" s="665">
        <f t="shared" si="34"/>
        <v>0</v>
      </c>
      <c r="N80" s="665">
        <f t="shared" si="34"/>
        <v>0</v>
      </c>
      <c r="O80" s="665">
        <f t="shared" si="34"/>
        <v>0</v>
      </c>
      <c r="P80" s="665">
        <f t="shared" si="34"/>
        <v>0</v>
      </c>
      <c r="Q80" s="665">
        <f t="shared" si="34"/>
        <v>0</v>
      </c>
      <c r="R80" s="665">
        <f t="shared" si="34"/>
        <v>2189981</v>
      </c>
      <c r="S80" s="665">
        <f>SUM(S78:S79)</f>
        <v>2189981</v>
      </c>
      <c r="T80" s="665">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2111</v>
      </c>
      <c r="B82" s="240">
        <f>SUM(C82+D82)</f>
        <v>152900</v>
      </c>
      <c r="C82" s="241">
        <v>152900</v>
      </c>
      <c r="D82" s="241"/>
      <c r="E82" s="241">
        <f t="shared" ref="E82:E94" si="35">+B82-SUM(F82:Q82)</f>
        <v>152900</v>
      </c>
      <c r="F82" s="241"/>
      <c r="G82" s="241"/>
      <c r="H82" s="241"/>
      <c r="I82" s="241"/>
      <c r="J82" s="241"/>
      <c r="K82" s="241"/>
      <c r="L82" s="241"/>
      <c r="M82" s="241"/>
      <c r="N82" s="241"/>
      <c r="O82" s="241"/>
      <c r="P82" s="241"/>
      <c r="Q82" s="241"/>
      <c r="R82" s="241">
        <f>SUM(E82:Q82)</f>
        <v>152900</v>
      </c>
      <c r="S82" s="242"/>
      <c r="T82" s="242"/>
      <c r="U82" s="237"/>
    </row>
    <row r="83" spans="1:21" s="238" customFormat="1" ht="11.4">
      <c r="A83" s="239" t="s">
        <v>515</v>
      </c>
      <c r="B83" s="240">
        <f t="shared" ref="B83:B93" si="36">SUM(C83+D83)</f>
        <v>0</v>
      </c>
      <c r="C83" s="241"/>
      <c r="D83" s="241"/>
      <c r="E83" s="241">
        <f t="shared" si="35"/>
        <v>0</v>
      </c>
      <c r="F83" s="241"/>
      <c r="G83" s="241"/>
      <c r="H83" s="241"/>
      <c r="I83" s="241"/>
      <c r="J83" s="241"/>
      <c r="K83" s="241"/>
      <c r="L83" s="241"/>
      <c r="M83" s="241"/>
      <c r="N83" s="241"/>
      <c r="O83" s="241"/>
      <c r="P83" s="241"/>
      <c r="Q83" s="241"/>
      <c r="R83" s="241">
        <f t="shared" ref="R83:R93" si="37">SUM(E83:Q83)</f>
        <v>0</v>
      </c>
      <c r="S83" s="241">
        <f t="shared" ref="S83:S86" si="38">+C83</f>
        <v>0</v>
      </c>
      <c r="T83" s="241"/>
      <c r="U83" s="237"/>
    </row>
    <row r="84" spans="1:21" s="238" customFormat="1" ht="11.4">
      <c r="A84" s="239" t="s">
        <v>516</v>
      </c>
      <c r="B84" s="240">
        <f t="shared" si="36"/>
        <v>2606174</v>
      </c>
      <c r="C84" s="241">
        <v>2606174</v>
      </c>
      <c r="D84" s="241"/>
      <c r="E84" s="241">
        <f t="shared" si="35"/>
        <v>2606174</v>
      </c>
      <c r="F84" s="241"/>
      <c r="G84" s="241"/>
      <c r="H84" s="241"/>
      <c r="I84" s="241"/>
      <c r="J84" s="241"/>
      <c r="K84" s="241"/>
      <c r="L84" s="241"/>
      <c r="M84" s="241"/>
      <c r="N84" s="241"/>
      <c r="O84" s="241"/>
      <c r="P84" s="241"/>
      <c r="Q84" s="241"/>
      <c r="R84" s="241">
        <f t="shared" si="37"/>
        <v>2606174</v>
      </c>
      <c r="S84" s="241">
        <f t="shared" si="38"/>
        <v>2606174</v>
      </c>
      <c r="T84" s="241"/>
      <c r="U84" s="237"/>
    </row>
    <row r="85" spans="1:21" s="238" customFormat="1" ht="11.4">
      <c r="A85" s="239" t="s">
        <v>517</v>
      </c>
      <c r="B85" s="240">
        <f t="shared" si="36"/>
        <v>777000</v>
      </c>
      <c r="C85" s="241">
        <v>777000</v>
      </c>
      <c r="D85" s="241"/>
      <c r="E85" s="241">
        <f t="shared" si="35"/>
        <v>777000</v>
      </c>
      <c r="F85" s="241"/>
      <c r="G85" s="241"/>
      <c r="H85" s="241"/>
      <c r="I85" s="241"/>
      <c r="J85" s="241"/>
      <c r="K85" s="241"/>
      <c r="L85" s="241"/>
      <c r="M85" s="241"/>
      <c r="N85" s="241"/>
      <c r="O85" s="241"/>
      <c r="P85" s="241"/>
      <c r="Q85" s="241"/>
      <c r="R85" s="241">
        <f t="shared" si="37"/>
        <v>777000</v>
      </c>
      <c r="S85" s="241">
        <f t="shared" si="38"/>
        <v>777000</v>
      </c>
      <c r="T85" s="241"/>
      <c r="U85" s="237"/>
    </row>
    <row r="86" spans="1:21" s="238" customFormat="1" ht="11.4">
      <c r="A86" s="239" t="s">
        <v>518</v>
      </c>
      <c r="B86" s="240">
        <f t="shared" si="36"/>
        <v>0</v>
      </c>
      <c r="C86" s="241"/>
      <c r="D86" s="241"/>
      <c r="E86" s="241">
        <f t="shared" si="35"/>
        <v>0</v>
      </c>
      <c r="F86" s="241"/>
      <c r="G86" s="241"/>
      <c r="H86" s="241"/>
      <c r="I86" s="241"/>
      <c r="J86" s="241"/>
      <c r="K86" s="241"/>
      <c r="L86" s="241"/>
      <c r="M86" s="241"/>
      <c r="N86" s="241"/>
      <c r="O86" s="241"/>
      <c r="P86" s="241"/>
      <c r="Q86" s="241"/>
      <c r="R86" s="241">
        <f t="shared" si="37"/>
        <v>0</v>
      </c>
      <c r="S86" s="241">
        <f t="shared" si="38"/>
        <v>0</v>
      </c>
      <c r="T86" s="241"/>
      <c r="U86" s="237"/>
    </row>
    <row r="87" spans="1:21" s="238" customFormat="1" ht="11.4">
      <c r="A87" s="239" t="s">
        <v>519</v>
      </c>
      <c r="B87" s="240">
        <f t="shared" si="36"/>
        <v>208217</v>
      </c>
      <c r="C87" s="241">
        <v>208217</v>
      </c>
      <c r="D87" s="241"/>
      <c r="E87" s="241">
        <f t="shared" si="35"/>
        <v>208217</v>
      </c>
      <c r="F87" s="241"/>
      <c r="G87" s="241"/>
      <c r="H87" s="241"/>
      <c r="I87" s="241"/>
      <c r="J87" s="241"/>
      <c r="K87" s="241"/>
      <c r="L87" s="241"/>
      <c r="M87" s="241"/>
      <c r="N87" s="241"/>
      <c r="O87" s="241"/>
      <c r="P87" s="241"/>
      <c r="Q87" s="241"/>
      <c r="R87" s="241">
        <f t="shared" si="37"/>
        <v>208217</v>
      </c>
      <c r="S87" s="242"/>
      <c r="T87" s="242"/>
      <c r="U87" s="237"/>
    </row>
    <row r="88" spans="1:21" s="238" customFormat="1" ht="11.4">
      <c r="A88" s="239" t="s">
        <v>520</v>
      </c>
      <c r="B88" s="240">
        <f t="shared" si="36"/>
        <v>200000</v>
      </c>
      <c r="C88" s="241">
        <v>200000</v>
      </c>
      <c r="D88" s="241"/>
      <c r="E88" s="241">
        <f t="shared" si="35"/>
        <v>200000</v>
      </c>
      <c r="F88" s="241"/>
      <c r="G88" s="241"/>
      <c r="H88" s="241"/>
      <c r="I88" s="241"/>
      <c r="J88" s="241"/>
      <c r="K88" s="241"/>
      <c r="L88" s="241"/>
      <c r="M88" s="241"/>
      <c r="N88" s="241"/>
      <c r="O88" s="241"/>
      <c r="P88" s="241"/>
      <c r="Q88" s="241"/>
      <c r="R88" s="241">
        <f t="shared" si="37"/>
        <v>200000</v>
      </c>
      <c r="S88" s="241">
        <f t="shared" ref="S88:S94" si="39">+C88</f>
        <v>200000</v>
      </c>
      <c r="T88" s="241"/>
      <c r="U88" s="237"/>
    </row>
    <row r="89" spans="1:21" s="238" customFormat="1" ht="11.4">
      <c r="A89" s="239" t="s">
        <v>521</v>
      </c>
      <c r="B89" s="240">
        <f t="shared" si="36"/>
        <v>23500</v>
      </c>
      <c r="C89" s="241">
        <v>23500</v>
      </c>
      <c r="D89" s="241"/>
      <c r="E89" s="241">
        <f t="shared" si="35"/>
        <v>23500</v>
      </c>
      <c r="F89" s="241"/>
      <c r="G89" s="241"/>
      <c r="H89" s="241"/>
      <c r="I89" s="241"/>
      <c r="J89" s="241"/>
      <c r="K89" s="241"/>
      <c r="L89" s="241"/>
      <c r="M89" s="241"/>
      <c r="N89" s="241"/>
      <c r="O89" s="241"/>
      <c r="P89" s="241"/>
      <c r="Q89" s="241"/>
      <c r="R89" s="241">
        <f t="shared" si="37"/>
        <v>23500</v>
      </c>
      <c r="S89" s="241"/>
      <c r="T89" s="241"/>
      <c r="U89" s="237"/>
    </row>
    <row r="90" spans="1:21" s="238" customFormat="1" ht="11.4">
      <c r="A90" s="250" t="s">
        <v>1313</v>
      </c>
      <c r="B90" s="240">
        <f t="shared" si="36"/>
        <v>0</v>
      </c>
      <c r="C90" s="241"/>
      <c r="D90" s="241"/>
      <c r="E90" s="241">
        <f t="shared" si="35"/>
        <v>0</v>
      </c>
      <c r="F90" s="241"/>
      <c r="G90" s="241"/>
      <c r="H90" s="241"/>
      <c r="I90" s="241"/>
      <c r="J90" s="241"/>
      <c r="K90" s="241"/>
      <c r="L90" s="241"/>
      <c r="M90" s="241"/>
      <c r="N90" s="241"/>
      <c r="O90" s="241"/>
      <c r="P90" s="241"/>
      <c r="Q90" s="241"/>
      <c r="R90" s="241">
        <f t="shared" si="37"/>
        <v>0</v>
      </c>
      <c r="S90" s="241">
        <f t="shared" si="39"/>
        <v>0</v>
      </c>
      <c r="T90" s="241"/>
      <c r="U90" s="237"/>
    </row>
    <row r="91" spans="1:21" s="238" customFormat="1" ht="11.4">
      <c r="A91" s="250" t="s">
        <v>1738</v>
      </c>
      <c r="B91" s="240">
        <f t="shared" si="36"/>
        <v>16500</v>
      </c>
      <c r="C91" s="241">
        <v>16500</v>
      </c>
      <c r="D91" s="241"/>
      <c r="E91" s="241">
        <f t="shared" si="35"/>
        <v>16500</v>
      </c>
      <c r="F91" s="241"/>
      <c r="G91" s="241"/>
      <c r="H91" s="241"/>
      <c r="I91" s="241"/>
      <c r="J91" s="241"/>
      <c r="K91" s="241"/>
      <c r="L91" s="241"/>
      <c r="M91" s="241"/>
      <c r="N91" s="241"/>
      <c r="O91" s="241"/>
      <c r="P91" s="241"/>
      <c r="Q91" s="241"/>
      <c r="R91" s="241">
        <f t="shared" si="37"/>
        <v>16500</v>
      </c>
      <c r="S91" s="241">
        <f t="shared" si="39"/>
        <v>16500</v>
      </c>
      <c r="T91" s="241"/>
      <c r="U91" s="237"/>
    </row>
    <row r="92" spans="1:21" s="238" customFormat="1" ht="11.4">
      <c r="A92" s="246" t="s">
        <v>2458</v>
      </c>
      <c r="B92" s="240">
        <f t="shared" si="36"/>
        <v>162500</v>
      </c>
      <c r="C92" s="241">
        <v>162500</v>
      </c>
      <c r="D92" s="241"/>
      <c r="E92" s="241">
        <f t="shared" si="35"/>
        <v>162500</v>
      </c>
      <c r="F92" s="241"/>
      <c r="G92" s="241"/>
      <c r="H92" s="241"/>
      <c r="I92" s="241"/>
      <c r="J92" s="241"/>
      <c r="K92" s="241"/>
      <c r="L92" s="241"/>
      <c r="M92" s="241"/>
      <c r="N92" s="241"/>
      <c r="O92" s="241"/>
      <c r="P92" s="241"/>
      <c r="Q92" s="241"/>
      <c r="R92" s="241">
        <f t="shared" si="37"/>
        <v>162500</v>
      </c>
      <c r="S92" s="241">
        <f t="shared" si="39"/>
        <v>162500</v>
      </c>
      <c r="T92" s="241"/>
      <c r="U92" s="237"/>
    </row>
    <row r="93" spans="1:21" s="238" customFormat="1" ht="11.4">
      <c r="A93" s="246" t="s">
        <v>2459</v>
      </c>
      <c r="B93" s="240">
        <f t="shared" si="36"/>
        <v>60000</v>
      </c>
      <c r="C93" s="241">
        <v>60000</v>
      </c>
      <c r="D93" s="241"/>
      <c r="E93" s="241">
        <f t="shared" si="35"/>
        <v>60000</v>
      </c>
      <c r="F93" s="241"/>
      <c r="G93" s="241"/>
      <c r="H93" s="241"/>
      <c r="I93" s="241"/>
      <c r="J93" s="241"/>
      <c r="K93" s="241"/>
      <c r="L93" s="241"/>
      <c r="M93" s="241"/>
      <c r="N93" s="241"/>
      <c r="O93" s="241"/>
      <c r="P93" s="241"/>
      <c r="Q93" s="241"/>
      <c r="R93" s="241">
        <f t="shared" si="37"/>
        <v>60000</v>
      </c>
      <c r="S93" s="241">
        <f t="shared" si="39"/>
        <v>60000</v>
      </c>
      <c r="T93" s="241"/>
      <c r="U93" s="237"/>
    </row>
    <row r="94" spans="1:21" s="238" customFormat="1" ht="11.4">
      <c r="A94" s="246" t="s">
        <v>532</v>
      </c>
      <c r="B94" s="240">
        <f>SUM(C94+D94)</f>
        <v>0</v>
      </c>
      <c r="C94" s="241"/>
      <c r="D94" s="241"/>
      <c r="E94" s="241">
        <f t="shared" si="35"/>
        <v>0</v>
      </c>
      <c r="F94" s="241"/>
      <c r="G94" s="241"/>
      <c r="H94" s="241"/>
      <c r="I94" s="241"/>
      <c r="J94" s="241"/>
      <c r="K94" s="241"/>
      <c r="L94" s="241"/>
      <c r="M94" s="241"/>
      <c r="N94" s="241"/>
      <c r="O94" s="241"/>
      <c r="P94" s="241"/>
      <c r="Q94" s="241"/>
      <c r="R94" s="241">
        <f>SUM(E94:Q94)</f>
        <v>0</v>
      </c>
      <c r="S94" s="241">
        <f t="shared" si="39"/>
        <v>0</v>
      </c>
      <c r="T94" s="241"/>
      <c r="U94" s="237"/>
    </row>
    <row r="95" spans="1:21" s="238" customFormat="1">
      <c r="A95" s="243" t="s">
        <v>522</v>
      </c>
      <c r="B95" s="240">
        <f>SUM(C95:D95)</f>
        <v>4206791</v>
      </c>
      <c r="C95" s="240">
        <f t="shared" ref="C95:R95" si="40">SUM(C82:C94)</f>
        <v>4206791</v>
      </c>
      <c r="D95" s="240">
        <f t="shared" si="40"/>
        <v>0</v>
      </c>
      <c r="E95" s="240">
        <f t="shared" si="40"/>
        <v>4206791</v>
      </c>
      <c r="F95" s="240">
        <f t="shared" si="40"/>
        <v>0</v>
      </c>
      <c r="G95" s="240">
        <f t="shared" si="40"/>
        <v>0</v>
      </c>
      <c r="H95" s="240">
        <f t="shared" si="40"/>
        <v>0</v>
      </c>
      <c r="I95" s="240">
        <f t="shared" si="40"/>
        <v>0</v>
      </c>
      <c r="J95" s="240">
        <f t="shared" si="40"/>
        <v>0</v>
      </c>
      <c r="K95" s="240">
        <f t="shared" si="40"/>
        <v>0</v>
      </c>
      <c r="L95" s="240">
        <f t="shared" si="40"/>
        <v>0</v>
      </c>
      <c r="M95" s="240">
        <f t="shared" si="40"/>
        <v>0</v>
      </c>
      <c r="N95" s="240">
        <f t="shared" si="40"/>
        <v>0</v>
      </c>
      <c r="O95" s="240">
        <f t="shared" si="40"/>
        <v>0</v>
      </c>
      <c r="P95" s="240">
        <f t="shared" si="40"/>
        <v>0</v>
      </c>
      <c r="Q95" s="240">
        <f t="shared" si="40"/>
        <v>0</v>
      </c>
      <c r="R95" s="240">
        <f t="shared" si="40"/>
        <v>4206791</v>
      </c>
      <c r="S95" s="244">
        <f>SUM(S83:S86,S88:S94)</f>
        <v>3822174</v>
      </c>
      <c r="T95" s="240">
        <f>SUM(T83:T86,T88:T94)</f>
        <v>0</v>
      </c>
      <c r="U95" s="237"/>
    </row>
    <row r="96" spans="1:21" s="238" customFormat="1">
      <c r="A96" s="243" t="s">
        <v>523</v>
      </c>
      <c r="B96" s="240">
        <f>SUM(C96:D96)</f>
        <v>54608010</v>
      </c>
      <c r="C96" s="240">
        <f t="shared" ref="C96:R96" si="41">SUM(C62+C69+C76+C80+C95)</f>
        <v>54608010</v>
      </c>
      <c r="D96" s="240">
        <f t="shared" si="41"/>
        <v>0</v>
      </c>
      <c r="E96" s="240">
        <f t="shared" si="41"/>
        <v>26784284</v>
      </c>
      <c r="F96" s="240">
        <f t="shared" si="41"/>
        <v>2143000</v>
      </c>
      <c r="G96" s="240">
        <f t="shared" si="41"/>
        <v>18299382</v>
      </c>
      <c r="H96" s="240">
        <f t="shared" si="41"/>
        <v>3611400</v>
      </c>
      <c r="I96" s="240">
        <f t="shared" si="41"/>
        <v>1834186</v>
      </c>
      <c r="J96" s="240">
        <f t="shared" si="41"/>
        <v>935758</v>
      </c>
      <c r="K96" s="240">
        <f t="shared" si="41"/>
        <v>1000000</v>
      </c>
      <c r="L96" s="240">
        <f t="shared" si="41"/>
        <v>0</v>
      </c>
      <c r="M96" s="240">
        <f t="shared" si="41"/>
        <v>0</v>
      </c>
      <c r="N96" s="240">
        <f t="shared" si="41"/>
        <v>0</v>
      </c>
      <c r="O96" s="240">
        <f t="shared" si="41"/>
        <v>0</v>
      </c>
      <c r="P96" s="240">
        <f t="shared" si="41"/>
        <v>0</v>
      </c>
      <c r="Q96" s="240">
        <f t="shared" si="41"/>
        <v>0</v>
      </c>
      <c r="R96" s="240">
        <f t="shared" si="41"/>
        <v>54608010</v>
      </c>
      <c r="S96" s="244">
        <f>SUM(+S62+S69+S80+S95)</f>
        <v>47771829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f t="shared" ref="E98:E102" si="42">+B98-SUM(F98:Q98)</f>
        <v>2200000</v>
      </c>
      <c r="F98" s="241"/>
      <c r="G98" s="241"/>
      <c r="H98" s="241"/>
      <c r="I98" s="241"/>
      <c r="J98" s="241"/>
      <c r="K98" s="241"/>
      <c r="L98" s="241">
        <f>+L107</f>
        <v>300000</v>
      </c>
      <c r="M98" s="241"/>
      <c r="N98" s="241"/>
      <c r="O98" s="241"/>
      <c r="P98" s="241"/>
      <c r="Q98" s="241"/>
      <c r="R98" s="241">
        <f>SUM(E98:Q98)</f>
        <v>2500000</v>
      </c>
      <c r="S98" s="241">
        <f>+C98</f>
        <v>2500000</v>
      </c>
      <c r="T98" s="241"/>
      <c r="U98" s="237"/>
    </row>
    <row r="99" spans="1:21" s="238" customFormat="1" ht="11.4">
      <c r="A99" s="239" t="s">
        <v>1956</v>
      </c>
      <c r="B99" s="240">
        <f>SUM(C99+D99)</f>
        <v>0</v>
      </c>
      <c r="C99" s="241"/>
      <c r="D99" s="241"/>
      <c r="E99" s="241">
        <f t="shared" si="42"/>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f t="shared" si="42"/>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1238</v>
      </c>
      <c r="B101" s="240">
        <f>SUM(C101+D101)</f>
        <v>0</v>
      </c>
      <c r="C101" s="241"/>
      <c r="D101" s="241"/>
      <c r="E101" s="241">
        <f t="shared" si="42"/>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f t="shared" si="42"/>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43">SUM(C98:C102)</f>
        <v>2500000</v>
      </c>
      <c r="D103" s="240">
        <f t="shared" si="43"/>
        <v>0</v>
      </c>
      <c r="E103" s="240">
        <f t="shared" si="43"/>
        <v>2200000</v>
      </c>
      <c r="F103" s="240">
        <f t="shared" si="43"/>
        <v>0</v>
      </c>
      <c r="G103" s="240">
        <f t="shared" si="43"/>
        <v>0</v>
      </c>
      <c r="H103" s="240">
        <f t="shared" si="43"/>
        <v>0</v>
      </c>
      <c r="I103" s="240">
        <f t="shared" si="43"/>
        <v>0</v>
      </c>
      <c r="J103" s="240">
        <f t="shared" si="43"/>
        <v>0</v>
      </c>
      <c r="K103" s="240">
        <f t="shared" si="43"/>
        <v>0</v>
      </c>
      <c r="L103" s="240">
        <f t="shared" si="43"/>
        <v>300000</v>
      </c>
      <c r="M103" s="240">
        <f t="shared" si="43"/>
        <v>0</v>
      </c>
      <c r="N103" s="240">
        <f t="shared" si="43"/>
        <v>0</v>
      </c>
      <c r="O103" s="240">
        <f t="shared" si="43"/>
        <v>0</v>
      </c>
      <c r="P103" s="240">
        <f t="shared" si="43"/>
        <v>0</v>
      </c>
      <c r="Q103" s="240">
        <f t="shared" si="43"/>
        <v>0</v>
      </c>
      <c r="R103" s="240">
        <f t="shared" si="43"/>
        <v>2500000</v>
      </c>
      <c r="S103" s="244">
        <f t="shared" si="43"/>
        <v>2500000</v>
      </c>
      <c r="T103" s="244">
        <f t="shared" si="43"/>
        <v>0</v>
      </c>
      <c r="U103" s="237"/>
    </row>
    <row r="104" spans="1:21" s="238" customFormat="1">
      <c r="A104" s="243" t="s">
        <v>1154</v>
      </c>
      <c r="B104" s="244">
        <f>SUM(C104:D104)</f>
        <v>57108010</v>
      </c>
      <c r="C104" s="244">
        <f t="shared" ref="C104:R104" si="44">SUM(C96+C103)</f>
        <v>57108010</v>
      </c>
      <c r="D104" s="244">
        <f t="shared" si="44"/>
        <v>0</v>
      </c>
      <c r="E104" s="244">
        <f t="shared" si="44"/>
        <v>28984284</v>
      </c>
      <c r="F104" s="244">
        <f t="shared" si="44"/>
        <v>2143000</v>
      </c>
      <c r="G104" s="244">
        <f t="shared" si="44"/>
        <v>18299382</v>
      </c>
      <c r="H104" s="244">
        <f t="shared" si="44"/>
        <v>3611400</v>
      </c>
      <c r="I104" s="244">
        <f t="shared" si="44"/>
        <v>1834186</v>
      </c>
      <c r="J104" s="244">
        <f t="shared" si="44"/>
        <v>935758</v>
      </c>
      <c r="K104" s="244">
        <f t="shared" si="44"/>
        <v>1000000</v>
      </c>
      <c r="L104" s="244">
        <f t="shared" si="44"/>
        <v>300000</v>
      </c>
      <c r="M104" s="244">
        <f t="shared" si="44"/>
        <v>0</v>
      </c>
      <c r="N104" s="244">
        <f t="shared" si="44"/>
        <v>0</v>
      </c>
      <c r="O104" s="244">
        <f t="shared" si="44"/>
        <v>0</v>
      </c>
      <c r="P104" s="244">
        <f t="shared" si="44"/>
        <v>0</v>
      </c>
      <c r="Q104" s="244">
        <f t="shared" si="44"/>
        <v>0</v>
      </c>
      <c r="R104" s="240">
        <f t="shared" si="44"/>
        <v>57108010</v>
      </c>
      <c r="S104" s="244">
        <f>S96+S103</f>
        <v>50271829</v>
      </c>
      <c r="T104" s="244">
        <f>T96+T103</f>
        <v>0</v>
      </c>
      <c r="U104" s="237"/>
    </row>
    <row r="105" spans="1:21" s="253" customFormat="1">
      <c r="A105" s="779" t="s">
        <v>1309</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50271829</v>
      </c>
      <c r="T106" s="244">
        <f>T104+T105</f>
        <v>0</v>
      </c>
      <c r="U106" s="256"/>
    </row>
    <row r="107" spans="1:21" s="258" customFormat="1">
      <c r="A107" s="257" t="s">
        <v>1105</v>
      </c>
      <c r="B107" s="252"/>
      <c r="C107" s="252"/>
      <c r="D107" s="252"/>
      <c r="E107" s="240">
        <f>Application!AO634</f>
        <v>28984284</v>
      </c>
      <c r="F107" s="240">
        <f>Application!AO621</f>
        <v>2143000</v>
      </c>
      <c r="G107" s="240">
        <f>Application!AO622</f>
        <v>18299382</v>
      </c>
      <c r="H107" s="240">
        <f>Application!AO623</f>
        <v>3611400</v>
      </c>
      <c r="I107" s="240">
        <f>Application!AO624</f>
        <v>1834186</v>
      </c>
      <c r="J107" s="240">
        <f>Application!AO625</f>
        <v>935758</v>
      </c>
      <c r="K107" s="240">
        <f>Application!AO626</f>
        <v>1000000</v>
      </c>
      <c r="L107" s="240">
        <f>Application!AO627</f>
        <v>300000</v>
      </c>
      <c r="M107" s="240">
        <f>Application!AO628</f>
        <v>0</v>
      </c>
      <c r="N107" s="240">
        <f>Application!AO629</f>
        <v>0</v>
      </c>
      <c r="O107" s="240">
        <f>Application!AO630</f>
        <v>0</v>
      </c>
      <c r="P107" s="240">
        <f>Application!AO631</f>
        <v>0</v>
      </c>
      <c r="Q107" s="240">
        <f>Application!AO632</f>
        <v>0</v>
      </c>
      <c r="R107" s="412"/>
      <c r="S107" s="253"/>
      <c r="T107" s="253"/>
      <c r="U107" s="294"/>
    </row>
    <row r="108" spans="1:21" s="258" customFormat="1">
      <c r="A108" s="257"/>
      <c r="B108" s="252"/>
      <c r="C108" s="252"/>
      <c r="D108" s="252"/>
      <c r="E108" s="412"/>
      <c r="F108" s="412"/>
      <c r="G108" s="412"/>
      <c r="H108" s="412"/>
      <c r="I108" s="412"/>
      <c r="J108" s="412"/>
      <c r="K108" s="412"/>
      <c r="L108" s="412"/>
      <c r="M108" s="412"/>
      <c r="N108" s="412"/>
      <c r="O108" s="412"/>
      <c r="P108" s="412"/>
      <c r="Q108" s="412"/>
      <c r="R108" s="412"/>
      <c r="S108" s="253"/>
      <c r="T108" s="253"/>
      <c r="U108" s="294"/>
    </row>
    <row r="109" spans="1:21" s="258" customFormat="1" ht="13.2">
      <c r="A109" s="104" t="s">
        <v>1213</v>
      </c>
      <c r="B109" s="252"/>
      <c r="C109" s="252"/>
      <c r="D109" s="252"/>
      <c r="E109" s="412"/>
      <c r="F109" s="412"/>
      <c r="G109" s="412"/>
      <c r="H109" s="412"/>
      <c r="I109" s="412"/>
      <c r="J109" s="412"/>
      <c r="K109" s="412"/>
      <c r="L109" s="412"/>
      <c r="M109" s="412"/>
      <c r="N109" s="412"/>
      <c r="O109" s="412"/>
      <c r="P109" s="412"/>
      <c r="Q109" s="412"/>
      <c r="R109" s="412"/>
      <c r="S109" s="253"/>
      <c r="T109" s="253"/>
      <c r="U109" s="294"/>
    </row>
    <row r="110" spans="1:21" s="258" customFormat="1" ht="13.2">
      <c r="A110" s="128" t="s">
        <v>1214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1308</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8"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7"/>
    </row>
    <row r="115" spans="1:21" s="253" customFormat="1" ht="15.6">
      <c r="A115" s="297"/>
      <c r="U115" s="256"/>
    </row>
    <row r="116" spans="1:21" s="258" customFormat="1">
      <c r="A116" s="560" t="s">
        <v>1311</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0"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8" customFormat="1">
      <c r="A118" s="560" t="s">
        <v>1310</v>
      </c>
      <c r="B118" s="253"/>
      <c r="C118" s="253"/>
      <c r="D118" s="253"/>
      <c r="E118" s="253"/>
      <c r="F118" s="253"/>
      <c r="G118" s="253"/>
      <c r="H118" s="253"/>
      <c r="I118" s="253"/>
      <c r="J118" s="253"/>
      <c r="K118" s="253"/>
      <c r="L118" s="253"/>
      <c r="M118" s="253"/>
      <c r="N118" s="253"/>
      <c r="O118" s="253"/>
      <c r="P118" s="253"/>
      <c r="Q118" s="253"/>
      <c r="R118" s="253"/>
      <c r="S118" s="253"/>
      <c r="T118" s="253"/>
      <c r="U118" s="477"/>
    </row>
    <row r="119" spans="1:21" s="478" customFormat="1">
      <c r="A119" s="560" t="s">
        <v>1312</v>
      </c>
      <c r="B119" s="253"/>
      <c r="C119" s="253"/>
      <c r="D119" s="253"/>
      <c r="E119" s="253"/>
      <c r="F119" s="253"/>
      <c r="G119" s="253"/>
      <c r="H119" s="253"/>
      <c r="I119" s="253"/>
      <c r="J119" s="253"/>
      <c r="K119" s="253"/>
      <c r="L119" s="253"/>
      <c r="M119" s="253"/>
      <c r="N119" s="253"/>
      <c r="O119" s="253"/>
      <c r="P119" s="253"/>
      <c r="Q119" s="253"/>
      <c r="R119" s="253"/>
      <c r="S119" s="253"/>
      <c r="T119" s="253"/>
      <c r="U119" s="477"/>
    </row>
    <row r="120" spans="1:21" s="253" customFormat="1" ht="15.6">
      <c r="A120" s="297"/>
      <c r="U120" s="256"/>
    </row>
    <row r="121" spans="1:21" s="551" customFormat="1" ht="15.6">
      <c r="A121" s="550" t="s">
        <v>1303</v>
      </c>
      <c r="U121" s="552"/>
    </row>
    <row r="122" spans="1:21" s="253" customFormat="1" ht="11.4">
      <c r="A122" s="254" t="s">
        <v>1288</v>
      </c>
      <c r="D122" s="1590" t="s">
        <v>1289</v>
      </c>
      <c r="E122" s="1590"/>
      <c r="F122" s="1590"/>
      <c r="U122" s="256"/>
    </row>
    <row r="123" spans="1:21" s="253" customFormat="1" ht="11.4">
      <c r="A123" s="253" t="s">
        <v>1290</v>
      </c>
      <c r="B123" s="545"/>
      <c r="D123" s="1582" t="s">
        <v>1314</v>
      </c>
      <c r="E123" s="1578"/>
      <c r="F123" s="1578"/>
      <c r="G123" s="1578"/>
      <c r="H123" s="1578"/>
      <c r="I123" s="1578"/>
      <c r="J123" s="1578"/>
      <c r="K123" s="1578"/>
      <c r="L123" s="1578"/>
      <c r="M123" s="1578"/>
      <c r="N123" s="1578"/>
      <c r="O123" s="1578"/>
      <c r="P123" s="1578"/>
      <c r="Q123" s="1578"/>
      <c r="R123" s="1578"/>
      <c r="S123" s="1578"/>
      <c r="U123" s="256"/>
    </row>
    <row r="124" spans="1:21" s="253" customFormat="1" ht="13.2">
      <c r="A124" s="209" t="s">
        <v>1291</v>
      </c>
      <c r="B124" s="545"/>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3.2">
      <c r="A125" s="209" t="s">
        <v>1292</v>
      </c>
      <c r="B125" s="545"/>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3.2">
      <c r="A126" s="209" t="s">
        <v>1293</v>
      </c>
      <c r="B126" s="545"/>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1294</v>
      </c>
      <c r="B127" s="545"/>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1295</v>
      </c>
      <c r="B128" s="545"/>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3.2">
      <c r="A129" s="209" t="s">
        <v>498</v>
      </c>
      <c r="B129" s="545"/>
      <c r="C129" s="209"/>
      <c r="D129" s="1589" t="s">
        <v>1296</v>
      </c>
      <c r="E129" s="1589"/>
      <c r="F129" s="1589"/>
      <c r="G129" s="1589"/>
      <c r="H129" s="1589"/>
      <c r="I129" s="209"/>
      <c r="J129" s="209" t="s">
        <v>1297</v>
      </c>
      <c r="K129" s="209"/>
      <c r="L129" s="209"/>
      <c r="M129" s="209"/>
      <c r="N129" s="209"/>
      <c r="O129" s="209"/>
      <c r="P129" s="209"/>
      <c r="Q129" s="209"/>
      <c r="R129" s="209"/>
      <c r="S129" s="209"/>
      <c r="U129" s="256"/>
    </row>
    <row r="130" spans="1:21" s="253" customFormat="1" ht="13.2">
      <c r="A130" s="209"/>
      <c r="B130" s="543"/>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1298</v>
      </c>
      <c r="B131" s="546">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3.2">
      <c r="A132" s="547"/>
      <c r="B132" s="209"/>
      <c r="C132" s="209"/>
      <c r="D132" s="1583" t="s">
        <v>1299</v>
      </c>
      <c r="E132" s="1583"/>
      <c r="F132" s="1583"/>
      <c r="G132" s="1583"/>
      <c r="H132" s="1583"/>
      <c r="I132" s="209"/>
      <c r="J132" s="1583" t="s">
        <v>1300</v>
      </c>
      <c r="K132" s="1583"/>
      <c r="L132" s="1583"/>
      <c r="M132" s="1583"/>
      <c r="N132" s="209"/>
      <c r="O132" s="209"/>
      <c r="P132" s="209"/>
      <c r="Q132" s="209"/>
      <c r="R132" s="209"/>
      <c r="S132" s="209"/>
      <c r="U132" s="256"/>
    </row>
    <row r="133" spans="1:21" s="253" customFormat="1" ht="13.2">
      <c r="A133" s="547"/>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1301</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2129</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7"/>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7"/>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1302</v>
      </c>
      <c r="B139" s="1580"/>
      <c r="C139" s="1580"/>
      <c r="D139" s="352"/>
      <c r="E139" s="209" t="s">
        <v>1297</v>
      </c>
      <c r="F139" s="209"/>
      <c r="G139" s="209"/>
      <c r="H139" s="209"/>
      <c r="I139" s="209"/>
      <c r="J139" s="209"/>
      <c r="K139" s="209"/>
      <c r="L139" s="209"/>
      <c r="M139" s="209"/>
      <c r="N139" s="209"/>
      <c r="O139" s="209"/>
      <c r="P139" s="209"/>
      <c r="Q139" s="209"/>
      <c r="R139" s="209"/>
      <c r="S139" s="209"/>
    </row>
    <row r="140" spans="1:21" s="296" customFormat="1" ht="12" customHeight="1">
      <c r="A140" s="544"/>
      <c r="B140" s="209"/>
      <c r="C140" s="209"/>
      <c r="D140" s="352"/>
      <c r="E140" s="209"/>
      <c r="F140" s="209"/>
      <c r="G140" s="209"/>
      <c r="H140" s="209"/>
      <c r="I140" s="209"/>
      <c r="J140" s="209"/>
      <c r="K140" s="209"/>
      <c r="L140" s="209"/>
      <c r="M140" s="209"/>
      <c r="N140" s="209"/>
      <c r="O140" s="209"/>
      <c r="P140" s="209"/>
      <c r="Q140" s="209"/>
      <c r="R140" s="209"/>
      <c r="S140" s="209"/>
      <c r="T140" s="574"/>
      <c r="U140" s="479"/>
    </row>
    <row r="141" spans="1:21" s="548" customFormat="1" ht="12" customHeight="1">
      <c r="B141" s="352"/>
      <c r="C141" s="352"/>
      <c r="D141" s="352"/>
      <c r="E141" s="352"/>
      <c r="F141" s="352"/>
      <c r="G141" s="209"/>
      <c r="H141" s="209"/>
      <c r="I141" s="209"/>
      <c r="J141" s="209"/>
      <c r="K141" s="209"/>
      <c r="L141" s="209"/>
      <c r="M141" s="209"/>
      <c r="N141" s="209"/>
      <c r="O141" s="209"/>
      <c r="P141" s="209"/>
      <c r="Q141" s="209"/>
      <c r="R141" s="209"/>
      <c r="S141" s="209"/>
      <c r="T141" s="574"/>
      <c r="U141" s="549"/>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5" zoomScale="140" zoomScaleNormal="140" workbookViewId="0">
      <selection activeCell="V76" sqref="V76"/>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624" t="s">
        <v>1744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651</v>
      </c>
      <c r="C5" s="3" t="s">
        <v>205</v>
      </c>
      <c r="F5" s="3"/>
    </row>
    <row r="6" spans="1:40" ht="13.2" customHeight="1">
      <c r="B6" s="90" t="s">
        <v>1828</v>
      </c>
    </row>
    <row r="7" spans="1:40" ht="13.2"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IF(T25=100%,"",'Sources and Basis Breakdown'!G2)</f>
        <v/>
      </c>
      <c r="Z7" s="1610"/>
      <c r="AA7" s="1610"/>
      <c r="AB7" s="1610"/>
      <c r="AC7" s="1610"/>
      <c r="AD7" s="1610" t="str">
        <f>IF(T25=100%,'Sources and Basis Breakdown'!J2,'Sources and Basis Breakdown'!I2)</f>
        <v>30% PVC for Acquisition
NON-DDA/
NON-QCT Building(s)</v>
      </c>
      <c r="AE7" s="1610"/>
      <c r="AF7" s="1610"/>
      <c r="AG7" s="1610"/>
      <c r="AH7" s="1610"/>
      <c r="AI7" s="1610" t="str">
        <f>IF(T25=100%,"",'Sources and Basis Breakdown'!J2)</f>
        <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2"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2" t="s">
        <v>507</v>
      </c>
      <c r="C11" s="1183"/>
      <c r="D11" s="1183"/>
      <c r="E11" s="1183"/>
      <c r="F11" s="1183"/>
      <c r="G11" s="1183"/>
      <c r="H11" s="1183"/>
      <c r="I11" s="1183"/>
      <c r="J11" s="1183"/>
      <c r="K11" s="1183"/>
      <c r="L11" s="1183"/>
      <c r="M11" s="1183"/>
      <c r="N11" s="1183"/>
      <c r="O11" s="1183"/>
      <c r="P11" s="1183"/>
      <c r="Q11" s="1183"/>
      <c r="R11" s="1183"/>
      <c r="S11" s="1184"/>
      <c r="T11" s="1618">
        <f>IF('Sources and Basis Breakdown'!F105=0,'Sources and Basis Breakdown'!E105,'Sources and Basis Breakdown'!F105)</f>
        <v>50271829</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3.2" customHeight="1">
      <c r="B12" s="1612" t="s">
        <v>446</v>
      </c>
      <c r="C12" s="1029"/>
      <c r="D12" s="1029"/>
      <c r="E12" s="1029"/>
      <c r="F12" s="1029"/>
      <c r="G12" s="1029"/>
      <c r="H12" s="1029"/>
      <c r="I12" s="1029"/>
      <c r="J12" s="1029"/>
      <c r="K12" s="1029"/>
      <c r="L12" s="1029"/>
      <c r="M12" s="1029"/>
      <c r="N12" s="1029"/>
      <c r="O12" s="1029"/>
      <c r="P12" s="1029"/>
      <c r="Q12" s="1029"/>
      <c r="R12" s="1029"/>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1710</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3.2" customHeight="1">
      <c r="B14" s="8"/>
      <c r="C14" s="1615" t="s">
        <v>766</v>
      </c>
      <c r="D14" s="1615"/>
      <c r="E14" s="1615"/>
      <c r="F14" s="1615"/>
      <c r="G14" s="1615"/>
      <c r="H14" s="1615"/>
      <c r="I14" s="1615"/>
      <c r="J14" s="1615"/>
      <c r="K14" s="1615"/>
      <c r="L14" s="1615"/>
      <c r="M14" s="1615"/>
      <c r="N14" s="1615"/>
      <c r="O14" s="1615"/>
      <c r="P14" s="1615"/>
      <c r="Q14" s="1615"/>
      <c r="R14" s="1615"/>
      <c r="S14" s="1616"/>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3.2" customHeight="1">
      <c r="B15" s="8"/>
      <c r="C15" s="1615" t="s">
        <v>767</v>
      </c>
      <c r="D15" s="1615"/>
      <c r="E15" s="1615"/>
      <c r="F15" s="1615"/>
      <c r="G15" s="1615"/>
      <c r="H15" s="1615"/>
      <c r="I15" s="1615"/>
      <c r="J15" s="1615"/>
      <c r="K15" s="1615"/>
      <c r="L15" s="1615"/>
      <c r="M15" s="1615"/>
      <c r="N15" s="1615"/>
      <c r="O15" s="1615"/>
      <c r="P15" s="1615"/>
      <c r="Q15" s="1615"/>
      <c r="R15" s="1615"/>
      <c r="S15" s="1616"/>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3.2" customHeight="1">
      <c r="B16" s="8"/>
      <c r="C16" s="1614" t="s">
        <v>1010</v>
      </c>
      <c r="D16" s="1614"/>
      <c r="E16" s="1614"/>
      <c r="F16" s="1614"/>
      <c r="G16" s="1614"/>
      <c r="H16" s="1614"/>
      <c r="I16" s="1614"/>
      <c r="J16" s="1614"/>
      <c r="K16" s="1614"/>
      <c r="L16" s="1614"/>
      <c r="M16" s="1614"/>
      <c r="N16" s="1614"/>
      <c r="O16" s="1614"/>
      <c r="P16" s="1614"/>
      <c r="Q16" s="1614"/>
      <c r="R16" s="1614"/>
      <c r="S16" s="1617"/>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3.2" customHeight="1">
      <c r="B17" s="8"/>
      <c r="C17" s="1615" t="s">
        <v>768</v>
      </c>
      <c r="D17" s="1615"/>
      <c r="E17" s="1615"/>
      <c r="F17" s="1615"/>
      <c r="G17" s="1615"/>
      <c r="H17" s="1615"/>
      <c r="I17" s="1615"/>
      <c r="J17" s="1615"/>
      <c r="K17" s="1615"/>
      <c r="L17" s="1615"/>
      <c r="M17" s="1615"/>
      <c r="N17" s="1615"/>
      <c r="O17" s="1615"/>
      <c r="P17" s="1615"/>
      <c r="Q17" s="1615"/>
      <c r="R17" s="1615"/>
      <c r="S17" s="1616"/>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3.2" customHeight="1">
      <c r="B18" s="940"/>
      <c r="C18" s="1591" t="s">
        <v>1215</v>
      </c>
      <c r="D18" s="1591"/>
      <c r="E18" s="1591"/>
      <c r="F18" s="1591"/>
      <c r="G18" s="1591"/>
      <c r="H18" s="1591"/>
      <c r="I18" s="1591"/>
      <c r="J18" s="1591"/>
      <c r="K18" s="1591"/>
      <c r="L18" s="1591"/>
      <c r="M18" s="1591"/>
      <c r="N18" s="1591"/>
      <c r="O18" s="1591"/>
      <c r="P18" s="1591"/>
      <c r="Q18" s="1591"/>
      <c r="R18" s="1591"/>
      <c r="S18" s="1592"/>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3.2" customHeight="1">
      <c r="B19" s="483"/>
      <c r="C19" s="1591" t="s">
        <v>1215</v>
      </c>
      <c r="D19" s="1591"/>
      <c r="E19" s="1591"/>
      <c r="F19" s="1591"/>
      <c r="G19" s="1591"/>
      <c r="H19" s="1591"/>
      <c r="I19" s="1591"/>
      <c r="J19" s="1591"/>
      <c r="K19" s="1591"/>
      <c r="L19" s="1591"/>
      <c r="M19" s="1591"/>
      <c r="N19" s="1591"/>
      <c r="O19" s="1591"/>
      <c r="P19" s="1591"/>
      <c r="Q19" s="1591"/>
      <c r="R19" s="1591"/>
      <c r="S19" s="1592"/>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3.2" customHeight="1">
      <c r="B20" s="1182" t="s">
        <v>769</v>
      </c>
      <c r="C20" s="1183"/>
      <c r="D20" s="1183"/>
      <c r="E20" s="1183"/>
      <c r="F20" s="1183"/>
      <c r="G20" s="1183"/>
      <c r="H20" s="1183"/>
      <c r="I20" s="1183"/>
      <c r="J20" s="1183"/>
      <c r="K20" s="1183"/>
      <c r="L20" s="1183"/>
      <c r="M20" s="1183"/>
      <c r="N20" s="1183"/>
      <c r="O20" s="1183"/>
      <c r="P20" s="1183"/>
      <c r="Q20" s="1183"/>
      <c r="R20" s="1183"/>
      <c r="S20" s="1184"/>
      <c r="T20" s="1603">
        <f>SUM(T13:X19)</f>
        <v>0</v>
      </c>
      <c r="U20" s="1202"/>
      <c r="V20" s="1202"/>
      <c r="W20" s="1202"/>
      <c r="X20" s="1202"/>
      <c r="Y20" s="1603">
        <f>SUM(Y13:AC19)</f>
        <v>0</v>
      </c>
      <c r="Z20" s="1202"/>
      <c r="AA20" s="1202"/>
      <c r="AB20" s="1202"/>
      <c r="AC20" s="1202"/>
      <c r="AD20" s="1202">
        <f>SUM(AD13:AH19)</f>
        <v>0</v>
      </c>
      <c r="AE20" s="1202"/>
      <c r="AF20" s="1202"/>
      <c r="AG20" s="1202"/>
      <c r="AH20" s="1202"/>
      <c r="AI20" s="1202">
        <f>SUM(AI13:AM19)</f>
        <v>0</v>
      </c>
      <c r="AJ20" s="1202"/>
      <c r="AK20" s="1202"/>
      <c r="AL20" s="1202"/>
      <c r="AM20" s="1202"/>
    </row>
    <row r="21" spans="1:39" ht="13.2" customHeight="1">
      <c r="B21" s="1182" t="s">
        <v>1709</v>
      </c>
      <c r="C21" s="1183"/>
      <c r="D21" s="1183"/>
      <c r="E21" s="1183"/>
      <c r="F21" s="1183"/>
      <c r="G21" s="1183"/>
      <c r="H21" s="1183"/>
      <c r="I21" s="1183"/>
      <c r="J21" s="1183"/>
      <c r="K21" s="1183"/>
      <c r="L21" s="1183"/>
      <c r="M21" s="1183"/>
      <c r="N21" s="1183"/>
      <c r="O21" s="1183"/>
      <c r="P21" s="1183"/>
      <c r="Q21" s="1183"/>
      <c r="R21" s="1183"/>
      <c r="S21" s="1184"/>
      <c r="T21" s="1210">
        <v>21754537</v>
      </c>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3.2" customHeight="1">
      <c r="B22" s="1182" t="s">
        <v>770</v>
      </c>
      <c r="C22" s="1183"/>
      <c r="D22" s="1183"/>
      <c r="E22" s="1183"/>
      <c r="F22" s="1183"/>
      <c r="G22" s="1183"/>
      <c r="H22" s="1183"/>
      <c r="I22" s="1183"/>
      <c r="J22" s="1183"/>
      <c r="K22" s="1183"/>
      <c r="L22" s="1183"/>
      <c r="M22" s="1183"/>
      <c r="N22" s="1183"/>
      <c r="O22" s="1183"/>
      <c r="P22" s="1183"/>
      <c r="Q22" s="1183"/>
      <c r="R22" s="1183"/>
      <c r="S22" s="1184"/>
      <c r="T22" s="1604">
        <f>(ABS(T20)+ABS(T21))*-1</f>
        <v>-21754537</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3.2" customHeight="1">
      <c r="B23" s="1182" t="s">
        <v>1903</v>
      </c>
      <c r="C23" s="1183"/>
      <c r="D23" s="1183"/>
      <c r="E23" s="1183"/>
      <c r="F23" s="1183"/>
      <c r="G23" s="1183"/>
      <c r="H23" s="1183"/>
      <c r="I23" s="1183"/>
      <c r="J23" s="1183"/>
      <c r="K23" s="1183"/>
      <c r="L23" s="1183"/>
      <c r="M23" s="1183"/>
      <c r="N23" s="1183"/>
      <c r="O23" s="1183"/>
      <c r="P23" s="1183"/>
      <c r="Q23" s="1183"/>
      <c r="R23" s="1183"/>
      <c r="S23" s="1184"/>
      <c r="T23" s="1603">
        <f>T11+T22</f>
        <v>28517292</v>
      </c>
      <c r="U23" s="1202"/>
      <c r="V23" s="1202"/>
      <c r="W23" s="1202"/>
      <c r="X23" s="1202"/>
      <c r="Y23" s="1603">
        <f>Y11+Y22</f>
        <v>0</v>
      </c>
      <c r="Z23" s="1202"/>
      <c r="AA23" s="1202"/>
      <c r="AB23" s="1202"/>
      <c r="AC23" s="1202"/>
      <c r="AD23" s="1603">
        <f>IF(AD11=AD21,0,AD11)</f>
        <v>0</v>
      </c>
      <c r="AE23" s="1202"/>
      <c r="AF23" s="1202"/>
      <c r="AG23" s="1202"/>
      <c r="AH23" s="1202"/>
      <c r="AI23" s="1603">
        <f>IF(AI11=AI21,0,AI11)</f>
        <v>0</v>
      </c>
      <c r="AJ23" s="1202"/>
      <c r="AK23" s="1202"/>
      <c r="AL23" s="1202"/>
      <c r="AM23" s="1202"/>
    </row>
    <row r="24" spans="1:39" ht="13.2" customHeight="1">
      <c r="B24" s="1182" t="s">
        <v>1216</v>
      </c>
      <c r="C24" s="1183"/>
      <c r="D24" s="1183"/>
      <c r="E24" s="1183"/>
      <c r="F24" s="1183"/>
      <c r="G24" s="1183"/>
      <c r="H24" s="1183"/>
      <c r="I24" s="1183"/>
      <c r="J24" s="1183"/>
      <c r="K24" s="1183"/>
      <c r="L24" s="1183"/>
      <c r="M24" s="1183"/>
      <c r="N24" s="1183"/>
      <c r="O24" s="1183"/>
      <c r="P24" s="1183"/>
      <c r="Q24" s="1183"/>
      <c r="R24" s="1183"/>
      <c r="S24" s="1184"/>
      <c r="T24" s="1601">
        <f>Application!AJ1020</f>
        <v>48501316</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1905</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2" customHeight="1">
      <c r="B26" s="1182" t="s">
        <v>772</v>
      </c>
      <c r="C26" s="1183"/>
      <c r="D26" s="1183"/>
      <c r="E26" s="1183"/>
      <c r="F26" s="1183"/>
      <c r="G26" s="1183"/>
      <c r="H26" s="1183"/>
      <c r="I26" s="1183"/>
      <c r="J26" s="1183"/>
      <c r="K26" s="1183"/>
      <c r="L26" s="1183"/>
      <c r="M26" s="1183"/>
      <c r="N26" s="1183"/>
      <c r="O26" s="1183"/>
      <c r="P26" s="1183"/>
      <c r="Q26" s="1183"/>
      <c r="R26" s="1183"/>
      <c r="S26" s="1184"/>
      <c r="T26" s="1226">
        <f>T23*T25</f>
        <v>28517292</v>
      </c>
      <c r="U26" s="1606"/>
      <c r="V26" s="1606"/>
      <c r="W26" s="1606"/>
      <c r="X26" s="1606"/>
      <c r="Y26" s="1226">
        <f>Y23*Y25</f>
        <v>0</v>
      </c>
      <c r="Z26" s="1606"/>
      <c r="AA26" s="1606"/>
      <c r="AB26" s="1606"/>
      <c r="AC26" s="1606"/>
      <c r="AD26" s="1226">
        <f>AD23*AD25</f>
        <v>0</v>
      </c>
      <c r="AE26" s="1606"/>
      <c r="AF26" s="1606"/>
      <c r="AG26" s="1606"/>
      <c r="AH26" s="1606"/>
      <c r="AI26" s="1226">
        <f>AI23*AI25</f>
        <v>0</v>
      </c>
      <c r="AJ26" s="1606"/>
      <c r="AK26" s="1606"/>
      <c r="AL26" s="1606"/>
      <c r="AM26" s="1606"/>
    </row>
    <row r="27" spans="1:39" ht="13.2" customHeight="1">
      <c r="A27" s="4"/>
      <c r="B27" s="1596" t="s">
        <v>877</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2" t="s">
        <v>841</v>
      </c>
      <c r="C28" s="1183"/>
      <c r="D28" s="1183"/>
      <c r="E28" s="1183"/>
      <c r="F28" s="1183"/>
      <c r="G28" s="1183"/>
      <c r="H28" s="1183"/>
      <c r="I28" s="1183"/>
      <c r="J28" s="1183"/>
      <c r="K28" s="1183"/>
      <c r="L28" s="1183"/>
      <c r="M28" s="1183"/>
      <c r="N28" s="1183"/>
      <c r="O28" s="1183"/>
      <c r="P28" s="1183"/>
      <c r="Q28" s="1183"/>
      <c r="R28" s="1183"/>
      <c r="S28" s="1184"/>
      <c r="T28" s="1226">
        <f>IF(ISERROR((T26*T27)),0,(T26*T27))</f>
        <v>28517292</v>
      </c>
      <c r="U28" s="1606"/>
      <c r="V28" s="1606"/>
      <c r="W28" s="1606"/>
      <c r="X28" s="1606"/>
      <c r="Y28" s="1226">
        <f>IF(ISERROR((Y26*Y27)),0,(Y26*Y27))</f>
        <v>0</v>
      </c>
      <c r="Z28" s="1606"/>
      <c r="AA28" s="1606"/>
      <c r="AB28" s="1606"/>
      <c r="AC28" s="1606"/>
      <c r="AD28" s="1226">
        <f>IF(ISERROR((AD26*AD27)),0,(AD26*AD27))</f>
        <v>0</v>
      </c>
      <c r="AE28" s="1606"/>
      <c r="AF28" s="1606"/>
      <c r="AG28" s="1606"/>
      <c r="AH28" s="1606"/>
      <c r="AI28" s="1226">
        <f>IF(ISERROR((AI26*AI27)),0,(AI26*AI27))</f>
        <v>0</v>
      </c>
      <c r="AJ28" s="1606"/>
      <c r="AK28" s="1606"/>
      <c r="AL28" s="1606"/>
      <c r="AM28" s="1606"/>
    </row>
    <row r="29" spans="1:39" ht="13.2" customHeight="1">
      <c r="B29" s="1182" t="s">
        <v>621</v>
      </c>
      <c r="C29" s="1183"/>
      <c r="D29" s="1183"/>
      <c r="E29" s="1183"/>
      <c r="F29" s="1183"/>
      <c r="G29" s="1183"/>
      <c r="H29" s="1183"/>
      <c r="I29" s="1183"/>
      <c r="J29" s="1183"/>
      <c r="K29" s="1183"/>
      <c r="L29" s="1183"/>
      <c r="M29" s="1183"/>
      <c r="N29" s="1183"/>
      <c r="O29" s="1183"/>
      <c r="P29" s="1183"/>
      <c r="Q29" s="1183"/>
      <c r="R29" s="1183"/>
      <c r="S29" s="1184"/>
      <c r="T29" s="1601">
        <f>T28+Y28+AD28+AI28</f>
        <v>28517292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637" t="s">
        <v>1904</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3.2" customHeight="1">
      <c r="B31" s="1638" t="s">
        <v>1906</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3.2" customHeight="1">
      <c r="C33" s="4"/>
      <c r="X33" s="62"/>
      <c r="Y33" s="181"/>
      <c r="Z33" s="181"/>
      <c r="AA33" s="181"/>
      <c r="AB33" s="181"/>
      <c r="AC33" s="181"/>
      <c r="AD33" s="181"/>
      <c r="AE33" s="181"/>
      <c r="AF33" s="181"/>
      <c r="AG33" s="181"/>
      <c r="AH33" s="181"/>
    </row>
    <row r="34" spans="1:44" ht="13.2" customHeight="1">
      <c r="A34" s="3" t="s">
        <v>8</v>
      </c>
      <c r="C34" s="3" t="s">
        <v>206</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610" t="s">
        <v>1603</v>
      </c>
      <c r="Z35" s="1610"/>
      <c r="AA35" s="1610"/>
      <c r="AB35" s="1610"/>
      <c r="AC35" s="1610"/>
      <c r="AD35" s="1498" t="s">
        <v>41</v>
      </c>
      <c r="AE35" s="1498"/>
      <c r="AF35" s="1498"/>
      <c r="AG35" s="1498"/>
      <c r="AH35" s="1498"/>
    </row>
    <row r="36" spans="1:44" ht="13.2" customHeight="1">
      <c r="B36" s="204"/>
      <c r="X36" s="71"/>
      <c r="Y36" s="1610"/>
      <c r="Z36" s="1610"/>
      <c r="AA36" s="1610"/>
      <c r="AB36" s="1610"/>
      <c r="AC36" s="1610"/>
      <c r="AD36" s="1498"/>
      <c r="AE36" s="1498"/>
      <c r="AF36" s="1498"/>
      <c r="AG36" s="1498"/>
      <c r="AH36" s="1498"/>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4" ht="13.2" customHeight="1">
      <c r="A38" s="3"/>
      <c r="B38" s="1182" t="s">
        <v>841</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28517292</v>
      </c>
      <c r="Z38" s="1202"/>
      <c r="AA38" s="1202"/>
      <c r="AB38" s="1202"/>
      <c r="AC38" s="1202"/>
      <c r="AD38" s="1202">
        <f>IF(T24&gt;=(T23+Y23+AD23+AI23),AD28+AI28,0)</f>
        <v>0</v>
      </c>
      <c r="AE38" s="1202"/>
      <c r="AF38" s="1202"/>
      <c r="AG38" s="1202"/>
      <c r="AH38" s="1202"/>
    </row>
    <row r="39" spans="1:44" ht="13.2" customHeight="1">
      <c r="B39" s="1182" t="s">
        <v>1813</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1">
        <v>0.09</v>
      </c>
      <c r="Z39" s="1641"/>
      <c r="AA39" s="1641"/>
      <c r="AB39" s="1641"/>
      <c r="AC39" s="1641"/>
      <c r="AD39" s="1641">
        <v>0.04</v>
      </c>
      <c r="AE39" s="1641"/>
      <c r="AF39" s="1641"/>
      <c r="AG39" s="1641"/>
      <c r="AH39" s="1641"/>
    </row>
    <row r="40" spans="1:44" ht="13.2"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2566556</v>
      </c>
      <c r="Z40" s="1202"/>
      <c r="AA40" s="1202"/>
      <c r="AB40" s="1202"/>
      <c r="AC40" s="1202"/>
      <c r="AD40" s="1603">
        <f>ROUND(AD38*AD39,0)</f>
        <v>0</v>
      </c>
      <c r="AE40" s="1202"/>
      <c r="AF40" s="1202"/>
      <c r="AG40" s="1202"/>
      <c r="AH40" s="1202"/>
    </row>
    <row r="41" spans="1:44" ht="13.2" customHeight="1">
      <c r="B41" s="1182" t="s">
        <v>615</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1">
        <f>IF(Application!Y211="No",'Basis &amp; Credits'!AR42,AR43)</f>
        <v>2500000</v>
      </c>
      <c r="Z41" s="1602"/>
      <c r="AA41" s="1602"/>
      <c r="AB41" s="1602"/>
      <c r="AC41" s="1602"/>
      <c r="AD41" s="1602"/>
      <c r="AE41" s="1602"/>
      <c r="AF41" s="1602"/>
      <c r="AG41" s="1602"/>
      <c r="AH41" s="1603"/>
    </row>
    <row r="42" spans="1:44" ht="13.2" customHeight="1">
      <c r="A42" s="3"/>
      <c r="B42" s="1635" t="s">
        <v>1814</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2500000</v>
      </c>
    </row>
    <row r="43" spans="1:44" ht="13.2"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R43">
        <f>IF((Y40+AD40)&gt;4000000,4000000,Y40+AD40)</f>
        <v>2566556</v>
      </c>
    </row>
    <row r="44" spans="1:44" ht="13.2"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4" ht="13.2" customHeight="1">
      <c r="A45" s="3" t="s">
        <v>118</v>
      </c>
      <c r="C45" s="3" t="s">
        <v>252</v>
      </c>
    </row>
    <row r="46" spans="1:44" ht="13.2" customHeight="1">
      <c r="D46" s="3" t="s">
        <v>253</v>
      </c>
      <c r="AB46" s="1193">
        <f>'Sources and Uses Budget'!B104-(MAX(IF('Sources and Uses Budget'!B15="",0,'Sources and Uses Budget'!B15),IF(Application!AG387="",0,Application!AG387)))</f>
        <v>57108010</v>
      </c>
      <c r="AC46" s="1194"/>
      <c r="AD46" s="1194"/>
      <c r="AE46" s="1194"/>
      <c r="AF46" s="1195"/>
    </row>
    <row r="47" spans="1:44" ht="13.2" customHeight="1">
      <c r="D47" s="3" t="s">
        <v>835</v>
      </c>
      <c r="AB47" s="1193">
        <f>Application!AO633-MAX(IF('Sources and Uses Budget'!B15="",0,'Sources and Uses Budget'!B15),IF(Application!AG387="",0,Application!AG387))</f>
        <v>28123726</v>
      </c>
      <c r="AC47" s="1194"/>
      <c r="AD47" s="1194"/>
      <c r="AE47" s="1194"/>
      <c r="AF47" s="1195"/>
    </row>
    <row r="48" spans="1:44" ht="13.2" customHeight="1">
      <c r="D48" s="3" t="s">
        <v>377</v>
      </c>
      <c r="AB48" s="1193">
        <f>AB46-AB47</f>
        <v>28984284</v>
      </c>
      <c r="AC48" s="1194"/>
      <c r="AD48" s="1194"/>
      <c r="AE48" s="1194"/>
      <c r="AF48" s="1195"/>
    </row>
    <row r="49" spans="1:40" ht="13.2" customHeight="1">
      <c r="D49" s="3" t="s">
        <v>870</v>
      </c>
      <c r="AA49" s="34"/>
      <c r="AB49" s="1630">
        <v>0.88403975000000001</v>
      </c>
      <c r="AC49" s="1631"/>
      <c r="AD49" s="1631"/>
      <c r="AE49" s="1631"/>
      <c r="AF49" s="1632"/>
    </row>
    <row r="50" spans="1:40" s="323" customFormat="1" ht="13.2" customHeight="1">
      <c r="A50"/>
      <c r="B50"/>
      <c r="C50"/>
      <c r="D50"/>
      <c r="E50" s="1636" t="s">
        <v>1949</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89"/>
      <c r="AB51" s="489"/>
      <c r="AC51" s="489"/>
      <c r="AD51" s="489"/>
      <c r="AE51" s="489"/>
      <c r="AF51" s="489"/>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3">
        <f>ROUND(IF(ISERROR((AB48/AB49)),0,(AB48/AB49)),0)</f>
        <v>32786177</v>
      </c>
      <c r="AC53" s="1194"/>
      <c r="AD53" s="1194"/>
      <c r="AE53" s="1194"/>
      <c r="AF53" s="1195"/>
    </row>
    <row r="54" spans="1:40" ht="13.2" customHeight="1">
      <c r="D54" s="3" t="s">
        <v>559</v>
      </c>
      <c r="AB54" s="1193">
        <f>(AB53/10)</f>
        <v>3278617.7</v>
      </c>
      <c r="AC54" s="1194"/>
      <c r="AD54" s="1194"/>
      <c r="AE54" s="1194"/>
      <c r="AF54" s="1195"/>
    </row>
    <row r="55" spans="1:40" ht="13.2" customHeight="1">
      <c r="D55" s="3" t="s">
        <v>340</v>
      </c>
      <c r="AB55" s="1193">
        <f>(IF((Y41&lt;AB54),Y41,AB54))</f>
        <v>2500000</v>
      </c>
      <c r="AC55" s="1194"/>
      <c r="AD55" s="1194"/>
      <c r="AE55" s="1194"/>
      <c r="AF55" s="1195"/>
    </row>
    <row r="56" spans="1:40" ht="13.2" customHeight="1">
      <c r="D56" s="3" t="s">
        <v>106</v>
      </c>
      <c r="AB56" s="1193">
        <f>ROUND((10*AB55*AB49),0)</f>
        <v>22100994</v>
      </c>
      <c r="AC56" s="1194"/>
      <c r="AD56" s="1194"/>
      <c r="AE56" s="1194"/>
      <c r="AF56" s="1195"/>
    </row>
    <row r="57" spans="1:40" ht="13.2" customHeight="1">
      <c r="D57" s="3"/>
      <c r="AB57" s="276"/>
      <c r="AC57" s="276"/>
      <c r="AD57" s="276"/>
      <c r="AE57" s="276"/>
      <c r="AF57" s="276"/>
    </row>
    <row r="58" spans="1:40" ht="13.2" customHeight="1">
      <c r="D58" s="3" t="s">
        <v>105</v>
      </c>
      <c r="AB58" s="1214">
        <f>AB48-AB56</f>
        <v>6883290</v>
      </c>
      <c r="AC58" s="1214"/>
      <c r="AD58" s="1214"/>
      <c r="AE58" s="1214"/>
      <c r="AF58" s="1214"/>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39" t="s">
        <v>1748</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121</v>
      </c>
      <c r="C62" s="3" t="s">
        <v>508</v>
      </c>
      <c r="Y62" s="1169" t="s">
        <v>297</v>
      </c>
      <c r="Z62" s="1169"/>
      <c r="AA62" s="1169"/>
      <c r="AB62" s="1169"/>
      <c r="AC62" s="1169"/>
      <c r="AD62" s="1169" t="s">
        <v>41</v>
      </c>
      <c r="AE62" s="1169"/>
      <c r="AF62" s="1169"/>
      <c r="AG62" s="1169"/>
      <c r="AH62" s="1169"/>
    </row>
    <row r="63" spans="1:40" ht="13.2" customHeight="1">
      <c r="C63" s="3"/>
      <c r="D63" s="128" t="s">
        <v>1239</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28517292</v>
      </c>
      <c r="Z63" s="1633"/>
      <c r="AA63" s="1633"/>
      <c r="AB63" s="1633"/>
      <c r="AC63" s="1633"/>
      <c r="AD63" s="1202">
        <f>IF(AND(T25=1.3,Application!D214="At-Risk"),AI28,IF(Application!D214&lt;&gt;"At-Risk",0,AD28))</f>
        <v>0</v>
      </c>
      <c r="AE63" s="1633"/>
      <c r="AF63" s="1633"/>
      <c r="AG63" s="1633"/>
      <c r="AH63" s="1633"/>
    </row>
    <row r="64" spans="1:40" ht="13.2" customHeight="1">
      <c r="C64" s="3"/>
      <c r="E64" s="1640" t="s">
        <v>1287</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3.2" customHeight="1">
      <c r="C67" s="3"/>
      <c r="D67" s="3" t="s">
        <v>939</v>
      </c>
      <c r="Y67" s="1202">
        <f>ROUND(Y63*Y66,0)</f>
        <v>8555188</v>
      </c>
      <c r="Z67" s="1633"/>
      <c r="AA67" s="1633"/>
      <c r="AB67" s="1633"/>
      <c r="AC67" s="1633"/>
      <c r="AD67" s="1202" t="str">
        <f>IF(OR(Application!D211="At-Risk",Application!D211="At-Risk/Located in Rural Census Tract",Application!D214="At-Risk"),ROUND(AD63*AD66,0),"$0")</f>
        <v>$0</v>
      </c>
      <c r="AE67" s="1202"/>
      <c r="AF67" s="1202"/>
      <c r="AG67" s="1202"/>
      <c r="AH67" s="1202"/>
    </row>
    <row r="68" spans="1:34" ht="13.2" customHeight="1">
      <c r="C68" s="3"/>
      <c r="E68" s="795" t="s">
        <v>1907</v>
      </c>
      <c r="F68" s="343"/>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row>
    <row r="69" spans="1:34" ht="13.2" customHeight="1">
      <c r="A69" s="3" t="s">
        <v>122</v>
      </c>
      <c r="C69" s="3" t="s">
        <v>254</v>
      </c>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row>
    <row r="70" spans="1:34" ht="13.2" customHeight="1">
      <c r="A70" s="3"/>
      <c r="C70" s="3"/>
      <c r="D70" s="3" t="s">
        <v>871</v>
      </c>
      <c r="AB70" s="1630">
        <v>0.80457500000000004</v>
      </c>
      <c r="AC70" s="1631"/>
      <c r="AD70" s="1631"/>
      <c r="AE70" s="1631"/>
      <c r="AF70" s="1632"/>
    </row>
    <row r="71" spans="1:34" ht="13.2" customHeight="1">
      <c r="A71" s="3"/>
      <c r="C71" s="3"/>
      <c r="D71" s="3"/>
      <c r="E71" s="1634" t="s">
        <v>2246</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103</v>
      </c>
      <c r="AB75" s="1517">
        <f>ROUND(IF(ISERROR((AB58/AB70)),0,(AB58/AB70)),0)</f>
        <v>8555188</v>
      </c>
      <c r="AC75" s="1517"/>
      <c r="AD75" s="1517"/>
      <c r="AE75" s="1517"/>
      <c r="AF75" s="1517"/>
    </row>
    <row r="76" spans="1:34" ht="13.2" customHeight="1">
      <c r="C76" s="3"/>
      <c r="D76" s="3" t="s">
        <v>104</v>
      </c>
      <c r="AB76" s="1552">
        <f>IF((Y67+AD67&lt;AB75),Y67+AD67,AB75)</f>
        <v>8555188</v>
      </c>
      <c r="AC76" s="1553"/>
      <c r="AD76" s="1553"/>
      <c r="AE76" s="1553"/>
      <c r="AF76" s="1554"/>
    </row>
    <row r="77" spans="1:34" ht="13.2" customHeight="1">
      <c r="C77" s="3"/>
      <c r="D77" s="3" t="s">
        <v>940</v>
      </c>
      <c r="AB77" s="1628">
        <f>AB76*AB70</f>
        <v>6883290.3851000005</v>
      </c>
      <c r="AC77" s="1628"/>
      <c r="AD77" s="1628"/>
      <c r="AE77" s="1628"/>
      <c r="AF77" s="1628"/>
    </row>
    <row r="78" spans="1:34" ht="13.2" customHeight="1">
      <c r="C78" s="3"/>
      <c r="D78" s="3"/>
      <c r="AB78" s="597"/>
      <c r="AC78" s="597"/>
      <c r="AD78" s="597"/>
      <c r="AE78" s="597"/>
      <c r="AF78" s="597"/>
    </row>
    <row r="79" spans="1:34" ht="13.2" customHeight="1">
      <c r="D79" s="3" t="s">
        <v>105</v>
      </c>
      <c r="AB79" s="1214">
        <f>AB48-(AB56+AB77)</f>
        <v>-0.38509999960660934</v>
      </c>
      <c r="AC79" s="1214"/>
      <c r="AD79" s="1214"/>
      <c r="AE79" s="1214"/>
      <c r="AF79" s="1214"/>
    </row>
    <row r="80" spans="1:34" ht="13.2" customHeight="1">
      <c r="F80" s="16"/>
      <c r="J80" s="16" t="str">
        <f>IF(AB79&gt;0,"FUNDING GAP MUST NOT EXCEED ZERO","")</f>
        <v/>
      </c>
    </row>
    <row r="81" spans="4:4" ht="13.2"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9" workbookViewId="0">
      <selection activeCell="C4" sqref="C4"/>
    </sheetView>
  </sheetViews>
  <sheetFormatPr defaultColWidth="8.6640625" defaultRowHeight="12" zeroHeight="1"/>
  <cols>
    <col min="1" max="1" width="32.44140625" style="482" customWidth="1"/>
    <col min="2" max="3" width="12.21875" style="480" customWidth="1"/>
    <col min="4" max="6" width="12.6640625" style="480" customWidth="1"/>
    <col min="7" max="7" width="13.44140625" style="480" customWidth="1"/>
    <col min="8" max="9" width="12.21875" style="480" customWidth="1"/>
    <col min="10" max="10" width="12.21875" style="574" customWidth="1"/>
    <col min="11" max="11" width="7" style="580" customWidth="1"/>
    <col min="12" max="16384" width="8.6640625" style="480"/>
  </cols>
  <sheetData>
    <row r="1" spans="1:11" s="352" customFormat="1" ht="13.2">
      <c r="A1" s="1642" t="s">
        <v>1821</v>
      </c>
      <c r="B1" s="1643"/>
      <c r="C1" s="1643"/>
      <c r="D1" s="1643"/>
      <c r="E1" s="1643"/>
      <c r="F1" s="1643"/>
      <c r="G1" s="1643"/>
      <c r="H1" s="1643"/>
      <c r="I1" s="1643"/>
      <c r="J1" s="1644"/>
      <c r="K1" s="577"/>
    </row>
    <row r="2" spans="1:11" s="595" customFormat="1" ht="72">
      <c r="A2" s="593"/>
      <c r="B2" s="232" t="s">
        <v>1353</v>
      </c>
      <c r="C2" s="232" t="s">
        <v>1822</v>
      </c>
      <c r="D2" s="232" t="s">
        <v>1823</v>
      </c>
      <c r="E2" s="232" t="s">
        <v>1357</v>
      </c>
      <c r="F2" s="232" t="s">
        <v>1824</v>
      </c>
      <c r="G2" s="232" t="s">
        <v>1825</v>
      </c>
      <c r="H2" s="232" t="s">
        <v>1356</v>
      </c>
      <c r="I2" s="232" t="s">
        <v>1826</v>
      </c>
      <c r="J2" s="663" t="s">
        <v>1827</v>
      </c>
      <c r="K2" s="594"/>
    </row>
    <row r="3" spans="1:11" s="253" customFormat="1" ht="11.4">
      <c r="A3" s="235" t="s">
        <v>341</v>
      </c>
      <c r="B3" s="582"/>
      <c r="C3" s="582"/>
      <c r="D3" s="582"/>
      <c r="E3" s="582"/>
      <c r="F3" s="582"/>
      <c r="G3" s="582"/>
      <c r="H3" s="582"/>
      <c r="I3" s="582"/>
      <c r="J3" s="582"/>
      <c r="K3" s="578"/>
    </row>
    <row r="4" spans="1:11" s="253" customFormat="1" ht="13.2">
      <c r="A4" s="300" t="s">
        <v>66</v>
      </c>
      <c r="B4" s="583">
        <f>'Sources and Uses Budget'!C4</f>
        <v>4250000</v>
      </c>
      <c r="C4" s="584"/>
      <c r="D4" s="584"/>
      <c r="E4" s="585"/>
      <c r="F4" s="585"/>
      <c r="G4" s="585"/>
      <c r="H4" s="585"/>
      <c r="I4" s="585"/>
      <c r="J4" s="585"/>
      <c r="K4" s="578"/>
    </row>
    <row r="5" spans="1:11" s="253" customFormat="1" ht="13.2">
      <c r="A5" s="300" t="s">
        <v>67</v>
      </c>
      <c r="B5" s="583">
        <f>'Sources and Uses Budget'!C5</f>
        <v>0</v>
      </c>
      <c r="C5" s="584"/>
      <c r="D5" s="584"/>
      <c r="E5" s="585"/>
      <c r="F5" s="585"/>
      <c r="G5" s="585"/>
      <c r="H5" s="585"/>
      <c r="I5" s="585"/>
      <c r="J5" s="585"/>
      <c r="K5" s="578"/>
    </row>
    <row r="6" spans="1:11" s="253" customFormat="1" ht="11.4">
      <c r="A6" s="239" t="s">
        <v>342</v>
      </c>
      <c r="B6" s="583">
        <f>'Sources and Uses Budget'!C6</f>
        <v>40732</v>
      </c>
      <c r="C6" s="584"/>
      <c r="D6" s="584"/>
      <c r="E6" s="585"/>
      <c r="F6" s="585"/>
      <c r="G6" s="585"/>
      <c r="H6" s="585"/>
      <c r="I6" s="585"/>
      <c r="J6" s="585"/>
      <c r="K6" s="578"/>
    </row>
    <row r="7" spans="1:11" s="253" customFormat="1" ht="11.4">
      <c r="A7" s="239" t="s">
        <v>281</v>
      </c>
      <c r="B7" s="583">
        <f>'Sources and Uses Budget'!C7</f>
        <v>0</v>
      </c>
      <c r="C7" s="584"/>
      <c r="D7" s="584"/>
      <c r="E7" s="585"/>
      <c r="F7" s="585"/>
      <c r="G7" s="585"/>
      <c r="H7" s="585"/>
      <c r="I7" s="585"/>
      <c r="J7" s="585"/>
      <c r="K7" s="578"/>
    </row>
    <row r="8" spans="1:11" s="253" customFormat="1" ht="13.8">
      <c r="A8" s="301" t="s">
        <v>702</v>
      </c>
      <c r="B8" s="583">
        <f>'Sources and Uses Budget'!C8</f>
        <v>4290732</v>
      </c>
      <c r="C8" s="583">
        <f>SUM(C4:C7)</f>
        <v>0</v>
      </c>
      <c r="D8" s="583">
        <f>SUM(D4:D7)</f>
        <v>0</v>
      </c>
      <c r="E8" s="585"/>
      <c r="F8" s="585"/>
      <c r="G8" s="585"/>
      <c r="H8" s="585"/>
      <c r="I8" s="585"/>
      <c r="J8" s="585"/>
      <c r="K8" s="578"/>
    </row>
    <row r="9" spans="1:11" s="253" customFormat="1" ht="11.4">
      <c r="A9" s="239" t="s">
        <v>1718</v>
      </c>
      <c r="B9" s="583">
        <f>'Sources and Uses Budget'!C9</f>
        <v>0</v>
      </c>
      <c r="C9" s="584"/>
      <c r="D9" s="584"/>
      <c r="E9" s="585"/>
      <c r="F9" s="585"/>
      <c r="G9" s="585"/>
      <c r="H9" s="583">
        <f>'Sources and Uses Budget'!T9</f>
        <v>0</v>
      </c>
      <c r="I9" s="584"/>
      <c r="J9" s="584"/>
      <c r="K9" s="578"/>
    </row>
    <row r="10" spans="1:11" s="253" customFormat="1" ht="13.2">
      <c r="A10" s="300" t="s">
        <v>68</v>
      </c>
      <c r="B10" s="583">
        <f>'Sources and Uses Budget'!C10</f>
        <v>1067083</v>
      </c>
      <c r="C10" s="584"/>
      <c r="D10" s="584"/>
      <c r="E10" s="583">
        <f>'Sources and Uses Budget'!S10</f>
        <v>1067083</v>
      </c>
      <c r="F10" s="584"/>
      <c r="G10" s="584"/>
      <c r="H10" s="583">
        <f>'Sources and Uses Budget'!T10</f>
        <v>0</v>
      </c>
      <c r="I10" s="584"/>
      <c r="J10" s="584"/>
      <c r="K10" s="578"/>
    </row>
    <row r="11" spans="1:11" s="253" customFormat="1">
      <c r="A11" s="243" t="s">
        <v>584</v>
      </c>
      <c r="B11" s="583">
        <f>'Sources and Uses Budget'!C11</f>
        <v>1067083</v>
      </c>
      <c r="C11" s="583">
        <f>SUM(C9:C10)</f>
        <v>0</v>
      </c>
      <c r="D11" s="583">
        <f>SUM(D9:D10)</f>
        <v>0</v>
      </c>
      <c r="E11" s="585"/>
      <c r="F11" s="585"/>
      <c r="G11" s="585"/>
      <c r="H11" s="583">
        <f>'Sources and Uses Budget'!T11</f>
        <v>0</v>
      </c>
      <c r="I11" s="583">
        <f>SUM(I9:I10)</f>
        <v>0</v>
      </c>
      <c r="J11" s="583">
        <f>SUM(J9:J10)</f>
        <v>0</v>
      </c>
      <c r="K11" s="578"/>
    </row>
    <row r="12" spans="1:11" s="253" customFormat="1">
      <c r="A12" s="243" t="s">
        <v>709</v>
      </c>
      <c r="B12" s="583">
        <f>'Sources and Uses Budget'!C12</f>
        <v>5357815</v>
      </c>
      <c r="C12" s="583">
        <f>SUM(C8+C11)</f>
        <v>0</v>
      </c>
      <c r="D12" s="583">
        <f>SUM(D8+D11)</f>
        <v>0</v>
      </c>
      <c r="E12" s="585"/>
      <c r="F12" s="585"/>
      <c r="G12" s="585"/>
      <c r="H12" s="585"/>
      <c r="I12" s="585"/>
      <c r="J12" s="585"/>
      <c r="K12" s="578"/>
    </row>
    <row r="13" spans="1:11" s="253" customFormat="1" ht="11.4">
      <c r="A13" s="455" t="s">
        <v>1108</v>
      </c>
      <c r="B13" s="583">
        <f>'Sources and Uses Budget'!C13</f>
        <v>260311</v>
      </c>
      <c r="C13" s="584"/>
      <c r="D13" s="584"/>
      <c r="E13" s="583">
        <f>'Sources and Uses Budget'!S13</f>
        <v>60000</v>
      </c>
      <c r="F13" s="584"/>
      <c r="G13" s="584"/>
      <c r="H13" s="583">
        <f>'Sources and Uses Budget'!T13</f>
        <v>0</v>
      </c>
      <c r="I13" s="584"/>
      <c r="J13" s="584"/>
      <c r="K13" s="578"/>
    </row>
    <row r="14" spans="1:11" s="253" customFormat="1" ht="22.8">
      <c r="A14" s="239" t="s">
        <v>1139</v>
      </c>
      <c r="B14" s="583">
        <f>'Sources and Uses Budget'!C14</f>
        <v>0</v>
      </c>
      <c r="C14" s="584"/>
      <c r="D14" s="584"/>
      <c r="E14" s="583">
        <f>'Sources and Uses Budget'!S14</f>
        <v>0</v>
      </c>
      <c r="F14" s="584"/>
      <c r="G14" s="584"/>
      <c r="H14" s="583">
        <f>'Sources and Uses Budget'!T14</f>
        <v>0</v>
      </c>
      <c r="I14" s="584"/>
      <c r="J14" s="584"/>
      <c r="K14" s="578"/>
    </row>
    <row r="15" spans="1:11" s="253" customFormat="1" ht="11.4">
      <c r="A15" s="239" t="s">
        <v>1679</v>
      </c>
      <c r="B15" s="583">
        <f>'Sources and Uses Budget'!C15</f>
        <v>0</v>
      </c>
      <c r="C15" s="584"/>
      <c r="D15" s="584"/>
      <c r="E15" s="585">
        <f>'Sources and Uses Budget'!S15</f>
        <v>0</v>
      </c>
      <c r="F15" s="585"/>
      <c r="G15" s="585"/>
      <c r="H15" s="585">
        <f>'Sources and Uses Budget'!T15</f>
        <v>0</v>
      </c>
      <c r="I15" s="585"/>
      <c r="J15" s="585"/>
      <c r="K15" s="578"/>
    </row>
    <row r="16" spans="1:11" s="253" customFormat="1" ht="11.4">
      <c r="A16" s="235" t="s">
        <v>907</v>
      </c>
      <c r="B16" s="582"/>
      <c r="C16" s="582"/>
      <c r="D16" s="582"/>
      <c r="E16" s="582"/>
      <c r="F16" s="582"/>
      <c r="G16" s="582"/>
      <c r="H16" s="582"/>
      <c r="I16" s="582"/>
      <c r="J16" s="582"/>
      <c r="K16" s="578"/>
    </row>
    <row r="17" spans="1:11" s="253" customFormat="1" ht="11.4">
      <c r="A17" s="239" t="s">
        <v>908</v>
      </c>
      <c r="B17" s="583">
        <f>'Sources and Uses Budget'!C17</f>
        <v>0</v>
      </c>
      <c r="C17" s="584"/>
      <c r="D17" s="584"/>
      <c r="E17" s="583">
        <f>'Sources and Uses Budget'!S17</f>
        <v>0</v>
      </c>
      <c r="F17" s="584"/>
      <c r="G17" s="584"/>
      <c r="H17" s="583">
        <f>'Sources and Uses Budget'!T17</f>
        <v>0</v>
      </c>
      <c r="I17" s="584"/>
      <c r="J17" s="584"/>
      <c r="K17" s="578"/>
    </row>
    <row r="18" spans="1:11" s="253" customFormat="1" ht="11.4">
      <c r="A18" s="239" t="s">
        <v>909</v>
      </c>
      <c r="B18" s="583">
        <f>'Sources and Uses Budget'!C18</f>
        <v>0</v>
      </c>
      <c r="C18" s="584"/>
      <c r="D18" s="584"/>
      <c r="E18" s="583">
        <f>'Sources and Uses Budget'!S18</f>
        <v>0</v>
      </c>
      <c r="F18" s="584"/>
      <c r="G18" s="584"/>
      <c r="H18" s="583">
        <f>'Sources and Uses Budget'!T18</f>
        <v>0</v>
      </c>
      <c r="I18" s="584"/>
      <c r="J18" s="584"/>
      <c r="K18" s="578"/>
    </row>
    <row r="19" spans="1:11" s="253" customFormat="1" ht="11.4">
      <c r="A19" s="239" t="s">
        <v>910</v>
      </c>
      <c r="B19" s="583">
        <f>'Sources and Uses Budget'!C19</f>
        <v>0</v>
      </c>
      <c r="C19" s="584"/>
      <c r="D19" s="584"/>
      <c r="E19" s="583">
        <f>'Sources and Uses Budget'!S19</f>
        <v>0</v>
      </c>
      <c r="F19" s="584"/>
      <c r="G19" s="584"/>
      <c r="H19" s="583">
        <f>'Sources and Uses Budget'!T19</f>
        <v>0</v>
      </c>
      <c r="I19" s="584"/>
      <c r="J19" s="584"/>
      <c r="K19" s="578"/>
    </row>
    <row r="20" spans="1:11" s="253" customFormat="1" ht="11.4">
      <c r="A20" s="239" t="s">
        <v>911</v>
      </c>
      <c r="B20" s="583">
        <f>'Sources and Uses Budget'!C20</f>
        <v>0</v>
      </c>
      <c r="C20" s="584"/>
      <c r="D20" s="584"/>
      <c r="E20" s="583">
        <f>'Sources and Uses Budget'!S20</f>
        <v>0</v>
      </c>
      <c r="F20" s="584"/>
      <c r="G20" s="584"/>
      <c r="H20" s="583">
        <f>'Sources and Uses Budget'!T20</f>
        <v>0</v>
      </c>
      <c r="I20" s="584"/>
      <c r="J20" s="584"/>
      <c r="K20" s="578"/>
    </row>
    <row r="21" spans="1:11" s="253" customFormat="1" ht="11.4">
      <c r="A21" s="239" t="s">
        <v>912</v>
      </c>
      <c r="B21" s="583">
        <f>'Sources and Uses Budget'!C21</f>
        <v>0</v>
      </c>
      <c r="C21" s="584"/>
      <c r="D21" s="584"/>
      <c r="E21" s="583">
        <f>'Sources and Uses Budget'!S21</f>
        <v>0</v>
      </c>
      <c r="F21" s="584"/>
      <c r="G21" s="584"/>
      <c r="H21" s="583">
        <f>'Sources and Uses Budget'!T21</f>
        <v>0</v>
      </c>
      <c r="I21" s="584"/>
      <c r="J21" s="584"/>
      <c r="K21" s="578"/>
    </row>
    <row r="22" spans="1:11" s="253" customFormat="1" ht="11.4">
      <c r="A22" s="239" t="s">
        <v>913</v>
      </c>
      <c r="B22" s="583">
        <f>'Sources and Uses Budget'!C22</f>
        <v>0</v>
      </c>
      <c r="C22" s="584"/>
      <c r="D22" s="584"/>
      <c r="E22" s="583">
        <f>'Sources and Uses Budget'!S22</f>
        <v>0</v>
      </c>
      <c r="F22" s="584"/>
      <c r="G22" s="584"/>
      <c r="H22" s="583">
        <f>'Sources and Uses Budget'!T22</f>
        <v>0</v>
      </c>
      <c r="I22" s="584"/>
      <c r="J22" s="584"/>
      <c r="K22" s="578"/>
    </row>
    <row r="23" spans="1:11" s="253" customFormat="1" ht="11.4">
      <c r="A23" s="239" t="s">
        <v>914</v>
      </c>
      <c r="B23" s="583">
        <f>'Sources and Uses Budget'!C23</f>
        <v>0</v>
      </c>
      <c r="C23" s="584"/>
      <c r="D23" s="584"/>
      <c r="E23" s="583">
        <f>'Sources and Uses Budget'!S23</f>
        <v>0</v>
      </c>
      <c r="F23" s="584"/>
      <c r="G23" s="584"/>
      <c r="H23" s="583">
        <f>'Sources and Uses Budget'!T23</f>
        <v>0</v>
      </c>
      <c r="I23" s="584"/>
      <c r="J23" s="584"/>
      <c r="K23" s="578"/>
    </row>
    <row r="24" spans="1:11" s="253" customFormat="1" ht="11.4">
      <c r="A24" s="239" t="str">
        <f>'Sources and Uses Budget'!$A25</f>
        <v>Other: (Specify)</v>
      </c>
      <c r="B24" s="583">
        <f>'Sources and Uses Budget'!C25</f>
        <v>0</v>
      </c>
      <c r="C24" s="584"/>
      <c r="D24" s="584"/>
      <c r="E24" s="583">
        <f>'Sources and Uses Budget'!S25</f>
        <v>0</v>
      </c>
      <c r="F24" s="584"/>
      <c r="G24" s="584"/>
      <c r="H24" s="583">
        <f>'Sources and Uses Budget'!T25</f>
        <v>0</v>
      </c>
      <c r="I24" s="584"/>
      <c r="J24" s="584"/>
      <c r="K24" s="578"/>
    </row>
    <row r="25" spans="1:11" s="253" customFormat="1">
      <c r="A25" s="243" t="s">
        <v>221</v>
      </c>
      <c r="B25" s="583">
        <f>'Sources and Uses Budget'!C26</f>
        <v>0</v>
      </c>
      <c r="C25" s="583">
        <f>SUM(C17:C24)</f>
        <v>0</v>
      </c>
      <c r="D25" s="583">
        <f>SUM(D17:D24)</f>
        <v>0</v>
      </c>
      <c r="E25" s="583">
        <f>'Sources and Uses Budget'!S26</f>
        <v>0</v>
      </c>
      <c r="F25" s="586">
        <f>SUM(F17:F24)</f>
        <v>0</v>
      </c>
      <c r="G25" s="586">
        <f>SUM(G17:G24)</f>
        <v>0</v>
      </c>
      <c r="H25" s="583">
        <f>'Sources and Uses Budget'!T26</f>
        <v>0</v>
      </c>
      <c r="I25" s="586">
        <f>SUM(I17:I24)</f>
        <v>0</v>
      </c>
      <c r="J25" s="586">
        <f>SUM(J17:J24)</f>
        <v>0</v>
      </c>
      <c r="K25" s="578"/>
    </row>
    <row r="26" spans="1:11" s="253" customFormat="1">
      <c r="A26" s="243" t="s">
        <v>915</v>
      </c>
      <c r="B26" s="583">
        <f>'Sources and Uses Budget'!C27</f>
        <v>0</v>
      </c>
      <c r="C26" s="584"/>
      <c r="D26" s="584"/>
      <c r="E26" s="583">
        <f>'Sources and Uses Budget'!S27</f>
        <v>0</v>
      </c>
      <c r="F26" s="584"/>
      <c r="G26" s="584"/>
      <c r="H26" s="583">
        <f>'Sources and Uses Budget'!T27</f>
        <v>0</v>
      </c>
      <c r="I26" s="584"/>
      <c r="J26" s="584"/>
      <c r="K26" s="578"/>
    </row>
    <row r="27" spans="1:11" s="253" customFormat="1" ht="11.4">
      <c r="A27" s="235" t="s">
        <v>916</v>
      </c>
      <c r="B27" s="582"/>
      <c r="C27" s="582"/>
      <c r="D27" s="582"/>
      <c r="E27" s="582"/>
      <c r="F27" s="582"/>
      <c r="G27" s="582"/>
      <c r="H27" s="582"/>
      <c r="I27" s="582"/>
      <c r="J27" s="582"/>
      <c r="K27" s="578"/>
    </row>
    <row r="28" spans="1:11" s="253" customFormat="1" ht="11.4">
      <c r="A28" s="239" t="s">
        <v>908</v>
      </c>
      <c r="B28" s="583">
        <f>'Sources and Uses Budget'!C29</f>
        <v>3369350</v>
      </c>
      <c r="C28" s="584"/>
      <c r="D28" s="584"/>
      <c r="E28" s="583">
        <f>'Sources and Uses Budget'!S29</f>
        <v>3369350</v>
      </c>
      <c r="F28" s="584"/>
      <c r="G28" s="584"/>
      <c r="H28" s="583">
        <f>'Sources and Uses Budget'!T29</f>
        <v>0</v>
      </c>
      <c r="I28" s="584"/>
      <c r="J28" s="584"/>
      <c r="K28" s="578"/>
    </row>
    <row r="29" spans="1:11" s="253" customFormat="1" ht="11.4">
      <c r="A29" s="239" t="s">
        <v>909</v>
      </c>
      <c r="B29" s="583">
        <f>'Sources and Uses Budget'!C30</f>
        <v>28204904</v>
      </c>
      <c r="C29" s="584"/>
      <c r="D29" s="584"/>
      <c r="E29" s="583">
        <f>'Sources and Uses Budget'!S30</f>
        <v>28204904</v>
      </c>
      <c r="F29" s="584"/>
      <c r="G29" s="584"/>
      <c r="H29" s="583">
        <f>'Sources and Uses Budget'!T30</f>
        <v>0</v>
      </c>
      <c r="I29" s="584"/>
      <c r="J29" s="584"/>
      <c r="K29" s="578"/>
    </row>
    <row r="30" spans="1:11" s="253" customFormat="1" ht="11.4">
      <c r="A30" s="239" t="s">
        <v>910</v>
      </c>
      <c r="B30" s="583">
        <f>'Sources and Uses Budget'!C31</f>
        <v>1512505</v>
      </c>
      <c r="C30" s="584"/>
      <c r="D30" s="584"/>
      <c r="E30" s="583">
        <f>'Sources and Uses Budget'!S31</f>
        <v>1512505</v>
      </c>
      <c r="F30" s="584"/>
      <c r="G30" s="584"/>
      <c r="H30" s="583">
        <f>'Sources and Uses Budget'!T31</f>
        <v>0</v>
      </c>
      <c r="I30" s="584"/>
      <c r="J30" s="584"/>
      <c r="K30" s="578"/>
    </row>
    <row r="31" spans="1:11" s="253" customFormat="1" ht="11.4">
      <c r="A31" s="239" t="s">
        <v>911</v>
      </c>
      <c r="B31" s="583">
        <f>'Sources and Uses Budget'!C32</f>
        <v>1451538</v>
      </c>
      <c r="C31" s="584"/>
      <c r="D31" s="584"/>
      <c r="E31" s="583">
        <f>'Sources and Uses Budget'!S32</f>
        <v>1451538</v>
      </c>
      <c r="F31" s="584"/>
      <c r="G31" s="584"/>
      <c r="H31" s="583">
        <f>'Sources and Uses Budget'!T32</f>
        <v>0</v>
      </c>
      <c r="I31" s="584"/>
      <c r="J31" s="584"/>
      <c r="K31" s="578"/>
    </row>
    <row r="32" spans="1:11" s="253" customFormat="1" ht="11.4">
      <c r="A32" s="239" t="s">
        <v>912</v>
      </c>
      <c r="B32" s="583">
        <f>'Sources and Uses Budget'!C33</f>
        <v>0</v>
      </c>
      <c r="C32" s="584"/>
      <c r="D32" s="584"/>
      <c r="E32" s="583">
        <f>'Sources and Uses Budget'!S33</f>
        <v>0</v>
      </c>
      <c r="F32" s="584"/>
      <c r="G32" s="584"/>
      <c r="H32" s="583">
        <f>'Sources and Uses Budget'!T33</f>
        <v>0</v>
      </c>
      <c r="I32" s="584"/>
      <c r="J32" s="584"/>
      <c r="K32" s="578"/>
    </row>
    <row r="33" spans="1:11" s="253" customFormat="1" ht="11.4">
      <c r="A33" s="239" t="s">
        <v>913</v>
      </c>
      <c r="B33" s="583">
        <f>'Sources and Uses Budget'!C34</f>
        <v>0</v>
      </c>
      <c r="C33" s="584"/>
      <c r="D33" s="584"/>
      <c r="E33" s="583">
        <f>'Sources and Uses Budget'!S34</f>
        <v>0</v>
      </c>
      <c r="F33" s="584"/>
      <c r="G33" s="584"/>
      <c r="H33" s="583">
        <f>'Sources and Uses Budget'!T34</f>
        <v>0</v>
      </c>
      <c r="I33" s="584"/>
      <c r="J33" s="584"/>
      <c r="K33" s="578"/>
    </row>
    <row r="34" spans="1:11" s="253" customFormat="1" ht="11.4">
      <c r="A34" s="239" t="s">
        <v>914</v>
      </c>
      <c r="B34" s="583">
        <f>'Sources and Uses Budget'!C35</f>
        <v>454246</v>
      </c>
      <c r="C34" s="584"/>
      <c r="D34" s="584"/>
      <c r="E34" s="583">
        <f>'Sources and Uses Budget'!S35</f>
        <v>454246</v>
      </c>
      <c r="F34" s="584"/>
      <c r="G34" s="584"/>
      <c r="H34" s="583">
        <f>'Sources and Uses Budget'!T35</f>
        <v>0</v>
      </c>
      <c r="I34" s="584"/>
      <c r="J34" s="584"/>
      <c r="K34" s="578"/>
    </row>
    <row r="35" spans="1:11" s="253" customFormat="1" ht="11.4">
      <c r="A35" s="239" t="str">
        <f>'Sources and Uses Budget'!$A36</f>
        <v>Third-party Construction Management</v>
      </c>
      <c r="B35" s="583">
        <f>'Sources and Uses Budget'!C36</f>
        <v>0</v>
      </c>
      <c r="C35" s="584"/>
      <c r="D35" s="584"/>
      <c r="E35" s="583">
        <f>'Sources and Uses Budget'!S36</f>
        <v>0</v>
      </c>
      <c r="F35" s="584"/>
      <c r="G35" s="584"/>
      <c r="H35" s="583">
        <f>'Sources and Uses Budget'!T36</f>
        <v>0</v>
      </c>
      <c r="I35" s="584"/>
      <c r="J35" s="584"/>
      <c r="K35" s="578"/>
    </row>
    <row r="36" spans="1:11" s="253" customFormat="1" ht="11.4">
      <c r="A36" s="239" t="str">
        <f>'Sources and Uses Budget'!$A37</f>
        <v>Other: (Specify)</v>
      </c>
      <c r="B36" s="583">
        <f>'Sources and Uses Budget'!C37</f>
        <v>0</v>
      </c>
      <c r="C36" s="584"/>
      <c r="D36" s="584"/>
      <c r="E36" s="583">
        <f>'Sources and Uses Budget'!S37</f>
        <v>0</v>
      </c>
      <c r="F36" s="584"/>
      <c r="G36" s="584"/>
      <c r="H36" s="583">
        <f>'Sources and Uses Budget'!T37</f>
        <v>0</v>
      </c>
      <c r="I36" s="584"/>
      <c r="J36" s="584"/>
      <c r="K36" s="578"/>
    </row>
    <row r="37" spans="1:11" s="253" customFormat="1">
      <c r="A37" s="243" t="s">
        <v>917</v>
      </c>
      <c r="B37" s="583">
        <f>'Sources and Uses Budget'!C38</f>
        <v>34992543</v>
      </c>
      <c r="C37" s="583">
        <f>SUM(C28:C36)</f>
        <v>0</v>
      </c>
      <c r="D37" s="583">
        <f>SUM(D28:D36)</f>
        <v>0</v>
      </c>
      <c r="E37" s="583">
        <f>'Sources and Uses Budget'!S38</f>
        <v>34992543</v>
      </c>
      <c r="F37" s="586">
        <f>SUM(F28:F36)</f>
        <v>0</v>
      </c>
      <c r="G37" s="586">
        <f>SUM(G28:G36)</f>
        <v>0</v>
      </c>
      <c r="H37" s="583">
        <f>'Sources and Uses Budget'!T38</f>
        <v>0</v>
      </c>
      <c r="I37" s="586">
        <f>SUM(I28:I36)</f>
        <v>0</v>
      </c>
      <c r="J37" s="586">
        <f>SUM(J28:J36)</f>
        <v>0</v>
      </c>
      <c r="K37" s="578"/>
    </row>
    <row r="38" spans="1:11" s="253" customFormat="1" ht="11.4">
      <c r="A38" s="235" t="s">
        <v>918</v>
      </c>
      <c r="B38" s="582"/>
      <c r="C38" s="582"/>
      <c r="D38" s="582"/>
      <c r="E38" s="582"/>
      <c r="F38" s="582"/>
      <c r="G38" s="582"/>
      <c r="H38" s="582"/>
      <c r="I38" s="582"/>
      <c r="J38" s="582"/>
      <c r="K38" s="578"/>
    </row>
    <row r="39" spans="1:11" s="253" customFormat="1" ht="11.4">
      <c r="A39" s="239" t="s">
        <v>919</v>
      </c>
      <c r="B39" s="583">
        <f>'Sources and Uses Budget'!C40</f>
        <v>1633545</v>
      </c>
      <c r="C39" s="584"/>
      <c r="D39" s="584"/>
      <c r="E39" s="583">
        <f>'Sources and Uses Budget'!S40</f>
        <v>1633545</v>
      </c>
      <c r="F39" s="584"/>
      <c r="G39" s="584"/>
      <c r="H39" s="583">
        <f>'Sources and Uses Budget'!T40</f>
        <v>0</v>
      </c>
      <c r="I39" s="584"/>
      <c r="J39" s="584"/>
      <c r="K39" s="578"/>
    </row>
    <row r="40" spans="1:11" s="253" customFormat="1" ht="11.4">
      <c r="A40" s="239" t="s">
        <v>920</v>
      </c>
      <c r="B40" s="583">
        <f>'Sources and Uses Budget'!C41</f>
        <v>613625</v>
      </c>
      <c r="C40" s="584"/>
      <c r="D40" s="584"/>
      <c r="E40" s="583">
        <f>'Sources and Uses Budget'!S41</f>
        <v>613625</v>
      </c>
      <c r="F40" s="584"/>
      <c r="G40" s="584"/>
      <c r="H40" s="583">
        <f>'Sources and Uses Budget'!T41</f>
        <v>0</v>
      </c>
      <c r="I40" s="584"/>
      <c r="J40" s="584"/>
      <c r="K40" s="578"/>
    </row>
    <row r="41" spans="1:11" s="253" customFormat="1">
      <c r="A41" s="243" t="s">
        <v>921</v>
      </c>
      <c r="B41" s="583">
        <f>'Sources and Uses Budget'!C42</f>
        <v>2247170</v>
      </c>
      <c r="C41" s="583">
        <f>SUM(C38:C40)</f>
        <v>0</v>
      </c>
      <c r="D41" s="583">
        <f>SUM(D38:D40)</f>
        <v>0</v>
      </c>
      <c r="E41" s="583">
        <f>'Sources and Uses Budget'!S42</f>
        <v>2247170</v>
      </c>
      <c r="F41" s="586">
        <f>SUM(F39:F40)</f>
        <v>0</v>
      </c>
      <c r="G41" s="586">
        <f>SUM(G39:G40)</f>
        <v>0</v>
      </c>
      <c r="H41" s="583">
        <f>'Sources and Uses Budget'!T42</f>
        <v>0</v>
      </c>
      <c r="I41" s="586">
        <f>SUM(I39:I40)</f>
        <v>0</v>
      </c>
      <c r="J41" s="586">
        <f>SUM(J39:J40)</f>
        <v>0</v>
      </c>
      <c r="K41" s="578"/>
    </row>
    <row r="42" spans="1:11" s="253" customFormat="1">
      <c r="A42" s="243" t="s">
        <v>922</v>
      </c>
      <c r="B42" s="583">
        <f>'Sources and Uses Budget'!C43</f>
        <v>1139220</v>
      </c>
      <c r="C42" s="584"/>
      <c r="D42" s="584"/>
      <c r="E42" s="583">
        <f>'Sources and Uses Budget'!S43</f>
        <v>1139220</v>
      </c>
      <c r="F42" s="584"/>
      <c r="G42" s="584"/>
      <c r="H42" s="583">
        <f>'Sources and Uses Budget'!T43</f>
        <v>0</v>
      </c>
      <c r="I42" s="584"/>
      <c r="J42" s="584"/>
      <c r="K42" s="578"/>
    </row>
    <row r="43" spans="1:11" s="253" customFormat="1" ht="11.4">
      <c r="A43" s="235" t="s">
        <v>923</v>
      </c>
      <c r="B43" s="582"/>
      <c r="C43" s="582"/>
      <c r="D43" s="582"/>
      <c r="E43" s="582"/>
      <c r="F43" s="582"/>
      <c r="G43" s="582"/>
      <c r="H43" s="582"/>
      <c r="I43" s="582"/>
      <c r="J43" s="582"/>
      <c r="K43" s="578"/>
    </row>
    <row r="44" spans="1:11" s="253" customFormat="1" ht="11.4">
      <c r="A44" s="239" t="s">
        <v>924</v>
      </c>
      <c r="B44" s="583">
        <f>'Sources and Uses Budget'!C45</f>
        <v>2561057</v>
      </c>
      <c r="C44" s="584"/>
      <c r="D44" s="584"/>
      <c r="E44" s="583">
        <f>'Sources and Uses Budget'!S45</f>
        <v>1301753</v>
      </c>
      <c r="F44" s="584"/>
      <c r="G44" s="584"/>
      <c r="H44" s="583">
        <f>'Sources and Uses Budget'!T45</f>
        <v>0</v>
      </c>
      <c r="I44" s="584"/>
      <c r="J44" s="584"/>
      <c r="K44" s="578"/>
    </row>
    <row r="45" spans="1:11" s="253" customFormat="1" ht="11.4">
      <c r="A45" s="239" t="s">
        <v>925</v>
      </c>
      <c r="B45" s="583">
        <f>'Sources and Uses Budget'!C46</f>
        <v>268897</v>
      </c>
      <c r="C45" s="584"/>
      <c r="D45" s="584"/>
      <c r="E45" s="583">
        <f>'Sources and Uses Budget'!S46</f>
        <v>113375</v>
      </c>
      <c r="F45" s="584"/>
      <c r="G45" s="584"/>
      <c r="H45" s="583">
        <f>'Sources and Uses Budget'!T46</f>
        <v>0</v>
      </c>
      <c r="I45" s="584"/>
      <c r="J45" s="584"/>
      <c r="K45" s="578"/>
    </row>
    <row r="46" spans="1:11" s="253" customFormat="1" ht="12" customHeight="1">
      <c r="A46" s="239" t="s">
        <v>926</v>
      </c>
      <c r="B46" s="583">
        <f>'Sources and Uses Budget'!C47</f>
        <v>0</v>
      </c>
      <c r="C46" s="584"/>
      <c r="D46" s="584"/>
      <c r="E46" s="583">
        <f>'Sources and Uses Budget'!S47</f>
        <v>0</v>
      </c>
      <c r="F46" s="584"/>
      <c r="G46" s="584"/>
      <c r="H46" s="583">
        <f>'Sources and Uses Budget'!T47</f>
        <v>0</v>
      </c>
      <c r="I46" s="584"/>
      <c r="J46" s="584"/>
      <c r="K46" s="578"/>
    </row>
    <row r="47" spans="1:11" s="253" customFormat="1" ht="11.4">
      <c r="A47" s="239" t="s">
        <v>927</v>
      </c>
      <c r="B47" s="583">
        <f>'Sources and Uses Budget'!C48</f>
        <v>0</v>
      </c>
      <c r="C47" s="584"/>
      <c r="D47" s="584"/>
      <c r="E47" s="583">
        <f>'Sources and Uses Budget'!S48</f>
        <v>0</v>
      </c>
      <c r="F47" s="584"/>
      <c r="G47" s="584"/>
      <c r="H47" s="583">
        <f>'Sources and Uses Budget'!T48</f>
        <v>0</v>
      </c>
      <c r="I47" s="584"/>
      <c r="J47" s="584"/>
      <c r="K47" s="578"/>
    </row>
    <row r="48" spans="1:11" s="253" customFormat="1" ht="11.4">
      <c r="A48" s="239" t="s">
        <v>930</v>
      </c>
      <c r="B48" s="583">
        <f>'Sources and Uses Budget'!C49</f>
        <v>85000</v>
      </c>
      <c r="C48" s="584"/>
      <c r="D48" s="584"/>
      <c r="E48" s="583">
        <f>'Sources and Uses Budget'!S49</f>
        <v>85000</v>
      </c>
      <c r="F48" s="584"/>
      <c r="G48" s="584"/>
      <c r="H48" s="583">
        <f>'Sources and Uses Budget'!T49</f>
        <v>0</v>
      </c>
      <c r="I48" s="584"/>
      <c r="J48" s="584"/>
      <c r="K48" s="578"/>
    </row>
    <row r="49" spans="1:11" s="253" customFormat="1" ht="11.4">
      <c r="A49" s="239" t="s">
        <v>928</v>
      </c>
      <c r="B49" s="583">
        <f>'Sources and Uses Budget'!C50</f>
        <v>61889</v>
      </c>
      <c r="C49" s="584"/>
      <c r="D49" s="584"/>
      <c r="E49" s="583">
        <f>'Sources and Uses Budget'!S50</f>
        <v>61889</v>
      </c>
      <c r="F49" s="584"/>
      <c r="G49" s="584"/>
      <c r="H49" s="583">
        <f>'Sources and Uses Budget'!T50</f>
        <v>0</v>
      </c>
      <c r="I49" s="584"/>
      <c r="J49" s="584"/>
      <c r="K49" s="578"/>
    </row>
    <row r="50" spans="1:11" s="253" customFormat="1" ht="11.4">
      <c r="A50" s="239" t="s">
        <v>929</v>
      </c>
      <c r="B50" s="583">
        <f>'Sources and Uses Budget'!C51</f>
        <v>605802</v>
      </c>
      <c r="C50" s="584"/>
      <c r="D50" s="584"/>
      <c r="E50" s="583">
        <f>'Sources and Uses Budget'!S51</f>
        <v>605802</v>
      </c>
      <c r="F50" s="584"/>
      <c r="G50" s="584"/>
      <c r="H50" s="583">
        <f>'Sources and Uses Budget'!T51</f>
        <v>0</v>
      </c>
      <c r="I50" s="584"/>
      <c r="J50" s="584"/>
      <c r="K50" s="578"/>
    </row>
    <row r="51" spans="1:11" s="253" customFormat="1" ht="11.4">
      <c r="A51" s="239" t="str">
        <f>'Sources and Uses Budget'!$A52</f>
        <v>Other: (Specify)</v>
      </c>
      <c r="B51" s="583">
        <f>'Sources and Uses Budget'!C52</f>
        <v>0</v>
      </c>
      <c r="C51" s="584"/>
      <c r="D51" s="584"/>
      <c r="E51" s="583">
        <f>'Sources and Uses Budget'!S52</f>
        <v>0</v>
      </c>
      <c r="F51" s="584"/>
      <c r="G51" s="584"/>
      <c r="H51" s="583">
        <f>'Sources and Uses Budget'!T52</f>
        <v>0</v>
      </c>
      <c r="I51" s="584"/>
      <c r="J51" s="584"/>
      <c r="K51" s="578"/>
    </row>
    <row r="52" spans="1:11" s="576" customFormat="1">
      <c r="A52" s="243" t="s">
        <v>931</v>
      </c>
      <c r="B52" s="583">
        <f>'Sources and Uses Budget'!C53</f>
        <v>3582645</v>
      </c>
      <c r="C52" s="586">
        <f>SUM(C44:C51)</f>
        <v>0</v>
      </c>
      <c r="D52" s="586">
        <f>SUM(D44:D51)</f>
        <v>0</v>
      </c>
      <c r="E52" s="583">
        <f>'Sources and Uses Budget'!S53</f>
        <v>2167819</v>
      </c>
      <c r="F52" s="586">
        <f>SUM(F44:F51)</f>
        <v>0</v>
      </c>
      <c r="G52" s="586">
        <f>SUM(G44:G51)</f>
        <v>0</v>
      </c>
      <c r="H52" s="583">
        <f>'Sources and Uses Budget'!T53</f>
        <v>0</v>
      </c>
      <c r="I52" s="586">
        <f>SUM(I44:I51)</f>
        <v>0</v>
      </c>
      <c r="J52" s="586">
        <f>SUM(J44:J51)</f>
        <v>0</v>
      </c>
      <c r="K52" s="579"/>
    </row>
    <row r="53" spans="1:11" s="253" customFormat="1" ht="11.4">
      <c r="A53" s="235" t="s">
        <v>681</v>
      </c>
      <c r="B53" s="582"/>
      <c r="C53" s="582"/>
      <c r="D53" s="582"/>
      <c r="E53" s="582"/>
      <c r="F53" s="582"/>
      <c r="G53" s="582"/>
      <c r="H53" s="582"/>
      <c r="I53" s="582"/>
      <c r="J53" s="582"/>
      <c r="K53" s="578"/>
    </row>
    <row r="54" spans="1:11" s="253" customFormat="1" ht="11.4">
      <c r="A54" s="239" t="s">
        <v>932</v>
      </c>
      <c r="B54" s="583">
        <f>'Sources and Uses Budget'!C55</f>
        <v>54430</v>
      </c>
      <c r="C54" s="584"/>
      <c r="D54" s="584"/>
      <c r="E54" s="585"/>
      <c r="F54" s="585"/>
      <c r="G54" s="585"/>
      <c r="H54" s="585"/>
      <c r="I54" s="585"/>
      <c r="J54" s="585"/>
      <c r="K54" s="578"/>
    </row>
    <row r="55" spans="1:11" s="253" customFormat="1" ht="12" customHeight="1">
      <c r="A55" s="239" t="s">
        <v>926</v>
      </c>
      <c r="B55" s="583">
        <f>'Sources and Uses Budget'!C56</f>
        <v>0</v>
      </c>
      <c r="C55" s="584"/>
      <c r="D55" s="584"/>
      <c r="E55" s="585"/>
      <c r="F55" s="585"/>
      <c r="G55" s="585"/>
      <c r="H55" s="585"/>
      <c r="I55" s="585"/>
      <c r="J55" s="585"/>
      <c r="K55" s="578"/>
    </row>
    <row r="56" spans="1:11" s="253" customFormat="1" ht="11.4">
      <c r="A56" s="239" t="s">
        <v>930</v>
      </c>
      <c r="B56" s="583">
        <f>'Sources and Uses Budget'!C57</f>
        <v>15000</v>
      </c>
      <c r="C56" s="584"/>
      <c r="D56" s="584"/>
      <c r="E56" s="585"/>
      <c r="F56" s="585"/>
      <c r="G56" s="585"/>
      <c r="H56" s="585"/>
      <c r="I56" s="585"/>
      <c r="J56" s="585"/>
      <c r="K56" s="578"/>
    </row>
    <row r="57" spans="1:11" s="253" customFormat="1" ht="11.4">
      <c r="A57" s="239" t="s">
        <v>928</v>
      </c>
      <c r="B57" s="583">
        <f>'Sources and Uses Budget'!C58</f>
        <v>0</v>
      </c>
      <c r="C57" s="584"/>
      <c r="D57" s="584"/>
      <c r="E57" s="585"/>
      <c r="F57" s="585"/>
      <c r="G57" s="585"/>
      <c r="H57" s="585"/>
      <c r="I57" s="585"/>
      <c r="J57" s="585"/>
      <c r="K57" s="578"/>
    </row>
    <row r="58" spans="1:11" s="253" customFormat="1" ht="11.4">
      <c r="A58" s="239" t="s">
        <v>929</v>
      </c>
      <c r="B58" s="583">
        <f>'Sources and Uses Budget'!C59</f>
        <v>0</v>
      </c>
      <c r="C58" s="584"/>
      <c r="D58" s="584"/>
      <c r="E58" s="585"/>
      <c r="F58" s="585"/>
      <c r="G58" s="585"/>
      <c r="H58" s="585"/>
      <c r="I58" s="585"/>
      <c r="J58" s="585"/>
      <c r="K58" s="578"/>
    </row>
    <row r="59" spans="1:11" s="253" customFormat="1" ht="11.4">
      <c r="A59" s="239" t="str">
        <f>'Sources and Uses Budget'!$A60</f>
        <v>Borrower Legal-Perm Loans</v>
      </c>
      <c r="B59" s="583">
        <f>'Sources and Uses Budget'!C60</f>
        <v>55000</v>
      </c>
      <c r="C59" s="584"/>
      <c r="D59" s="584"/>
      <c r="E59" s="585"/>
      <c r="F59" s="585"/>
      <c r="G59" s="585"/>
      <c r="H59" s="585"/>
      <c r="I59" s="585"/>
      <c r="J59" s="585"/>
      <c r="K59" s="578"/>
    </row>
    <row r="60" spans="1:11" s="253" customFormat="1" ht="13.95" customHeight="1">
      <c r="A60" s="243" t="s">
        <v>499</v>
      </c>
      <c r="B60" s="583">
        <f>'Sources and Uses Budget'!C61</f>
        <v>124430</v>
      </c>
      <c r="C60" s="583">
        <f>SUM(C54:C59)</f>
        <v>0</v>
      </c>
      <c r="D60" s="583">
        <f>SUM(D54:D59)</f>
        <v>0</v>
      </c>
      <c r="E60" s="585"/>
      <c r="F60" s="585"/>
      <c r="G60" s="585"/>
      <c r="H60" s="585"/>
      <c r="I60" s="585"/>
      <c r="J60" s="585"/>
      <c r="K60" s="578"/>
    </row>
    <row r="61" spans="1:11" s="253" customFormat="1" ht="11.4">
      <c r="A61" s="249" t="s">
        <v>500</v>
      </c>
      <c r="B61" s="583">
        <f>'Sources and Uses Budget'!C62</f>
        <v>47704134</v>
      </c>
      <c r="C61" s="583">
        <f>SUM(C8+C11+C13+C14+C15+C25+C26+C37+C41+C42+C52+C60)</f>
        <v>0</v>
      </c>
      <c r="D61" s="583">
        <f>SUM(D8+D11+D13+D14+D15+D25+D26+D37+D41+D42+D52+D60)</f>
        <v>0</v>
      </c>
      <c r="E61" s="583">
        <f>'Sources and Uses Budget'!S62</f>
        <v>41673835</v>
      </c>
      <c r="F61" s="583">
        <f>SUM(F10+F13+F14+F15+F25+F26+F37+F41+F42+F52)</f>
        <v>0</v>
      </c>
      <c r="G61" s="583">
        <f>SUM(G10+G13+G14+G15+G25+G26+G37+G41+G42+G52)</f>
        <v>0</v>
      </c>
      <c r="H61" s="583">
        <f>'Sources and Uses Budget'!T62</f>
        <v>0</v>
      </c>
      <c r="I61" s="583">
        <f>SUM(I11+I13+I14+I15+I25+I26+I37+I41+I42+I52)</f>
        <v>0</v>
      </c>
      <c r="J61" s="583">
        <f>SUM(J11+J13+J14+J15+J25+J26+J37+J41+J42+J52)</f>
        <v>0</v>
      </c>
      <c r="K61" s="578"/>
    </row>
    <row r="62" spans="1:11" s="253" customFormat="1" ht="22.8">
      <c r="A62" s="235" t="s">
        <v>1951</v>
      </c>
      <c r="B62" s="582"/>
      <c r="C62" s="582"/>
      <c r="D62" s="582"/>
      <c r="E62" s="582"/>
      <c r="F62" s="582"/>
      <c r="G62" s="582"/>
      <c r="H62" s="582"/>
      <c r="I62" s="582"/>
      <c r="J62" s="582"/>
      <c r="K62" s="578"/>
    </row>
    <row r="63" spans="1:11" s="253" customFormat="1" ht="11.4">
      <c r="A63" s="239" t="s">
        <v>283</v>
      </c>
      <c r="B63" s="583">
        <f>'Sources and Uses Budget'!C64</f>
        <v>85000</v>
      </c>
      <c r="C63" s="584"/>
      <c r="D63" s="584"/>
      <c r="E63" s="583">
        <f>'Sources and Uses Budget'!S64</f>
        <v>35839</v>
      </c>
      <c r="F63" s="584"/>
      <c r="G63" s="584"/>
      <c r="H63" s="583">
        <f>'Sources and Uses Budget'!T64</f>
        <v>0</v>
      </c>
      <c r="I63" s="584"/>
      <c r="J63" s="584"/>
      <c r="K63" s="578"/>
    </row>
    <row r="64" spans="1:11" s="253" customFormat="1" ht="22.8">
      <c r="A64" s="239" t="s">
        <v>1952</v>
      </c>
      <c r="B64" s="583">
        <f>'Sources and Uses Budget'!C65</f>
        <v>0</v>
      </c>
      <c r="C64" s="584"/>
      <c r="D64" s="584"/>
      <c r="E64" s="583">
        <f>'Sources and Uses Budget'!S65</f>
        <v>0</v>
      </c>
      <c r="F64" s="584"/>
      <c r="G64" s="584"/>
      <c r="H64" s="583">
        <f>'Sources and Uses Budget'!T65</f>
        <v>0</v>
      </c>
      <c r="I64" s="584"/>
      <c r="J64" s="584"/>
      <c r="K64" s="578"/>
    </row>
    <row r="65" spans="1:11" s="253" customFormat="1" ht="22.8">
      <c r="A65" s="239" t="s">
        <v>1953</v>
      </c>
      <c r="B65" s="583">
        <f>'Sources and Uses Budget'!C66</f>
        <v>0</v>
      </c>
      <c r="C65" s="584"/>
      <c r="D65" s="584"/>
      <c r="E65" s="583">
        <f>'Sources and Uses Budget'!S66</f>
        <v>0</v>
      </c>
      <c r="F65" s="584"/>
      <c r="G65" s="584"/>
      <c r="H65" s="583">
        <f>'Sources and Uses Budget'!T66</f>
        <v>0</v>
      </c>
      <c r="I65" s="584"/>
      <c r="J65" s="584"/>
      <c r="K65" s="578"/>
    </row>
    <row r="66" spans="1:11" s="253" customFormat="1" ht="11.4">
      <c r="A66" s="239" t="s">
        <v>1954</v>
      </c>
      <c r="B66" s="583">
        <f>'Sources and Uses Budget'!C67</f>
        <v>0</v>
      </c>
      <c r="C66" s="584"/>
      <c r="D66" s="584"/>
      <c r="E66" s="583">
        <f>'Sources and Uses Budget'!S67</f>
        <v>0</v>
      </c>
      <c r="F66" s="584"/>
      <c r="G66" s="584"/>
      <c r="H66" s="583">
        <f>'Sources and Uses Budget'!T67</f>
        <v>0</v>
      </c>
      <c r="I66" s="584"/>
      <c r="J66" s="584"/>
      <c r="K66" s="578"/>
    </row>
    <row r="67" spans="1:11" s="253" customFormat="1" ht="11.4">
      <c r="A67" s="239" t="str">
        <f>'Sources and Uses Budget'!$A68</f>
        <v>Borrower Legal</v>
      </c>
      <c r="B67" s="583">
        <f>'Sources and Uses Budget'!C68</f>
        <v>134000</v>
      </c>
      <c r="C67" s="584"/>
      <c r="D67" s="584"/>
      <c r="E67" s="583">
        <f>'Sources and Uses Budget'!S68</f>
        <v>50000</v>
      </c>
      <c r="F67" s="584"/>
      <c r="G67" s="584"/>
      <c r="H67" s="583">
        <f>'Sources and Uses Budget'!T68</f>
        <v>0</v>
      </c>
      <c r="I67" s="584"/>
      <c r="J67" s="584"/>
      <c r="K67" s="578"/>
    </row>
    <row r="68" spans="1:11" s="253" customFormat="1">
      <c r="A68" s="243" t="s">
        <v>1955</v>
      </c>
      <c r="B68" s="583">
        <f>'Sources and Uses Budget'!C69</f>
        <v>219000</v>
      </c>
      <c r="C68" s="583">
        <f>SUM(C62:C67)</f>
        <v>0</v>
      </c>
      <c r="D68" s="583">
        <f>SUM(D62:D67)</f>
        <v>0</v>
      </c>
      <c r="E68" s="583">
        <f>'Sources and Uses Budget'!S69</f>
        <v>85839</v>
      </c>
      <c r="F68" s="586">
        <f>SUM(F63:F67)</f>
        <v>0</v>
      </c>
      <c r="G68" s="586">
        <f>SUM(G63:G67)</f>
        <v>0</v>
      </c>
      <c r="H68" s="583">
        <f>'Sources and Uses Budget'!T69</f>
        <v>0</v>
      </c>
      <c r="I68" s="586">
        <f>SUM(I63:I67)</f>
        <v>0</v>
      </c>
      <c r="J68" s="586">
        <f>SUM(J63:J67)</f>
        <v>0</v>
      </c>
      <c r="K68" s="578"/>
    </row>
    <row r="69" spans="1:11" s="253" customFormat="1" ht="11.4">
      <c r="A69" s="235" t="s">
        <v>284</v>
      </c>
      <c r="B69" s="582"/>
      <c r="C69" s="582"/>
      <c r="D69" s="582"/>
      <c r="E69" s="582"/>
      <c r="F69" s="582"/>
      <c r="G69" s="582"/>
      <c r="H69" s="582"/>
      <c r="I69" s="582"/>
      <c r="J69" s="582"/>
      <c r="K69" s="578"/>
    </row>
    <row r="70" spans="1:11" s="253" customFormat="1" ht="11.4">
      <c r="A70" s="239" t="s">
        <v>285</v>
      </c>
      <c r="B70" s="583">
        <f>'Sources and Uses Budget'!C71</f>
        <v>0</v>
      </c>
      <c r="C70" s="584"/>
      <c r="D70" s="584"/>
      <c r="E70" s="585"/>
      <c r="F70" s="585"/>
      <c r="G70" s="585"/>
      <c r="H70" s="585"/>
      <c r="I70" s="585"/>
      <c r="J70" s="585"/>
      <c r="K70" s="578"/>
    </row>
    <row r="71" spans="1:11" s="253" customFormat="1" ht="11.4">
      <c r="A71" s="239" t="s">
        <v>286</v>
      </c>
      <c r="B71" s="583">
        <f>'Sources and Uses Budget'!C72</f>
        <v>0</v>
      </c>
      <c r="C71" s="584"/>
      <c r="D71" s="584"/>
      <c r="E71" s="585"/>
      <c r="F71" s="585"/>
      <c r="G71" s="585"/>
      <c r="H71" s="585"/>
      <c r="I71" s="585"/>
      <c r="J71" s="585"/>
      <c r="K71" s="578"/>
    </row>
    <row r="72" spans="1:11" s="253" customFormat="1" ht="11.4">
      <c r="A72" s="455" t="s">
        <v>1237</v>
      </c>
      <c r="B72" s="583">
        <f>'Sources and Uses Budget'!C73</f>
        <v>0</v>
      </c>
      <c r="C72" s="584"/>
      <c r="D72" s="584"/>
      <c r="E72" s="585"/>
      <c r="F72" s="585"/>
      <c r="G72" s="585"/>
      <c r="H72" s="585"/>
      <c r="I72" s="585"/>
      <c r="J72" s="585"/>
      <c r="K72" s="578"/>
    </row>
    <row r="73" spans="1:11" s="253" customFormat="1" ht="11.4">
      <c r="A73" s="239" t="s">
        <v>287</v>
      </c>
      <c r="B73" s="583">
        <f>'Sources and Uses Budget'!C74</f>
        <v>288104</v>
      </c>
      <c r="C73" s="584"/>
      <c r="D73" s="584"/>
      <c r="E73" s="585"/>
      <c r="F73" s="585"/>
      <c r="G73" s="585"/>
      <c r="H73" s="585"/>
      <c r="I73" s="585"/>
      <c r="J73" s="585"/>
      <c r="K73" s="578"/>
    </row>
    <row r="74" spans="1:11" s="253" customFormat="1" ht="11.4">
      <c r="A74" s="239" t="str">
        <f>'Sources and Uses Budget'!$A75</f>
        <v>Other: (Specify)</v>
      </c>
      <c r="B74" s="583">
        <f>'Sources and Uses Budget'!C75</f>
        <v>0</v>
      </c>
      <c r="C74" s="584"/>
      <c r="D74" s="584"/>
      <c r="E74" s="585"/>
      <c r="F74" s="585"/>
      <c r="G74" s="585"/>
      <c r="H74" s="585"/>
      <c r="I74" s="585"/>
      <c r="J74" s="585"/>
      <c r="K74" s="578"/>
    </row>
    <row r="75" spans="1:11" s="253" customFormat="1">
      <c r="A75" s="243" t="s">
        <v>288</v>
      </c>
      <c r="B75" s="583">
        <f>'Sources and Uses Budget'!C76</f>
        <v>288104</v>
      </c>
      <c r="C75" s="583">
        <f>SUM(C70:C74)</f>
        <v>0</v>
      </c>
      <c r="D75" s="583">
        <f>SUM(D70:D74)</f>
        <v>0</v>
      </c>
      <c r="E75" s="585"/>
      <c r="F75" s="585"/>
      <c r="G75" s="585"/>
      <c r="H75" s="585"/>
      <c r="I75" s="585"/>
      <c r="J75" s="585"/>
      <c r="K75" s="578"/>
    </row>
    <row r="76" spans="1:11" s="253" customFormat="1" ht="11.4">
      <c r="A76" s="235" t="s">
        <v>1741</v>
      </c>
      <c r="B76" s="582"/>
      <c r="C76" s="582"/>
      <c r="D76" s="582"/>
      <c r="E76" s="582"/>
      <c r="F76" s="582"/>
      <c r="G76" s="582"/>
      <c r="H76" s="582"/>
      <c r="I76" s="582"/>
      <c r="J76" s="582"/>
      <c r="K76" s="578"/>
    </row>
    <row r="77" spans="1:11" s="253" customFormat="1" ht="11.4">
      <c r="A77" s="239" t="s">
        <v>1742</v>
      </c>
      <c r="B77" s="583">
        <f>'Sources and Uses Budget'!C78</f>
        <v>1802981</v>
      </c>
      <c r="C77" s="584"/>
      <c r="D77" s="584"/>
      <c r="E77" s="583">
        <f>'Sources and Uses Budget'!S78</f>
        <v>1802981</v>
      </c>
      <c r="F77" s="584"/>
      <c r="G77" s="584"/>
      <c r="H77" s="583">
        <f>'Sources and Uses Budget'!T78</f>
        <v>0</v>
      </c>
      <c r="I77" s="584"/>
      <c r="J77" s="584"/>
      <c r="K77" s="578"/>
    </row>
    <row r="78" spans="1:11" s="253" customFormat="1" ht="11.4">
      <c r="A78" s="239" t="s">
        <v>537</v>
      </c>
      <c r="B78" s="583">
        <f>'Sources and Uses Budget'!C79</f>
        <v>387000</v>
      </c>
      <c r="C78" s="584"/>
      <c r="D78" s="584"/>
      <c r="E78" s="583">
        <f>'Sources and Uses Budget'!S79</f>
        <v>387000</v>
      </c>
      <c r="F78" s="584"/>
      <c r="G78" s="584"/>
      <c r="H78" s="583">
        <f>'Sources and Uses Budget'!T79</f>
        <v>0</v>
      </c>
      <c r="I78" s="584"/>
      <c r="J78" s="584"/>
      <c r="K78" s="578"/>
    </row>
    <row r="79" spans="1:11" s="253" customFormat="1">
      <c r="A79" s="243" t="s">
        <v>1740</v>
      </c>
      <c r="B79" s="583">
        <f>'Sources and Uses Budget'!C80</f>
        <v>2189981</v>
      </c>
      <c r="C79" s="666">
        <f>SUM(C77:C78)</f>
        <v>0</v>
      </c>
      <c r="D79" s="666">
        <f>SUM(D77:D78)</f>
        <v>0</v>
      </c>
      <c r="E79" s="583">
        <f>'Sources and Uses Budget'!S80</f>
        <v>2189981</v>
      </c>
      <c r="F79" s="666">
        <f>SUM(F77:F78)</f>
        <v>0</v>
      </c>
      <c r="G79" s="666">
        <f>SUM(G77:G78)</f>
        <v>0</v>
      </c>
      <c r="H79" s="583">
        <f>'Sources and Uses Budget'!T80</f>
        <v>0</v>
      </c>
      <c r="I79" s="666">
        <f>SUM(I77:I78)</f>
        <v>0</v>
      </c>
      <c r="J79" s="666">
        <f>SUM(J77:J78)</f>
        <v>0</v>
      </c>
      <c r="K79" s="578"/>
    </row>
    <row r="80" spans="1:11" s="253" customFormat="1" ht="11.4">
      <c r="A80" s="235" t="s">
        <v>514</v>
      </c>
      <c r="B80" s="582"/>
      <c r="C80" s="582"/>
      <c r="D80" s="582"/>
      <c r="E80" s="582"/>
      <c r="F80" s="582"/>
      <c r="G80" s="582"/>
      <c r="H80" s="582"/>
      <c r="I80" s="582"/>
      <c r="J80" s="582"/>
      <c r="K80" s="578"/>
    </row>
    <row r="81" spans="1:11" s="253" customFormat="1" ht="13.95" customHeight="1">
      <c r="A81" s="239" t="s">
        <v>2111</v>
      </c>
      <c r="B81" s="583">
        <f>'Sources and Uses Budget'!C82</f>
        <v>152900</v>
      </c>
      <c r="C81" s="584"/>
      <c r="D81" s="584"/>
      <c r="E81" s="585"/>
      <c r="F81" s="585"/>
      <c r="G81" s="585"/>
      <c r="H81" s="585"/>
      <c r="I81" s="585"/>
      <c r="J81" s="585"/>
      <c r="K81" s="578"/>
    </row>
    <row r="82" spans="1:11" s="253" customFormat="1" ht="11.4">
      <c r="A82" s="239" t="s">
        <v>515</v>
      </c>
      <c r="B82" s="583">
        <f>'Sources and Uses Budget'!C83</f>
        <v>0</v>
      </c>
      <c r="C82" s="584"/>
      <c r="D82" s="584"/>
      <c r="E82" s="583">
        <f>'Sources and Uses Budget'!S83</f>
        <v>0</v>
      </c>
      <c r="F82" s="584"/>
      <c r="G82" s="584"/>
      <c r="H82" s="583">
        <f>'Sources and Uses Budget'!T83</f>
        <v>0</v>
      </c>
      <c r="I82" s="584"/>
      <c r="J82" s="584"/>
      <c r="K82" s="578"/>
    </row>
    <row r="83" spans="1:11" s="253" customFormat="1" ht="11.4">
      <c r="A83" s="239" t="s">
        <v>516</v>
      </c>
      <c r="B83" s="583">
        <f>'Sources and Uses Budget'!C84</f>
        <v>2606174</v>
      </c>
      <c r="C83" s="584"/>
      <c r="D83" s="584"/>
      <c r="E83" s="583">
        <f>'Sources and Uses Budget'!S84</f>
        <v>2606174</v>
      </c>
      <c r="F83" s="584"/>
      <c r="G83" s="584"/>
      <c r="H83" s="583">
        <f>'Sources and Uses Budget'!T84</f>
        <v>0</v>
      </c>
      <c r="I83" s="584"/>
      <c r="J83" s="584"/>
      <c r="K83" s="578"/>
    </row>
    <row r="84" spans="1:11" s="253" customFormat="1" ht="11.4">
      <c r="A84" s="239" t="s">
        <v>517</v>
      </c>
      <c r="B84" s="583">
        <f>'Sources and Uses Budget'!C85</f>
        <v>777000</v>
      </c>
      <c r="C84" s="584"/>
      <c r="D84" s="584"/>
      <c r="E84" s="583">
        <f>'Sources and Uses Budget'!S85</f>
        <v>777000</v>
      </c>
      <c r="F84" s="584"/>
      <c r="G84" s="584"/>
      <c r="H84" s="583">
        <f>'Sources and Uses Budget'!T85</f>
        <v>0</v>
      </c>
      <c r="I84" s="584"/>
      <c r="J84" s="584"/>
      <c r="K84" s="578"/>
    </row>
    <row r="85" spans="1:11" s="253" customFormat="1" ht="11.4">
      <c r="A85" s="239" t="s">
        <v>518</v>
      </c>
      <c r="B85" s="583">
        <f>'Sources and Uses Budget'!C86</f>
        <v>0</v>
      </c>
      <c r="C85" s="584"/>
      <c r="D85" s="584"/>
      <c r="E85" s="583">
        <f>'Sources and Uses Budget'!S86</f>
        <v>0</v>
      </c>
      <c r="F85" s="584"/>
      <c r="G85" s="584"/>
      <c r="H85" s="583">
        <f>'Sources and Uses Budget'!T86</f>
        <v>0</v>
      </c>
      <c r="I85" s="584"/>
      <c r="J85" s="584"/>
      <c r="K85" s="578"/>
    </row>
    <row r="86" spans="1:11" s="253" customFormat="1" ht="11.4">
      <c r="A86" s="239" t="s">
        <v>519</v>
      </c>
      <c r="B86" s="583">
        <f>'Sources and Uses Budget'!C87</f>
        <v>208217</v>
      </c>
      <c r="C86" s="584"/>
      <c r="D86" s="584"/>
      <c r="E86" s="585"/>
      <c r="F86" s="585"/>
      <c r="G86" s="585"/>
      <c r="H86" s="585"/>
      <c r="I86" s="585"/>
      <c r="J86" s="585"/>
      <c r="K86" s="578"/>
    </row>
    <row r="87" spans="1:11" s="253" customFormat="1" ht="11.4">
      <c r="A87" s="239" t="s">
        <v>520</v>
      </c>
      <c r="B87" s="583">
        <f>'Sources and Uses Budget'!C88</f>
        <v>200000</v>
      </c>
      <c r="C87" s="584"/>
      <c r="D87" s="584"/>
      <c r="E87" s="583">
        <f>'Sources and Uses Budget'!S88</f>
        <v>200000</v>
      </c>
      <c r="F87" s="584"/>
      <c r="G87" s="584"/>
      <c r="H87" s="583">
        <f>'Sources and Uses Budget'!T88</f>
        <v>0</v>
      </c>
      <c r="I87" s="584"/>
      <c r="J87" s="584"/>
      <c r="K87" s="578"/>
    </row>
    <row r="88" spans="1:11" s="253" customFormat="1" ht="11.4">
      <c r="A88" s="239" t="s">
        <v>521</v>
      </c>
      <c r="B88" s="583">
        <f>'Sources and Uses Budget'!C89</f>
        <v>23500</v>
      </c>
      <c r="C88" s="584"/>
      <c r="D88" s="584"/>
      <c r="E88" s="583">
        <f>'Sources and Uses Budget'!S89</f>
        <v>0</v>
      </c>
      <c r="F88" s="584"/>
      <c r="G88" s="584"/>
      <c r="H88" s="583">
        <f>'Sources and Uses Budget'!T89</f>
        <v>0</v>
      </c>
      <c r="I88" s="584"/>
      <c r="J88" s="584"/>
      <c r="K88" s="578"/>
    </row>
    <row r="89" spans="1:11" s="253" customFormat="1" ht="11.4">
      <c r="A89" s="239" t="s">
        <v>1313</v>
      </c>
      <c r="B89" s="583">
        <f>'Sources and Uses Budget'!C90</f>
        <v>0</v>
      </c>
      <c r="C89" s="584"/>
      <c r="D89" s="584"/>
      <c r="E89" s="583">
        <f>'Sources and Uses Budget'!S90</f>
        <v>0</v>
      </c>
      <c r="F89" s="584"/>
      <c r="G89" s="584"/>
      <c r="H89" s="583">
        <f>'Sources and Uses Budget'!T90</f>
        <v>0</v>
      </c>
      <c r="I89" s="584"/>
      <c r="J89" s="584"/>
      <c r="K89" s="578"/>
    </row>
    <row r="90" spans="1:11" s="253" customFormat="1" ht="11.4">
      <c r="A90" s="239" t="s">
        <v>1738</v>
      </c>
      <c r="B90" s="583">
        <f>'Sources and Uses Budget'!C91</f>
        <v>16500</v>
      </c>
      <c r="C90" s="584"/>
      <c r="D90" s="584"/>
      <c r="E90" s="583">
        <f>'Sources and Uses Budget'!S91</f>
        <v>16500</v>
      </c>
      <c r="F90" s="584"/>
      <c r="G90" s="584"/>
      <c r="H90" s="583">
        <f>'Sources and Uses Budget'!T91</f>
        <v>0</v>
      </c>
      <c r="I90" s="584"/>
      <c r="J90" s="584"/>
      <c r="K90" s="578"/>
    </row>
    <row r="91" spans="1:11" s="253" customFormat="1" ht="11.4">
      <c r="A91" s="239" t="str">
        <f>'Sources and Uses Budget'!$A92</f>
        <v>3rd Party Construction Mgt</v>
      </c>
      <c r="B91" s="583">
        <f>'Sources and Uses Budget'!C92</f>
        <v>162500</v>
      </c>
      <c r="C91" s="584"/>
      <c r="D91" s="584"/>
      <c r="E91" s="583">
        <f>'Sources and Uses Budget'!S92</f>
        <v>162500</v>
      </c>
      <c r="F91" s="584"/>
      <c r="G91" s="584"/>
      <c r="H91" s="583">
        <f>'Sources and Uses Budget'!T92</f>
        <v>0</v>
      </c>
      <c r="I91" s="584"/>
      <c r="J91" s="584"/>
      <c r="K91" s="578"/>
    </row>
    <row r="92" spans="1:11" s="253" customFormat="1" ht="11.4">
      <c r="A92" s="239" t="str">
        <f>'Sources and Uses Budget'!$A93</f>
        <v>Prevailing Wage Monitor</v>
      </c>
      <c r="B92" s="583">
        <f>'Sources and Uses Budget'!C93</f>
        <v>60000</v>
      </c>
      <c r="C92" s="584"/>
      <c r="D92" s="584"/>
      <c r="E92" s="583">
        <f>'Sources and Uses Budget'!S93</f>
        <v>60000</v>
      </c>
      <c r="F92" s="584"/>
      <c r="G92" s="584"/>
      <c r="H92" s="583">
        <f>'Sources and Uses Budget'!T93</f>
        <v>0</v>
      </c>
      <c r="I92" s="584"/>
      <c r="J92" s="584"/>
      <c r="K92" s="578"/>
    </row>
    <row r="93" spans="1:11" s="253" customFormat="1" ht="11.4">
      <c r="A93" s="239" t="str">
        <f>'Sources and Uses Budget'!$A94</f>
        <v>Other: (Specify)</v>
      </c>
      <c r="B93" s="583">
        <f>'Sources and Uses Budget'!C94</f>
        <v>0</v>
      </c>
      <c r="C93" s="584"/>
      <c r="D93" s="584"/>
      <c r="E93" s="583">
        <f>'Sources and Uses Budget'!S94</f>
        <v>0</v>
      </c>
      <c r="F93" s="584"/>
      <c r="G93" s="584"/>
      <c r="H93" s="583">
        <f>'Sources and Uses Budget'!T94</f>
        <v>0</v>
      </c>
      <c r="I93" s="584"/>
      <c r="J93" s="584"/>
      <c r="K93" s="578"/>
    </row>
    <row r="94" spans="1:11" s="253" customFormat="1">
      <c r="A94" s="243" t="s">
        <v>522</v>
      </c>
      <c r="B94" s="583">
        <f>'Sources and Uses Budget'!C95</f>
        <v>4206791</v>
      </c>
      <c r="C94" s="583">
        <f>SUM(C81:C93)</f>
        <v>0</v>
      </c>
      <c r="D94" s="583">
        <f>SUM(D81:D93)</f>
        <v>0</v>
      </c>
      <c r="E94" s="583">
        <f>'Sources and Uses Budget'!S95</f>
        <v>3822174</v>
      </c>
      <c r="F94" s="586">
        <f>SUM(F82:F85,F87:F93)</f>
        <v>0</v>
      </c>
      <c r="G94" s="586">
        <f>SUM(G82:G85,G87:G93)</f>
        <v>0</v>
      </c>
      <c r="H94" s="583">
        <f>'Sources and Uses Budget'!T95</f>
        <v>0</v>
      </c>
      <c r="I94" s="583">
        <f>SUM(I82:I85,I87:I93)</f>
        <v>0</v>
      </c>
      <c r="J94" s="583">
        <f>SUM(J82:J85,J87:J93)</f>
        <v>0</v>
      </c>
      <c r="K94" s="578"/>
    </row>
    <row r="95" spans="1:11" s="253" customFormat="1">
      <c r="A95" s="243" t="s">
        <v>1354</v>
      </c>
      <c r="B95" s="583">
        <f>'Sources and Uses Budget'!C96</f>
        <v>54608010</v>
      </c>
      <c r="C95" s="583">
        <f>SUM(C61+C68+C75+C79+C94)</f>
        <v>0</v>
      </c>
      <c r="D95" s="583">
        <f>SUM(D61+D68+D75+D79+D94)</f>
        <v>0</v>
      </c>
      <c r="E95" s="583">
        <f>'Sources and Uses Budget'!S96</f>
        <v>47771829</v>
      </c>
      <c r="F95" s="586">
        <f>SUM(+F61+F68+F79+F94)</f>
        <v>0</v>
      </c>
      <c r="G95" s="586">
        <f>SUM(+G61+G68+G79+G94)</f>
        <v>0</v>
      </c>
      <c r="H95" s="583">
        <f>'Sources and Uses Budget'!T96</f>
        <v>0</v>
      </c>
      <c r="I95" s="586">
        <f>SUM(I61+I68+I79+I94)</f>
        <v>0</v>
      </c>
      <c r="J95" s="586">
        <f>SUM(J61+J68+J79+J94)</f>
        <v>0</v>
      </c>
      <c r="K95" s="578"/>
    </row>
    <row r="96" spans="1:11" s="253" customFormat="1" ht="11.4">
      <c r="A96" s="235" t="s">
        <v>524</v>
      </c>
      <c r="B96" s="582"/>
      <c r="C96" s="582"/>
      <c r="D96" s="582"/>
      <c r="E96" s="582"/>
      <c r="F96" s="582"/>
      <c r="G96" s="582"/>
      <c r="H96" s="582"/>
      <c r="I96" s="582"/>
      <c r="J96" s="582"/>
      <c r="K96" s="578"/>
    </row>
    <row r="97" spans="1:11" s="253" customFormat="1" ht="11.4">
      <c r="A97" s="239" t="s">
        <v>525</v>
      </c>
      <c r="B97" s="583">
        <f>'Sources and Uses Budget'!C98</f>
        <v>2500000</v>
      </c>
      <c r="C97" s="584"/>
      <c r="D97" s="584"/>
      <c r="E97" s="583">
        <f>'Sources and Uses Budget'!S98</f>
        <v>2500000</v>
      </c>
      <c r="F97" s="584"/>
      <c r="G97" s="584"/>
      <c r="H97" s="583">
        <f>'Sources and Uses Budget'!T98</f>
        <v>0</v>
      </c>
      <c r="I97" s="584"/>
      <c r="J97" s="584"/>
      <c r="K97" s="578"/>
    </row>
    <row r="98" spans="1:11" s="253" customFormat="1" ht="11.4">
      <c r="A98" s="239" t="s">
        <v>1956</v>
      </c>
      <c r="B98" s="583">
        <f>'Sources and Uses Budget'!C99</f>
        <v>0</v>
      </c>
      <c r="C98" s="584"/>
      <c r="D98" s="584"/>
      <c r="E98" s="583">
        <f>'Sources and Uses Budget'!S99</f>
        <v>0</v>
      </c>
      <c r="F98" s="584"/>
      <c r="G98" s="584"/>
      <c r="H98" s="583">
        <f>'Sources and Uses Budget'!T99</f>
        <v>0</v>
      </c>
      <c r="I98" s="584"/>
      <c r="J98" s="584"/>
      <c r="K98" s="578"/>
    </row>
    <row r="99" spans="1:11" s="253" customFormat="1" ht="12" customHeight="1">
      <c r="A99" s="239" t="s">
        <v>526</v>
      </c>
      <c r="B99" s="583">
        <f>'Sources and Uses Budget'!C100</f>
        <v>0</v>
      </c>
      <c r="C99" s="584"/>
      <c r="D99" s="584"/>
      <c r="E99" s="583">
        <f>'Sources and Uses Budget'!S100</f>
        <v>0</v>
      </c>
      <c r="F99" s="584"/>
      <c r="G99" s="584"/>
      <c r="H99" s="583">
        <f>'Sources and Uses Budget'!T100</f>
        <v>0</v>
      </c>
      <c r="I99" s="584"/>
      <c r="J99" s="584"/>
      <c r="K99" s="578"/>
    </row>
    <row r="100" spans="1:11" s="253" customFormat="1" ht="11.4">
      <c r="A100" s="239" t="s">
        <v>1238</v>
      </c>
      <c r="B100" s="583">
        <f>'Sources and Uses Budget'!C101</f>
        <v>0</v>
      </c>
      <c r="C100" s="584"/>
      <c r="D100" s="584"/>
      <c r="E100" s="583">
        <f>'Sources and Uses Budget'!S101</f>
        <v>0</v>
      </c>
      <c r="F100" s="584"/>
      <c r="G100" s="584"/>
      <c r="H100" s="583">
        <f>'Sources and Uses Budget'!T101</f>
        <v>0</v>
      </c>
      <c r="I100" s="584"/>
      <c r="J100" s="584"/>
      <c r="K100" s="578"/>
    </row>
    <row r="101" spans="1:11" s="253" customFormat="1" ht="11.4">
      <c r="A101" s="239" t="str">
        <f>'Sources and Uses Budget'!$A102</f>
        <v>Other: (Specify)</v>
      </c>
      <c r="B101" s="583">
        <f>'Sources and Uses Budget'!C102</f>
        <v>0</v>
      </c>
      <c r="C101" s="584"/>
      <c r="D101" s="584"/>
      <c r="E101" s="583">
        <f>'Sources and Uses Budget'!S102</f>
        <v>0</v>
      </c>
      <c r="F101" s="584"/>
      <c r="G101" s="584"/>
      <c r="H101" s="583">
        <f>'Sources and Uses Budget'!T102</f>
        <v>0</v>
      </c>
      <c r="I101" s="584"/>
      <c r="J101" s="584"/>
      <c r="K101" s="578"/>
    </row>
    <row r="102" spans="1:11" s="253" customFormat="1">
      <c r="A102" s="243" t="s">
        <v>527</v>
      </c>
      <c r="B102" s="583">
        <f>'Sources and Uses Budget'!C103</f>
        <v>2500000</v>
      </c>
      <c r="C102" s="583">
        <f>SUM(C97:C101)</f>
        <v>0</v>
      </c>
      <c r="D102" s="583">
        <f>SUM(D97:D101)</f>
        <v>0</v>
      </c>
      <c r="E102" s="583">
        <f>'Sources and Uses Budget'!S103</f>
        <v>2500000</v>
      </c>
      <c r="F102" s="586">
        <f>SUM(F97:F101)</f>
        <v>0</v>
      </c>
      <c r="G102" s="586">
        <f>SUM(G97:G101)</f>
        <v>0</v>
      </c>
      <c r="H102" s="583">
        <f>'Sources and Uses Budget'!T103</f>
        <v>0</v>
      </c>
      <c r="I102" s="586">
        <f>SUM(I97:I101)</f>
        <v>0</v>
      </c>
      <c r="J102" s="586">
        <f>SUM(J97:J101)</f>
        <v>0</v>
      </c>
      <c r="K102" s="578"/>
    </row>
    <row r="103" spans="1:11" s="253" customFormat="1">
      <c r="A103" s="243" t="s">
        <v>1355</v>
      </c>
      <c r="B103" s="583">
        <f>'Sources and Uses Budget'!C104</f>
        <v>57108010</v>
      </c>
      <c r="C103" s="586">
        <f>SUM(C95+C102)</f>
        <v>0</v>
      </c>
      <c r="D103" s="586">
        <f>SUM(D95+D102)</f>
        <v>0</v>
      </c>
      <c r="E103" s="583">
        <f>'Sources and Uses Budget'!S104</f>
        <v>50271829</v>
      </c>
      <c r="F103" s="586">
        <f>F95+F102</f>
        <v>0</v>
      </c>
      <c r="G103" s="586">
        <f>G95+G102</f>
        <v>0</v>
      </c>
      <c r="H103" s="583">
        <f>'Sources and Uses Budget'!T104</f>
        <v>0</v>
      </c>
      <c r="I103" s="586">
        <f>I95+I102</f>
        <v>0</v>
      </c>
      <c r="J103" s="586">
        <f>J95+J102</f>
        <v>0</v>
      </c>
      <c r="K103" s="578"/>
    </row>
    <row r="104" spans="1:11" s="253" customFormat="1">
      <c r="A104" s="251"/>
      <c r="B104" s="587"/>
      <c r="C104" s="587"/>
      <c r="D104" s="587"/>
      <c r="E104" s="583">
        <f>'Sources and Uses Budget'!S105</f>
        <v>0</v>
      </c>
      <c r="F104" s="584"/>
      <c r="G104" s="584"/>
      <c r="H104" s="583">
        <f>'Sources and Uses Budget'!T105</f>
        <v>0</v>
      </c>
      <c r="I104" s="584"/>
      <c r="J104" s="584"/>
      <c r="K104" s="578"/>
    </row>
    <row r="105" spans="1:11" s="253" customFormat="1">
      <c r="A105" s="560"/>
      <c r="B105" s="588"/>
      <c r="C105" s="587"/>
      <c r="D105" s="587"/>
      <c r="E105" s="583">
        <f>'Sources and Uses Budget'!S106</f>
        <v>50271829</v>
      </c>
      <c r="F105" s="586">
        <f>F103+F104</f>
        <v>0</v>
      </c>
      <c r="G105" s="586">
        <f>G103+G104</f>
        <v>0</v>
      </c>
      <c r="H105" s="583">
        <f>'Sources and Uses Budget'!T106</f>
        <v>0</v>
      </c>
      <c r="I105" s="586">
        <f>I103+I104</f>
        <v>0</v>
      </c>
      <c r="J105" s="586">
        <f>J103+J104</f>
        <v>0</v>
      </c>
      <c r="K105" s="578"/>
    </row>
    <row r="106" spans="1:11" s="253" customFormat="1" hidden="1">
      <c r="A106" s="560"/>
      <c r="B106" s="252"/>
      <c r="C106" s="252"/>
      <c r="D106" s="252"/>
      <c r="J106" s="581"/>
      <c r="K106" s="57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AM585" sqref="AM585"/>
    </sheetView>
  </sheetViews>
  <sheetFormatPr defaultColWidth="0" defaultRowHeight="13.2" zeroHeight="1"/>
  <cols>
    <col min="1" max="3" width="2.44140625" style="21" customWidth="1"/>
    <col min="4" max="4" width="3.21875" style="21" customWidth="1"/>
    <col min="5" max="5" width="3.44140625" style="21" customWidth="1"/>
    <col min="6" max="6" width="2.6640625" style="21" customWidth="1"/>
    <col min="7" max="16" width="2.44140625" style="21" customWidth="1"/>
    <col min="17" max="17" width="3.218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8" customWidth="1"/>
    <col min="41" max="41" width="6.6640625" style="38" hidden="1" customWidth="1"/>
    <col min="42" max="43" width="7" style="21" hidden="1" customWidth="1"/>
    <col min="44" max="44" width="9.218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21875" style="21" hidden="1"/>
  </cols>
  <sheetData>
    <row r="1" spans="1:43" ht="15.75" customHeight="1">
      <c r="A1" s="1625" t="s">
        <v>844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69"/>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0"/>
    </row>
    <row r="4" spans="1:43" s="3" customFormat="1" ht="12.75" customHeight="1">
      <c r="A4" s="63" t="s">
        <v>1456</v>
      </c>
      <c r="AE4" s="1720" t="s">
        <v>363</v>
      </c>
      <c r="AF4" s="1720"/>
      <c r="AG4" s="1720"/>
      <c r="AH4" s="1720"/>
      <c r="AI4" s="1720"/>
      <c r="AJ4" s="1720"/>
      <c r="AK4" s="1720"/>
      <c r="AL4" s="18"/>
      <c r="AN4" s="670"/>
    </row>
    <row r="5" spans="1:43" s="3" customFormat="1" ht="13.2" customHeight="1">
      <c r="A5" s="63"/>
      <c r="AE5" s="18"/>
      <c r="AF5" s="18"/>
      <c r="AG5" s="18"/>
      <c r="AH5" s="18"/>
      <c r="AI5" s="18"/>
      <c r="AJ5" s="18"/>
      <c r="AK5" s="18"/>
      <c r="AL5" s="18"/>
      <c r="AN5" s="670"/>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708" t="s">
        <v>852</v>
      </c>
      <c r="AG6" s="1708"/>
      <c r="AH6" s="1708"/>
      <c r="AI6" s="1708"/>
      <c r="AJ6" s="1708"/>
      <c r="AK6" s="1708"/>
      <c r="AL6" s="1708"/>
      <c r="AM6" s="3"/>
      <c r="AN6" s="669"/>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9"/>
    </row>
    <row r="8" spans="1:43" s="5" customFormat="1" ht="15" customHeight="1">
      <c r="A8" s="63"/>
      <c r="B8" s="1645" t="s">
        <v>2476</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69"/>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9"/>
      <c r="AO9" s="419" t="s">
        <v>78</v>
      </c>
      <c r="AP9" s="469"/>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9"/>
      <c r="AO10" s="361" t="s">
        <v>1240</v>
      </c>
      <c r="AP10" s="370">
        <v>5</v>
      </c>
    </row>
    <row r="11" spans="1:43" s="5" customFormat="1" ht="12.75" customHeight="1">
      <c r="A11" s="63"/>
      <c r="B11" s="1645" t="s">
        <v>1241</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69"/>
      <c r="AO11" s="361" t="s">
        <v>1241</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9"/>
      <c r="AO12" s="361"/>
      <c r="AP12" s="370"/>
    </row>
    <row r="13" spans="1:43" s="5" customFormat="1" ht="12.75" customHeight="1">
      <c r="A13" s="63"/>
      <c r="B13" s="20" t="s">
        <v>1242</v>
      </c>
      <c r="AB13" s="1806" t="s">
        <v>123</v>
      </c>
      <c r="AC13" s="1806"/>
      <c r="AD13" s="18"/>
      <c r="AM13" s="3"/>
      <c r="AN13" s="669"/>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9"/>
      <c r="AO14" s="419" t="s">
        <v>1117</v>
      </c>
      <c r="AP14" s="370"/>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9"/>
      <c r="AO15" s="361" t="s">
        <v>1243</v>
      </c>
      <c r="AP15" s="370">
        <v>5</v>
      </c>
    </row>
    <row r="16" spans="1:43" s="5" customFormat="1" ht="12.75" customHeight="1">
      <c r="A16" s="63"/>
      <c r="B16" s="1645" t="s">
        <v>1117</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0"/>
      <c r="AL16" s="490"/>
      <c r="AM16" s="490"/>
      <c r="AN16" s="669"/>
      <c r="AO16" s="361" t="s">
        <v>1244</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69"/>
      <c r="AO17" s="361"/>
      <c r="AP17" s="370"/>
    </row>
    <row r="18" spans="1:42" s="5" customFormat="1" ht="12.75" customHeight="1">
      <c r="B18" s="20" t="s">
        <v>2230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9"/>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9"/>
    </row>
    <row r="20" spans="1:42" s="5" customFormat="1" ht="12.75" customHeight="1">
      <c r="B20" s="1672" t="s">
        <v>2205</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69"/>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69"/>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69"/>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1"/>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1"/>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3"/>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3"/>
    </row>
    <row r="29" spans="1:42" s="4" customFormat="1" ht="31.9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3"/>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3"/>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3"/>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3"/>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60</v>
      </c>
      <c r="AG33" s="1708"/>
      <c r="AH33" s="1708"/>
      <c r="AI33" s="1708"/>
      <c r="AJ33" s="1708"/>
      <c r="AK33" s="1708"/>
      <c r="AL33" s="1708"/>
      <c r="AM33" s="27"/>
      <c r="AN33" s="613"/>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3"/>
      <c r="AO34" s="361" t="s">
        <v>1246</v>
      </c>
      <c r="AP34" s="470">
        <v>2</v>
      </c>
    </row>
    <row r="35" spans="1:42" s="4" customFormat="1" ht="12.75" customHeight="1">
      <c r="A35" s="5"/>
      <c r="B35" s="1815" t="str">
        <f>Application!AA329</f>
        <v>MidPen Property Management Corporation</v>
      </c>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M35" s="27"/>
      <c r="AN35" s="281"/>
      <c r="AO35" s="361" t="s">
        <v>1245</v>
      </c>
      <c r="AP35" s="470">
        <v>3</v>
      </c>
    </row>
    <row r="36" spans="1:42" s="4" customFormat="1" ht="12.75" customHeight="1">
      <c r="A36" s="5"/>
      <c r="AM36" s="27"/>
      <c r="AN36" s="281"/>
    </row>
    <row r="37" spans="1:42" s="4" customFormat="1" ht="12.75" customHeight="1">
      <c r="A37" s="5"/>
      <c r="B37" s="20" t="s">
        <v>1118</v>
      </c>
      <c r="AA37" s="3"/>
      <c r="AB37" s="3"/>
      <c r="AC37" s="3"/>
      <c r="AD37" s="3"/>
      <c r="AM37" s="27"/>
      <c r="AN37" s="281"/>
    </row>
    <row r="38" spans="1:42" s="4" customFormat="1" ht="12.75" customHeight="1">
      <c r="A38" s="5"/>
      <c r="B38" s="1645" t="s">
        <v>1245</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1117</v>
      </c>
      <c r="AP38" s="361"/>
    </row>
    <row r="39" spans="1:42" s="4" customFormat="1" ht="12.75" customHeight="1">
      <c r="A39" s="5"/>
      <c r="AM39" s="27"/>
      <c r="AN39" s="281"/>
      <c r="AO39" s="361" t="s">
        <v>1275</v>
      </c>
      <c r="AP39" s="470">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645" t="s">
        <v>123</v>
      </c>
      <c r="AA40" s="1645"/>
      <c r="AB40" s="5"/>
      <c r="AM40" s="27"/>
      <c r="AN40" s="281"/>
      <c r="AO40" s="361" t="s">
        <v>1276</v>
      </c>
      <c r="AP40" s="470">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1117</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1468</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450000000000003"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5"/>
      <c r="B57" s="1672" t="s">
        <v>2198</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2.95" customHeight="1">
      <c r="A59" s="425"/>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1119</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1459</v>
      </c>
      <c r="B64" s="102"/>
      <c r="C64" s="104"/>
      <c r="D64" s="105"/>
      <c r="E64" s="105"/>
      <c r="F64" s="105"/>
      <c r="G64" s="105"/>
      <c r="H64" s="105"/>
      <c r="I64" s="105"/>
      <c r="J64" s="105"/>
      <c r="Y64" s="106"/>
      <c r="Z64" s="106"/>
      <c r="AA64" s="106"/>
      <c r="AB64" s="106"/>
      <c r="AE64" s="1720" t="s">
        <v>363</v>
      </c>
      <c r="AF64" s="1720"/>
      <c r="AG64" s="1720"/>
      <c r="AH64" s="1720"/>
      <c r="AI64" s="1720"/>
      <c r="AJ64" s="1720"/>
      <c r="AK64" s="1720"/>
      <c r="AL64" s="18"/>
      <c r="AN64" s="281"/>
      <c r="AS64" s="4" t="s">
        <v>664</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661</v>
      </c>
      <c r="AT65" s="4">
        <v>10</v>
      </c>
    </row>
    <row r="66" spans="1:46" s="4" customFormat="1" ht="12.75" customHeight="1">
      <c r="B66" s="1645" t="s">
        <v>661</v>
      </c>
      <c r="C66" s="1645"/>
      <c r="D66" s="1645"/>
      <c r="E66" s="1645"/>
      <c r="F66" s="1645"/>
      <c r="G66" s="1645"/>
      <c r="H66" s="1645"/>
      <c r="I66" s="1645"/>
      <c r="J66" s="1645"/>
      <c r="K66" s="1645"/>
      <c r="AF66" s="1708" t="s">
        <v>936</v>
      </c>
      <c r="AG66" s="1708"/>
      <c r="AH66" s="1708"/>
      <c r="AI66" s="1708"/>
      <c r="AJ66" s="1708"/>
      <c r="AK66" s="1708"/>
      <c r="AL66" s="1708"/>
      <c r="AN66" s="281"/>
      <c r="AP66" s="4" t="s">
        <v>123</v>
      </c>
      <c r="AS66" s="4" t="s">
        <v>663</v>
      </c>
      <c r="AT66" s="4">
        <v>10</v>
      </c>
    </row>
    <row r="67" spans="1:46" s="4" customFormat="1" ht="12.75" customHeight="1">
      <c r="B67" s="1814" t="s">
        <v>1317</v>
      </c>
      <c r="C67" s="1814"/>
      <c r="D67" s="1814"/>
      <c r="E67" s="1814"/>
      <c r="F67" s="1814"/>
      <c r="G67" s="1814"/>
      <c r="H67" s="1814"/>
      <c r="I67" s="1814"/>
      <c r="J67" s="1814"/>
      <c r="K67" s="1814"/>
      <c r="L67" s="1814"/>
      <c r="M67" s="1814"/>
      <c r="N67" s="1814"/>
      <c r="O67" s="1814"/>
      <c r="P67" s="1814"/>
      <c r="Q67" s="1814"/>
      <c r="R67" s="1814"/>
      <c r="S67" s="1814"/>
      <c r="T67" s="1645" t="s">
        <v>123</v>
      </c>
      <c r="U67" s="1645"/>
      <c r="V67" s="1645"/>
      <c r="W67" s="1645"/>
      <c r="X67" s="1645"/>
      <c r="Y67" s="1645"/>
      <c r="Z67" s="1645"/>
      <c r="AA67" s="1645"/>
      <c r="AB67" s="1645"/>
      <c r="AC67" s="1645"/>
      <c r="AJ67" s="62"/>
      <c r="AK67" s="10"/>
      <c r="AL67" s="10"/>
      <c r="AM67" s="10"/>
      <c r="AN67" s="281"/>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65">
        <f>VLOOKUP($B$66,$AS$64:$AU$69,2,FALSE)</f>
        <v>10</v>
      </c>
      <c r="AL68" s="1266"/>
      <c r="AM68" s="1266"/>
      <c r="AN68" s="669"/>
      <c r="AP68" s="4" t="s">
        <v>1316</v>
      </c>
      <c r="AS68" s="4" t="s">
        <v>562</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613</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1460</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975</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2113</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7"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1265</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1278</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579</v>
      </c>
      <c r="E90" s="425" t="s">
        <v>1318</v>
      </c>
      <c r="F90" s="27"/>
      <c r="G90" s="27"/>
      <c r="H90" s="27"/>
      <c r="I90" s="27"/>
      <c r="J90" s="27"/>
      <c r="K90" s="27"/>
      <c r="L90" s="27"/>
      <c r="M90" s="27"/>
      <c r="N90" s="27"/>
      <c r="O90" s="27"/>
      <c r="P90" s="27"/>
      <c r="Q90" s="27"/>
      <c r="R90" s="27"/>
      <c r="S90" s="27"/>
      <c r="T90" s="27"/>
      <c r="U90" s="27"/>
      <c r="V90" s="27"/>
      <c r="W90" s="27"/>
      <c r="X90" s="27"/>
      <c r="Y90" s="27"/>
      <c r="Z90" s="27"/>
      <c r="AA90" s="27"/>
      <c r="AB90" s="27"/>
      <c r="AF90" s="1708" t="s">
        <v>852</v>
      </c>
      <c r="AG90" s="1708"/>
      <c r="AH90" s="1708"/>
      <c r="AI90" s="1708"/>
      <c r="AJ90" s="1708"/>
      <c r="AK90" s="1708"/>
      <c r="AL90" s="1708"/>
      <c r="AN90" s="281"/>
    </row>
    <row r="91" spans="1:42" s="4" customFormat="1" ht="12.75" customHeight="1">
      <c r="C91" s="19"/>
      <c r="D91" s="26"/>
      <c r="E91" s="425"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5"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5"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2242</v>
      </c>
      <c r="AP93" s="4" t="b">
        <f>IF(Application!AF411&gt;=25,TRUE,FALSE)</f>
        <v>0</v>
      </c>
    </row>
    <row r="94" spans="1:42" s="4" customFormat="1" ht="12.75" customHeight="1">
      <c r="C94" s="19"/>
      <c r="D94" s="26"/>
      <c r="E94" s="42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5" t="s">
        <v>1247</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57</v>
      </c>
      <c r="AG95" s="1708"/>
      <c r="AH95" s="1708"/>
      <c r="AI95" s="1708"/>
      <c r="AJ95" s="1708"/>
      <c r="AK95" s="1708"/>
      <c r="AL95" s="1708"/>
      <c r="AN95" s="281"/>
    </row>
    <row r="96" spans="1:42" s="4" customFormat="1" ht="12.75" customHeight="1">
      <c r="B96" s="5"/>
      <c r="C96" s="115"/>
      <c r="D96" s="26"/>
      <c r="E96" s="425" t="s">
        <v>1322</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1">
        <v>0</v>
      </c>
    </row>
    <row r="97" spans="1:53" s="4" customFormat="1" ht="12.75" customHeight="1">
      <c r="B97" s="42"/>
      <c r="C97" s="45"/>
      <c r="D97" s="26"/>
      <c r="E97" s="425" t="s">
        <v>1323</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579</v>
      </c>
      <c r="AP97" s="4">
        <f>7*$AP$93</f>
        <v>0</v>
      </c>
    </row>
    <row r="98" spans="1:53" s="4" customFormat="1" ht="12.75" customHeight="1">
      <c r="B98" s="42"/>
      <c r="C98" s="45"/>
      <c r="D98" s="26"/>
      <c r="E98" s="425" t="s">
        <v>1324</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888</v>
      </c>
      <c r="AP99" s="4">
        <v>5</v>
      </c>
    </row>
    <row r="100" spans="1:53" s="4" customFormat="1" ht="12.75" customHeight="1">
      <c r="B100" s="5"/>
      <c r="C100" s="45"/>
      <c r="D100" s="26" t="s">
        <v>888</v>
      </c>
      <c r="E100" s="425" t="s">
        <v>1248</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58</v>
      </c>
      <c r="AG100" s="1708"/>
      <c r="AH100" s="1708"/>
      <c r="AI100" s="1708"/>
      <c r="AJ100" s="1708"/>
      <c r="AK100" s="1708"/>
      <c r="AL100" s="1708"/>
      <c r="AN100" s="281"/>
      <c r="AO100" s="26" t="s">
        <v>729</v>
      </c>
      <c r="AP100" s="4">
        <v>4</v>
      </c>
    </row>
    <row r="101" spans="1:53" s="4" customFormat="1" ht="12.75" customHeight="1">
      <c r="B101" s="5"/>
      <c r="C101" s="115"/>
      <c r="D101" s="26"/>
      <c r="E101" s="425" t="s">
        <v>1325</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730</v>
      </c>
      <c r="AP101" s="4">
        <v>3</v>
      </c>
    </row>
    <row r="102" spans="1:53" s="4" customFormat="1" ht="12.75" customHeight="1">
      <c r="B102" s="5"/>
      <c r="C102" s="115"/>
      <c r="D102" s="26"/>
      <c r="E102" s="425" t="s">
        <v>1323</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5" t="s">
        <v>1324</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2241</v>
      </c>
    </row>
    <row r="104" spans="1:53" s="4" customFormat="1" ht="12.75" customHeight="1">
      <c r="A104" s="21"/>
      <c r="B104" s="21"/>
      <c r="C104" s="21"/>
      <c r="D104" s="26"/>
      <c r="E104" s="4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2243</v>
      </c>
    </row>
    <row r="105" spans="1:53" s="4" customFormat="1" ht="12.75" customHeight="1">
      <c r="B105" s="5"/>
      <c r="C105" s="45"/>
      <c r="D105" s="26" t="s">
        <v>729</v>
      </c>
      <c r="E105" s="425" t="s">
        <v>1247</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59</v>
      </c>
      <c r="AG105" s="1708"/>
      <c r="AH105" s="1708"/>
      <c r="AI105" s="1708"/>
      <c r="AJ105" s="1708"/>
      <c r="AK105" s="1708"/>
      <c r="AL105" s="1708"/>
      <c r="AN105" s="281"/>
    </row>
    <row r="106" spans="1:53" s="4" customFormat="1" ht="12.75" customHeight="1">
      <c r="B106" s="5"/>
      <c r="C106" s="115"/>
      <c r="D106" s="26"/>
      <c r="E106" s="425" t="s">
        <v>1326</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5" t="s">
        <v>1327</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2217</v>
      </c>
    </row>
    <row r="108" spans="1:53" s="4" customFormat="1" ht="12.75" customHeight="1">
      <c r="B108" s="42"/>
      <c r="C108" s="45"/>
      <c r="D108" s="26"/>
      <c r="E108" s="42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2098</v>
      </c>
    </row>
    <row r="109" spans="1:53" s="4" customFormat="1" ht="12.75" customHeight="1">
      <c r="B109" s="5"/>
      <c r="C109" s="45"/>
      <c r="D109" s="26" t="s">
        <v>730</v>
      </c>
      <c r="E109" s="425" t="s">
        <v>1248</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60</v>
      </c>
      <c r="AG109" s="1708"/>
      <c r="AH109" s="1708"/>
      <c r="AI109" s="1708"/>
      <c r="AJ109" s="1708"/>
      <c r="AK109" s="1708"/>
      <c r="AL109" s="1708"/>
      <c r="AN109" s="281"/>
      <c r="AO109" s="4" t="s">
        <v>2099</v>
      </c>
    </row>
    <row r="110" spans="1:53" s="4" customFormat="1" ht="12.75" customHeight="1">
      <c r="B110" s="5"/>
      <c r="C110" s="45"/>
      <c r="D110" s="26"/>
      <c r="E110" s="425" t="s">
        <v>1328</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09" t="s">
        <v>729</v>
      </c>
      <c r="I112" s="1809"/>
      <c r="J112" s="116"/>
      <c r="K112" s="116"/>
      <c r="L112" s="116"/>
      <c r="M112" s="936" t="s">
        <v>2097</v>
      </c>
      <c r="R112" s="1813" t="s">
        <v>2217</v>
      </c>
      <c r="S112" s="1813"/>
      <c r="T112" s="1813"/>
      <c r="U112" s="1813"/>
      <c r="V112" s="1813"/>
      <c r="W112" s="1813"/>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7"/>
      <c r="AN112" s="956"/>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7"/>
      <c r="AN113" s="956"/>
    </row>
    <row r="114" spans="1:47" s="4" customFormat="1" ht="12.75" customHeight="1">
      <c r="B114" s="5"/>
      <c r="C114" s="115"/>
      <c r="D114" s="4" t="s">
        <v>1834</v>
      </c>
      <c r="E114" s="116"/>
      <c r="F114" s="116"/>
      <c r="G114" s="116"/>
      <c r="H114" s="116"/>
      <c r="I114" s="116"/>
      <c r="J114" s="116"/>
      <c r="K114" s="116"/>
      <c r="L114" s="116"/>
      <c r="M114" s="116"/>
      <c r="AN114" s="281"/>
      <c r="AP114" s="471"/>
      <c r="AU114" s="471"/>
    </row>
    <row r="115" spans="1:47" s="4" customFormat="1" ht="12.75" customHeight="1">
      <c r="B115" s="5"/>
      <c r="C115" s="115"/>
      <c r="D115" s="4" t="s">
        <v>2244</v>
      </c>
      <c r="E115" s="116"/>
      <c r="F115" s="116"/>
      <c r="G115" s="116"/>
      <c r="H115" s="116"/>
      <c r="I115" s="116"/>
      <c r="J115" s="116"/>
      <c r="K115" s="116"/>
      <c r="L115" s="116"/>
      <c r="M115" s="116"/>
      <c r="AN115" s="281"/>
    </row>
    <row r="116" spans="1:47" s="4" customFormat="1" ht="12.75" customHeight="1">
      <c r="B116" s="5"/>
      <c r="C116" s="115"/>
      <c r="D116" s="1648" t="s">
        <v>2245</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123</v>
      </c>
      <c r="AP116" s="471">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1469</v>
      </c>
      <c r="AP117" s="4">
        <v>3</v>
      </c>
    </row>
    <row r="118" spans="1:47" s="4" customFormat="1" ht="12.75" customHeight="1">
      <c r="B118" s="5"/>
      <c r="C118" s="115"/>
      <c r="E118" s="4" t="s">
        <v>146</v>
      </c>
      <c r="F118" s="116"/>
      <c r="G118" s="116"/>
      <c r="H118" s="1812" t="s">
        <v>123</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123</v>
      </c>
      <c r="C120" s="1645"/>
      <c r="D120" s="49"/>
      <c r="E120" s="1672" t="s">
        <v>1767</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1277</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579</v>
      </c>
      <c r="E128" s="1810" t="s">
        <v>1835</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60</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2.95"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101</v>
      </c>
      <c r="F133" s="682"/>
      <c r="G133" s="682"/>
      <c r="H133" s="682"/>
      <c r="I133" s="682"/>
      <c r="J133" s="682"/>
      <c r="K133" s="682"/>
      <c r="L133" s="682"/>
      <c r="M133" s="682"/>
      <c r="N133" s="682"/>
      <c r="O133" s="682"/>
      <c r="P133" s="682"/>
      <c r="Q133" s="682"/>
      <c r="R133" s="682"/>
      <c r="S133" s="1807" t="s">
        <v>123</v>
      </c>
      <c r="T133" s="1807"/>
      <c r="U133" s="682"/>
      <c r="V133" s="682"/>
      <c r="W133" s="682"/>
      <c r="X133" s="682"/>
      <c r="Y133" s="682"/>
      <c r="Z133" s="682"/>
      <c r="AA133" s="682"/>
      <c r="AB133" s="682"/>
      <c r="AC133" s="682"/>
      <c r="AD133" s="682"/>
      <c r="AF133" s="102"/>
      <c r="AG133" s="19"/>
      <c r="AH133" s="19"/>
      <c r="AI133" s="19"/>
      <c r="AJ133" s="19"/>
      <c r="AN133" s="281"/>
      <c r="AO133" s="4" t="s">
        <v>123</v>
      </c>
      <c r="AP133" s="471">
        <v>0</v>
      </c>
    </row>
    <row r="134" spans="1:42" s="4" customFormat="1" ht="12.75" customHeight="1">
      <c r="B134" s="102"/>
      <c r="C134" s="121"/>
      <c r="W134" s="19"/>
      <c r="X134" s="19"/>
      <c r="Y134" s="19"/>
      <c r="Z134" s="19"/>
      <c r="AA134" s="19"/>
      <c r="AB134" s="19"/>
      <c r="AN134" s="281"/>
      <c r="AO134" s="4" t="s">
        <v>579</v>
      </c>
      <c r="AP134" s="471">
        <v>3</v>
      </c>
    </row>
    <row r="135" spans="1:42" s="4" customFormat="1" ht="12.75" customHeight="1">
      <c r="B135" s="5"/>
      <c r="C135" s="45"/>
      <c r="D135" s="26" t="s">
        <v>196</v>
      </c>
      <c r="E135" s="344" t="s">
        <v>1249</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102</v>
      </c>
      <c r="AG135" s="1708"/>
      <c r="AH135" s="1708"/>
      <c r="AI135" s="1708"/>
      <c r="AJ135" s="1708"/>
      <c r="AK135" s="1708"/>
      <c r="AL135" s="1708"/>
      <c r="AN135" s="281"/>
      <c r="AO135" s="4" t="s">
        <v>196</v>
      </c>
      <c r="AP135" s="471">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09" t="s">
        <v>579</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5"/>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643</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1">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579</v>
      </c>
      <c r="AP141" s="471">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1">
        <v>2</v>
      </c>
    </row>
    <row r="143" spans="1:42" s="4" customFormat="1" ht="12.75" customHeight="1">
      <c r="D143" s="26" t="s">
        <v>579</v>
      </c>
      <c r="E143" s="19" t="s">
        <v>934</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60</v>
      </c>
      <c r="AG143" s="1708"/>
      <c r="AH143" s="1708"/>
      <c r="AI143" s="1708"/>
      <c r="AJ143" s="1708"/>
      <c r="AK143" s="1708"/>
      <c r="AL143" s="1708"/>
      <c r="AN143" s="281"/>
    </row>
    <row r="144" spans="1:42" s="4" customFormat="1" ht="12.75" customHeight="1">
      <c r="D144" s="26"/>
      <c r="E144" s="19" t="s">
        <v>935</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102</v>
      </c>
      <c r="AG146" s="1708"/>
      <c r="AH146" s="1708"/>
      <c r="AI146" s="1708"/>
      <c r="AJ146" s="1708"/>
      <c r="AK146" s="1708"/>
      <c r="AL146" s="1708"/>
      <c r="AN146" s="281"/>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09" t="s">
        <v>579</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644</v>
      </c>
      <c r="AJ151" s="1265">
        <f>VLOOKUP(H149,AO140:AP142,2,FALSE)</f>
        <v>3</v>
      </c>
      <c r="AK151" s="1267"/>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1120</v>
      </c>
      <c r="AN154" s="281"/>
    </row>
    <row r="155" spans="1:42" s="4" customFormat="1" ht="12.75" customHeight="1">
      <c r="C155" s="3"/>
      <c r="AN155" s="281"/>
    </row>
    <row r="156" spans="1:42" s="4" customFormat="1" ht="12.75" customHeight="1">
      <c r="C156" s="3"/>
      <c r="D156" s="26" t="s">
        <v>579</v>
      </c>
      <c r="E156" s="1672" t="s">
        <v>744</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7" t="s">
        <v>58</v>
      </c>
      <c r="AG156" s="1467"/>
      <c r="AH156" s="1467"/>
      <c r="AI156" s="1467"/>
      <c r="AJ156" s="1467"/>
      <c r="AK156" s="1467"/>
      <c r="AL156" s="1467"/>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2" t="s">
        <v>1711</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7" t="s">
        <v>59</v>
      </c>
      <c r="AG160" s="1467"/>
      <c r="AH160" s="1467"/>
      <c r="AI160" s="1467"/>
      <c r="AJ160" s="1467"/>
      <c r="AK160" s="1467"/>
      <c r="AL160" s="1467"/>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888</v>
      </c>
      <c r="E164" s="1672" t="s">
        <v>1712</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7" t="s">
        <v>60</v>
      </c>
      <c r="AG164" s="1467"/>
      <c r="AH164" s="1467"/>
      <c r="AI164" s="1467"/>
      <c r="AJ164" s="1467"/>
      <c r="AK164" s="1467"/>
      <c r="AL164" s="1467"/>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7"/>
      <c r="AF165" s="1467"/>
      <c r="AG165" s="1467"/>
      <c r="AH165" s="1467"/>
      <c r="AI165" s="1467"/>
      <c r="AJ165" s="1467"/>
      <c r="AK165" s="1467"/>
      <c r="AL165" s="966"/>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729</v>
      </c>
      <c r="E168" s="1672" t="s">
        <v>1713</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7" t="s">
        <v>59</v>
      </c>
      <c r="AG168" s="1467"/>
      <c r="AH168" s="1467"/>
      <c r="AI168" s="1467"/>
      <c r="AJ168" s="1467"/>
      <c r="AK168" s="1467"/>
      <c r="AL168" s="1467"/>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6"/>
      <c r="AF169" s="966"/>
      <c r="AG169" s="966"/>
      <c r="AH169" s="966"/>
      <c r="AI169" s="966"/>
      <c r="AJ169" s="966"/>
      <c r="AK169" s="966"/>
      <c r="AL169" s="966"/>
      <c r="AM169" s="20"/>
      <c r="AN169" s="281"/>
      <c r="AO169" s="4" t="s">
        <v>123</v>
      </c>
      <c r="AP169" s="471">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6"/>
      <c r="AF170" s="966"/>
      <c r="AG170" s="966"/>
      <c r="AH170" s="966"/>
      <c r="AI170" s="966"/>
      <c r="AJ170" s="966"/>
      <c r="AK170" s="966"/>
      <c r="AL170" s="966"/>
      <c r="AM170" s="20"/>
      <c r="AN170" s="281"/>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196</v>
      </c>
      <c r="AP171" s="127">
        <v>4</v>
      </c>
    </row>
    <row r="172" spans="1:42" s="4" customFormat="1" ht="12.75" customHeight="1">
      <c r="B172" s="5"/>
      <c r="C172" s="45"/>
      <c r="D172" s="26" t="s">
        <v>730</v>
      </c>
      <c r="E172" s="1672" t="s">
        <v>1714</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7" t="s">
        <v>60</v>
      </c>
      <c r="AG172" s="1467"/>
      <c r="AH172" s="1467"/>
      <c r="AI172" s="1467"/>
      <c r="AJ172" s="1467"/>
      <c r="AK172" s="1467"/>
      <c r="AL172" s="1467"/>
      <c r="AM172" s="20"/>
      <c r="AN172" s="281"/>
      <c r="AO172" s="26" t="s">
        <v>888</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729</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730</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2" t="s">
        <v>1471</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7" t="s">
        <v>102</v>
      </c>
      <c r="AG176" s="1467"/>
      <c r="AH176" s="1467"/>
      <c r="AI176" s="1467"/>
      <c r="AJ176" s="1467"/>
      <c r="AK176" s="1467"/>
      <c r="AL176" s="1467"/>
      <c r="AM176" s="20"/>
      <c r="AN176" s="281"/>
      <c r="AO176" s="26" t="s">
        <v>280</v>
      </c>
      <c r="AP176" s="4">
        <v>1</v>
      </c>
    </row>
    <row r="177" spans="1:61" s="4" customFormat="1" ht="22.95"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280</v>
      </c>
      <c r="E179" s="1672" t="s">
        <v>1472</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7" t="s">
        <v>317</v>
      </c>
      <c r="AG179" s="1467"/>
      <c r="AH179" s="1467"/>
      <c r="AI179" s="1467"/>
      <c r="AJ179" s="1467"/>
      <c r="AK179" s="1467"/>
      <c r="AL179" s="1467"/>
      <c r="AM179" s="20"/>
      <c r="AN179" s="281"/>
    </row>
    <row r="180" spans="1:61" s="4" customFormat="1" ht="22.95"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09" t="s">
        <v>196</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703</v>
      </c>
      <c r="AJ184" s="1265">
        <f>VLOOKUP($H$182,$AO$169:$AP$176,2,FALSE)</f>
        <v>4</v>
      </c>
      <c r="AK184" s="1267"/>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579</v>
      </c>
      <c r="E188" s="1646" t="s">
        <v>2308</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1" t="s">
        <v>60</v>
      </c>
      <c r="AG188" s="1301"/>
      <c r="AH188" s="1301"/>
      <c r="AI188" s="1301"/>
      <c r="AJ188" s="1301"/>
      <c r="AK188" s="1301"/>
      <c r="AL188" s="1301"/>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2" t="s">
        <v>2231</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7" t="s">
        <v>60</v>
      </c>
      <c r="AG191" s="1467"/>
      <c r="AH191" s="1467"/>
      <c r="AI191" s="1467"/>
      <c r="AJ191" s="1467"/>
      <c r="AK191" s="1467"/>
      <c r="AL191" s="1467"/>
      <c r="AN191" s="281"/>
      <c r="AO191" s="26" t="s">
        <v>579</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7"/>
      <c r="AG192" s="1467"/>
      <c r="AH192" s="1467"/>
      <c r="AI192" s="1467"/>
      <c r="AJ192" s="1467"/>
      <c r="AK192" s="1467"/>
      <c r="AL192" s="1467"/>
      <c r="AN192" s="281"/>
      <c r="AO192" s="26" t="s">
        <v>196</v>
      </c>
      <c r="AP192" s="26">
        <f>3*$AO$197</f>
        <v>3</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888</v>
      </c>
      <c r="AP193" s="26">
        <f>2*$AO$197</f>
        <v>2</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888</v>
      </c>
      <c r="E196" s="1672" t="s">
        <v>2232</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7" t="s">
        <v>102</v>
      </c>
      <c r="AG196" s="1467"/>
      <c r="AH196" s="1467"/>
      <c r="AI196" s="1467"/>
      <c r="AJ196" s="1467"/>
      <c r="AK196" s="1467"/>
      <c r="AL196" s="1467"/>
      <c r="AN196" s="281"/>
      <c r="AY196" s="4" t="s">
        <v>2233</v>
      </c>
      <c r="AZ196" s="958">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7"/>
      <c r="AG197" s="1467"/>
      <c r="AH197" s="1467"/>
      <c r="AI197" s="1467"/>
      <c r="AJ197" s="1467"/>
      <c r="AK197" s="1467"/>
      <c r="AL197" s="1467"/>
      <c r="AN197" s="281"/>
      <c r="AO197" s="127" t="b">
        <f>IF(OR(Application!D214="Special Needs",Application!D211="At-Risk and Special Needs"),IF(BA203&gt;=0.25,TRUE,FALSE),IF(AZ203&gt;=0.25,TRUE,FALSE))</f>
        <v>1</v>
      </c>
      <c r="AY197" s="4" t="s">
        <v>2234</v>
      </c>
      <c r="AZ197" s="958">
        <f>Application!G730</f>
        <v>71</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2236</v>
      </c>
      <c r="AZ198" s="4">
        <f>Application!CC626</f>
        <v>18</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2237</v>
      </c>
      <c r="AZ199">
        <f>Application!CH626</f>
        <v>0</v>
      </c>
    </row>
    <row r="200" spans="1:53" customFormat="1" ht="4.9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2290</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2238</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2239</v>
      </c>
      <c r="AZ202">
        <f>AZ198+AZ199+AZ201</f>
        <v>18</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2240</v>
      </c>
      <c r="AZ203">
        <f>IFERROR(AZ202/AZ197,0)</f>
        <v>0.25352112676056338</v>
      </c>
      <c r="BA203">
        <f>IFERROR(AZ202/(AZ197-AZ196),0)</f>
        <v>0.25352112676056338</v>
      </c>
    </row>
    <row r="204" spans="1:53" customFormat="1" ht="12.75" customHeight="1">
      <c r="A204" s="4"/>
      <c r="B204" s="5"/>
      <c r="C204" s="45"/>
      <c r="D204" s="4" t="s">
        <v>146</v>
      </c>
      <c r="E204" s="116"/>
      <c r="F204" s="116"/>
      <c r="G204" s="116"/>
      <c r="H204" s="1809" t="s">
        <v>888</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2199</v>
      </c>
      <c r="AJ206" s="1265">
        <f>VLOOKUP($H$204,$AO$190:$AP$193,2,FALSE)</f>
        <v>2</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579</v>
      </c>
      <c r="E210" s="1808" t="s">
        <v>1252</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60</v>
      </c>
      <c r="AG210" s="1708"/>
      <c r="AH210" s="1708"/>
      <c r="AI210" s="1708"/>
      <c r="AJ210" s="1708"/>
      <c r="AK210" s="1708"/>
      <c r="AL210" s="1708"/>
      <c r="AM210" s="4"/>
      <c r="AN210" s="204"/>
      <c r="AO210" s="4" t="s">
        <v>123</v>
      </c>
      <c r="AP210" s="471">
        <v>0</v>
      </c>
    </row>
    <row r="211" spans="1:52" customFormat="1" ht="11.7"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579</v>
      </c>
      <c r="AP211" s="4">
        <v>3</v>
      </c>
    </row>
    <row r="212" spans="1:52" customFormat="1" ht="13.95"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196</v>
      </c>
      <c r="AP212" s="4">
        <v>2</v>
      </c>
    </row>
    <row r="213" spans="1:52" customFormat="1" ht="13.95" customHeight="1">
      <c r="A213" s="4"/>
      <c r="B213" s="5"/>
      <c r="C213" s="45"/>
      <c r="D213" s="26" t="s">
        <v>196</v>
      </c>
      <c r="E213" s="1873" t="s">
        <v>1253</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8" t="s">
        <v>102</v>
      </c>
      <c r="AG213" s="1708"/>
      <c r="AH213" s="1708"/>
      <c r="AI213" s="1708"/>
      <c r="AJ213" s="1708"/>
      <c r="AK213" s="1708"/>
      <c r="AL213" s="1708"/>
      <c r="AM213" s="4"/>
      <c r="AN213" s="672"/>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809" t="s">
        <v>123</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1487</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579</v>
      </c>
      <c r="E222" s="1672" t="s">
        <v>1488</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60</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2" t="s">
        <v>880</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102</v>
      </c>
      <c r="AG225" s="1708"/>
      <c r="AH225" s="1708"/>
      <c r="AI225" s="1708"/>
      <c r="AJ225" s="1708"/>
      <c r="AK225" s="1708"/>
      <c r="AL225" s="1708"/>
      <c r="AM225" s="4"/>
      <c r="AN225" s="204"/>
      <c r="AO225" s="4" t="s">
        <v>123</v>
      </c>
      <c r="AP225" s="471">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579</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09" t="s">
        <v>123</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2" t="s">
        <v>1121</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60</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8"/>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2" t="s">
        <v>1122</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102</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09" t="s">
        <v>579</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8"/>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860</v>
      </c>
      <c r="AJ244" s="1265">
        <f>VLOOKUP($H$242,$AO$225:$AP$227,2,FALSE)</f>
        <v>3</v>
      </c>
      <c r="AK244" s="1267"/>
      <c r="AL244" s="10"/>
      <c r="AM244" s="4"/>
      <c r="AN244" s="668"/>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8"/>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8"/>
      <c r="AO246" s="4" t="s">
        <v>123</v>
      </c>
      <c r="AP246" s="471">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8"/>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2" t="s">
        <v>316</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102</v>
      </c>
      <c r="AG248" s="1708"/>
      <c r="AH248" s="1708"/>
      <c r="AI248" s="1708"/>
      <c r="AJ248" s="1708"/>
      <c r="AK248" s="1708"/>
      <c r="AL248" s="1708"/>
      <c r="AM248" s="4"/>
      <c r="AN248" s="668"/>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8"/>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8"/>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2" t="s">
        <v>1254</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317</v>
      </c>
      <c r="AG251" s="1708"/>
      <c r="AH251" s="1708"/>
      <c r="AI251" s="1708"/>
      <c r="AJ251" s="1708"/>
      <c r="AK251" s="1708"/>
      <c r="AL251" s="1708"/>
      <c r="AM251" s="4"/>
      <c r="AN251" s="668"/>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8"/>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8"/>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09" t="s">
        <v>579</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8"/>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8"/>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5">
        <f>VLOOKUP($H$254,$AO$246:$AP$248,2,FALSE)</f>
        <v>2</v>
      </c>
      <c r="AK256" s="1267"/>
      <c r="AL256" s="10"/>
      <c r="AM256" s="4"/>
      <c r="AN256" s="668"/>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8"/>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8"/>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5" customHeight="1">
      <c r="A260" s="4"/>
      <c r="B260" s="102"/>
      <c r="C260" s="137"/>
      <c r="D260" s="26" t="s">
        <v>579</v>
      </c>
      <c r="E260" s="1672" t="s">
        <v>1947</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102</v>
      </c>
      <c r="AG260" s="1708"/>
      <c r="AH260" s="1708"/>
      <c r="AI260" s="1708"/>
      <c r="AJ260" s="1708"/>
      <c r="AK260" s="1708"/>
      <c r="AL260" s="1708"/>
      <c r="AM260" s="104"/>
      <c r="AN260" s="204"/>
      <c r="AO260" s="4" t="s">
        <v>123</v>
      </c>
      <c r="AP260" s="471">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8"/>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8"/>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78" t="s">
        <v>1948</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8" t="s">
        <v>60</v>
      </c>
      <c r="AG264" s="1708"/>
      <c r="AH264" s="1708"/>
      <c r="AI264" s="1708"/>
      <c r="AJ264" s="1708"/>
      <c r="AK264" s="1708"/>
      <c r="AL264" s="1708"/>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09" t="s">
        <v>123</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7"/>
      <c r="AT272" s="427"/>
      <c r="AU272" s="427"/>
      <c r="AV272" s="427"/>
      <c r="AW272" s="427"/>
      <c r="AX272" s="427"/>
      <c r="AY272" s="427"/>
      <c r="AZ272" s="427"/>
      <c r="BA272" s="427"/>
      <c r="BB272" s="427"/>
      <c r="BC272" s="427"/>
      <c r="BD272" s="640"/>
      <c r="BE272" s="640"/>
      <c r="BF272" s="640"/>
      <c r="BG272" s="640"/>
      <c r="BH272" s="640"/>
      <c r="BI272" s="427"/>
      <c r="BJ272" s="427"/>
      <c r="BK272" s="427"/>
      <c r="BL272" s="427"/>
      <c r="BM272" s="427"/>
      <c r="BN272" s="427"/>
      <c r="BO272" s="427"/>
      <c r="BP272" s="427"/>
      <c r="BQ272" s="427"/>
      <c r="BR272" s="427"/>
      <c r="BS272" s="427"/>
      <c r="BT272" s="427"/>
      <c r="BU272" s="427"/>
      <c r="BV272" s="427"/>
      <c r="BW272" s="427"/>
      <c r="BX272" s="427"/>
      <c r="BY272" s="427"/>
      <c r="BZ272" s="427"/>
      <c r="CA272" s="427"/>
      <c r="CB272" s="427"/>
      <c r="CC272" s="427"/>
      <c r="CD272" s="427"/>
    </row>
    <row r="273" spans="1:82" customFormat="1">
      <c r="A273" s="4"/>
      <c r="B273" s="102"/>
      <c r="C273" s="3" t="s">
        <v>1630</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7"/>
      <c r="AU273" s="427"/>
      <c r="AV273" s="427"/>
      <c r="AW273" s="427"/>
      <c r="AX273" s="427"/>
      <c r="AY273" s="427"/>
      <c r="AZ273" s="427"/>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7"/>
      <c r="AT274" s="427"/>
      <c r="AU274" s="427"/>
      <c r="AV274" s="427"/>
      <c r="AW274" s="427"/>
      <c r="AX274" s="427"/>
      <c r="AY274" s="427"/>
      <c r="AZ274" s="427"/>
      <c r="BA274" s="427"/>
      <c r="BB274" s="427"/>
      <c r="BC274" s="427"/>
      <c r="BD274" s="640"/>
      <c r="BE274" s="640"/>
      <c r="BF274" s="640"/>
      <c r="BG274" s="640"/>
      <c r="BH274" s="640"/>
      <c r="BI274" s="427"/>
      <c r="BJ274" s="427"/>
      <c r="BK274" s="427"/>
      <c r="BL274" s="427"/>
      <c r="BM274" s="427"/>
      <c r="BN274" s="427"/>
      <c r="BO274" s="427"/>
      <c r="BP274" s="427"/>
      <c r="BQ274" s="427"/>
      <c r="BR274" s="427"/>
      <c r="BS274" s="427"/>
      <c r="BT274" s="427"/>
      <c r="BU274" s="427"/>
      <c r="BV274" s="427"/>
      <c r="BW274" s="427"/>
      <c r="BX274" s="427"/>
      <c r="BY274" s="427"/>
      <c r="BZ274" s="427"/>
      <c r="CA274" s="427"/>
      <c r="CB274" s="427"/>
      <c r="CC274" s="427"/>
      <c r="CD274" s="427"/>
    </row>
    <row r="275" spans="1:82" customFormat="1" ht="13.95" customHeight="1">
      <c r="A275" s="4"/>
      <c r="B275" s="102"/>
      <c r="C275" s="137"/>
      <c r="D275" s="26" t="s">
        <v>579</v>
      </c>
      <c r="E275" s="1672" t="s">
        <v>2207</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1631</v>
      </c>
      <c r="AG275" s="1708"/>
      <c r="AH275" s="1708"/>
      <c r="AI275" s="1708"/>
      <c r="AJ275" s="1708"/>
      <c r="AK275" s="1708"/>
      <c r="AL275" s="1708"/>
      <c r="AM275" s="104"/>
      <c r="AN275" s="204"/>
      <c r="AO275" s="26" t="s">
        <v>107</v>
      </c>
      <c r="AP275" s="4">
        <v>8</v>
      </c>
      <c r="AT275" s="427"/>
      <c r="AU275" s="427"/>
      <c r="AV275" s="427"/>
      <c r="AW275" s="427"/>
      <c r="AX275" s="427"/>
      <c r="AY275" s="427"/>
      <c r="AZ275" s="427"/>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7"/>
      <c r="AU276" s="427"/>
      <c r="AV276" s="427"/>
      <c r="AW276" s="427"/>
      <c r="AX276" s="427"/>
      <c r="AY276" s="427"/>
      <c r="AZ276" s="427"/>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7"/>
      <c r="AU277" s="427"/>
      <c r="AV277" s="427"/>
      <c r="AW277" s="427"/>
      <c r="AX277" s="427"/>
      <c r="AY277" s="427"/>
      <c r="AZ277" s="427"/>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7"/>
      <c r="AU278" s="427"/>
      <c r="AV278" s="427"/>
      <c r="AW278" s="427"/>
      <c r="AX278" s="427"/>
      <c r="AY278" s="427"/>
      <c r="AZ278" s="427"/>
    </row>
    <row r="279" spans="1:82" customFormat="1">
      <c r="A279" s="4"/>
      <c r="B279" s="102"/>
      <c r="C279" s="137"/>
      <c r="D279" s="4" t="s">
        <v>146</v>
      </c>
      <c r="E279" s="116"/>
      <c r="F279" s="116"/>
      <c r="G279" s="116"/>
      <c r="H279" s="1809" t="s">
        <v>123</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7"/>
      <c r="AT279" s="427"/>
      <c r="AU279" s="427"/>
      <c r="AV279" s="427"/>
      <c r="AW279" s="427"/>
      <c r="AX279" s="427"/>
      <c r="AY279" s="427"/>
      <c r="AZ279" s="427"/>
      <c r="BA279" s="427"/>
      <c r="BB279" s="427"/>
      <c r="BC279" s="427"/>
      <c r="BD279" s="640"/>
      <c r="BE279" s="640"/>
      <c r="BF279" s="640"/>
      <c r="BG279" s="640"/>
      <c r="BH279" s="640"/>
      <c r="BI279" s="427"/>
      <c r="BJ279" s="427"/>
      <c r="BK279" s="427"/>
      <c r="BL279" s="427"/>
      <c r="BM279" s="427"/>
      <c r="BN279" s="427"/>
      <c r="BO279" s="427"/>
      <c r="BP279" s="427"/>
      <c r="BQ279" s="427"/>
      <c r="BR279" s="427"/>
      <c r="BS279" s="427"/>
      <c r="BT279" s="427"/>
      <c r="BU279" s="427"/>
      <c r="BV279" s="427"/>
      <c r="BW279" s="427"/>
      <c r="BX279" s="427"/>
      <c r="BY279" s="427"/>
      <c r="BZ279" s="427"/>
      <c r="CA279" s="427"/>
      <c r="CB279" s="427"/>
      <c r="CC279" s="427"/>
      <c r="CD279" s="427"/>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7"/>
      <c r="AU280" s="427"/>
      <c r="AV280" s="427"/>
      <c r="AW280" s="427"/>
      <c r="AX280" s="427"/>
      <c r="AY280" s="427"/>
      <c r="AZ280" s="427"/>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1720</v>
      </c>
      <c r="AJ281" s="1265">
        <f>VLOOKUP($H$279,$AO$274:$AP$275,2,FALSE)</f>
        <v>0</v>
      </c>
      <c r="AK281" s="1267"/>
      <c r="AL281" s="10"/>
      <c r="AM281" s="4"/>
      <c r="AN281" s="204"/>
      <c r="AS281" s="427"/>
      <c r="AT281" s="427"/>
      <c r="AU281" s="427"/>
      <c r="AV281" s="427"/>
      <c r="AW281" s="427"/>
      <c r="AX281" s="427"/>
      <c r="AY281" s="427"/>
      <c r="AZ281" s="427"/>
      <c r="BA281" s="427"/>
      <c r="BB281" s="427"/>
      <c r="BC281" s="427"/>
      <c r="BD281" s="640"/>
      <c r="BE281" s="640"/>
      <c r="BF281" s="640"/>
      <c r="BG281" s="640"/>
      <c r="BH281" s="640"/>
      <c r="BI281" s="427"/>
      <c r="BJ281" s="427"/>
      <c r="BK281" s="427"/>
      <c r="BL281" s="427"/>
      <c r="BM281" s="427"/>
      <c r="BN281" s="427"/>
      <c r="BO281" s="427"/>
      <c r="BP281" s="427"/>
      <c r="BQ281" s="427"/>
      <c r="BR281" s="427"/>
      <c r="BS281" s="427"/>
      <c r="BT281" s="427"/>
      <c r="BU281" s="427"/>
      <c r="BV281" s="427"/>
      <c r="BW281" s="427"/>
      <c r="BX281" s="427"/>
      <c r="BY281" s="427"/>
      <c r="BZ281" s="427"/>
      <c r="CA281" s="427"/>
      <c r="CB281" s="427"/>
      <c r="CC281" s="427"/>
      <c r="CD281" s="427"/>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21</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3" t="s">
        <v>2479</v>
      </c>
      <c r="I287" s="1107"/>
      <c r="J287" s="1107"/>
      <c r="K287" s="1107"/>
      <c r="L287" s="1107"/>
      <c r="M287" s="1107"/>
      <c r="N287" s="1107"/>
      <c r="O287" s="1107"/>
      <c r="P287" s="1107"/>
      <c r="Q287" s="1107"/>
      <c r="R287" s="1107"/>
      <c r="S287"/>
      <c r="T287" s="41" t="s">
        <v>88</v>
      </c>
      <c r="U287"/>
      <c r="V287" s="41"/>
      <c r="W287" s="41"/>
      <c r="X287" s="41"/>
      <c r="Y287" s="41"/>
      <c r="Z287"/>
      <c r="AA287" s="1103" t="s">
        <v>2419</v>
      </c>
      <c r="AB287" s="1107"/>
      <c r="AC287" s="1107"/>
      <c r="AD287" s="1107"/>
      <c r="AE287" s="1107"/>
      <c r="AF287" s="1107"/>
      <c r="AG287" s="1107"/>
      <c r="AH287" s="1107"/>
      <c r="AI287" s="1107"/>
      <c r="AJ287" s="1107"/>
      <c r="AK287" s="1107"/>
      <c r="AL287" s="10"/>
      <c r="AN287" s="281"/>
      <c r="AP287" t="s">
        <v>90</v>
      </c>
    </row>
    <row r="288" spans="1:82" s="4" customFormat="1" ht="12.75" customHeight="1">
      <c r="B288" s="41" t="s">
        <v>697</v>
      </c>
      <c r="C288" s="41"/>
      <c r="D288" s="41"/>
      <c r="E288" s="41"/>
      <c r="F288" s="41"/>
      <c r="G288"/>
      <c r="H288" s="1352" t="s">
        <v>2480</v>
      </c>
      <c r="I288" s="1258"/>
      <c r="J288" s="1258"/>
      <c r="K288" s="1258"/>
      <c r="L288" s="1258"/>
      <c r="M288" s="1258"/>
      <c r="N288" s="1258"/>
      <c r="O288" s="1258"/>
      <c r="P288" s="1258"/>
      <c r="Q288" s="1258"/>
      <c r="R288" s="1258"/>
      <c r="S288"/>
      <c r="T288" s="41" t="s">
        <v>697</v>
      </c>
      <c r="U288"/>
      <c r="V288" s="41"/>
      <c r="W288" s="41"/>
      <c r="X288" s="41"/>
      <c r="Y288" s="41"/>
      <c r="Z288"/>
      <c r="AA288" s="1352" t="s">
        <v>2420</v>
      </c>
      <c r="AB288" s="1258"/>
      <c r="AC288" s="1258"/>
      <c r="AD288" s="1258"/>
      <c r="AE288" s="1258"/>
      <c r="AF288" s="1258"/>
      <c r="AG288" s="1258"/>
      <c r="AH288" s="1258"/>
      <c r="AI288" s="1258"/>
      <c r="AJ288" s="1258"/>
      <c r="AK288" s="1258"/>
      <c r="AL288" s="10"/>
      <c r="AN288" s="281"/>
      <c r="AP288" t="s">
        <v>91</v>
      </c>
    </row>
    <row r="289" spans="1:42" s="4" customFormat="1" ht="12.75" customHeight="1">
      <c r="B289" s="41" t="s">
        <v>98</v>
      </c>
      <c r="C289" s="41"/>
      <c r="D289" s="41"/>
      <c r="E289" s="41"/>
      <c r="F289" s="41"/>
      <c r="G289"/>
      <c r="H289" s="1352" t="s">
        <v>2415</v>
      </c>
      <c r="I289" s="1258"/>
      <c r="J289" s="1258"/>
      <c r="K289" s="1258"/>
      <c r="L289" s="1258"/>
      <c r="M289" s="1258"/>
      <c r="N289" s="1258"/>
      <c r="O289" s="1258"/>
      <c r="P289" s="1258"/>
      <c r="Q289" s="1258"/>
      <c r="R289" s="1258"/>
      <c r="S289"/>
      <c r="T289" s="41" t="s">
        <v>98</v>
      </c>
      <c r="U289"/>
      <c r="V289" s="41"/>
      <c r="W289" s="41"/>
      <c r="X289" s="41"/>
      <c r="Y289" s="41"/>
      <c r="Z289"/>
      <c r="AA289" s="1352" t="s">
        <v>2415</v>
      </c>
      <c r="AB289" s="1258"/>
      <c r="AC289" s="1258"/>
      <c r="AD289" s="1258"/>
      <c r="AE289" s="1258"/>
      <c r="AF289" s="1258"/>
      <c r="AG289" s="1258"/>
      <c r="AH289" s="1258"/>
      <c r="AI289" s="1258"/>
      <c r="AJ289" s="1258"/>
      <c r="AK289" s="1258"/>
      <c r="AL289" s="10"/>
      <c r="AN289" s="281"/>
      <c r="AO289" s="211"/>
      <c r="AP289" t="s">
        <v>92</v>
      </c>
    </row>
    <row r="290" spans="1:42" s="4" customFormat="1" ht="12.75" customHeight="1">
      <c r="B290" s="41" t="s">
        <v>373</v>
      </c>
      <c r="C290" s="41"/>
      <c r="D290" s="41"/>
      <c r="E290" s="41"/>
      <c r="F290" s="41"/>
      <c r="G290"/>
      <c r="H290" s="1352" t="s">
        <v>2416</v>
      </c>
      <c r="I290" s="1258"/>
      <c r="J290" s="1258"/>
      <c r="K290" s="1258"/>
      <c r="L290" s="1258"/>
      <c r="M290" s="1258"/>
      <c r="N290" s="1258"/>
      <c r="O290" s="1258"/>
      <c r="P290" s="1258"/>
      <c r="Q290" s="1258"/>
      <c r="R290" s="1258"/>
      <c r="S290"/>
      <c r="T290" s="41" t="s">
        <v>373</v>
      </c>
      <c r="U290"/>
      <c r="V290" s="41"/>
      <c r="W290" s="41"/>
      <c r="X290" s="41"/>
      <c r="Y290" s="41"/>
      <c r="Z290"/>
      <c r="AA290" s="1352" t="s">
        <v>2421</v>
      </c>
      <c r="AB290" s="1258"/>
      <c r="AC290" s="1258"/>
      <c r="AD290" s="1258"/>
      <c r="AE290" s="1258"/>
      <c r="AF290" s="1258"/>
      <c r="AG290" s="1258"/>
      <c r="AH290" s="1258"/>
      <c r="AI290" s="1258"/>
      <c r="AJ290" s="1258"/>
      <c r="AK290" s="1258"/>
      <c r="AL290" s="10"/>
      <c r="AN290" s="281"/>
      <c r="AO290" s="211"/>
      <c r="AP290" t="s">
        <v>346</v>
      </c>
    </row>
    <row r="291" spans="1:42" s="4" customFormat="1" ht="12.75" customHeight="1">
      <c r="B291" s="41" t="s">
        <v>374</v>
      </c>
      <c r="C291" s="41"/>
      <c r="D291" s="41"/>
      <c r="E291" s="41"/>
      <c r="F291" s="41"/>
      <c r="G291" s="41"/>
      <c r="H291" s="1404" t="s">
        <v>2417</v>
      </c>
      <c r="I291" s="1405"/>
      <c r="J291" s="1405"/>
      <c r="K291" s="1405"/>
      <c r="L291" s="1405"/>
      <c r="M291" s="1405"/>
      <c r="N291" s="5" t="s">
        <v>816</v>
      </c>
      <c r="O291" s="5"/>
      <c r="P291" s="1393"/>
      <c r="Q291" s="1393"/>
      <c r="R291" s="1393"/>
      <c r="S291" s="41"/>
      <c r="T291" s="41" t="s">
        <v>374</v>
      </c>
      <c r="U291"/>
      <c r="V291" s="41"/>
      <c r="W291" s="41"/>
      <c r="X291" s="41"/>
      <c r="Y291" s="41"/>
      <c r="Z291"/>
      <c r="AA291" s="1404" t="s">
        <v>2422</v>
      </c>
      <c r="AB291" s="1405"/>
      <c r="AC291" s="1405"/>
      <c r="AD291" s="1405"/>
      <c r="AE291" s="1405"/>
      <c r="AF291" s="1405"/>
      <c r="AG291" s="5" t="s">
        <v>816</v>
      </c>
      <c r="AH291" s="5"/>
      <c r="AI291" s="1393"/>
      <c r="AJ291" s="1393"/>
      <c r="AK291" s="1393"/>
      <c r="AL291" s="10"/>
      <c r="AN291" s="281"/>
      <c r="AO291" s="211"/>
      <c r="AP291" t="s">
        <v>2314</v>
      </c>
    </row>
    <row r="292" spans="1:42" s="4" customFormat="1" ht="12.75" customHeight="1">
      <c r="B292" s="41" t="s">
        <v>87</v>
      </c>
      <c r="C292" s="41"/>
      <c r="D292" s="41"/>
      <c r="E292" s="41"/>
      <c r="F292" s="41"/>
      <c r="G292" s="41"/>
      <c r="H292" s="1258" t="s">
        <v>90</v>
      </c>
      <c r="I292" s="1258"/>
      <c r="J292" s="1258"/>
      <c r="K292" s="1258"/>
      <c r="L292" s="1258"/>
      <c r="M292" s="1258"/>
      <c r="N292" s="1258"/>
      <c r="O292" s="1258"/>
      <c r="P292" s="1258"/>
      <c r="Q292" s="1258"/>
      <c r="R292" s="1258"/>
      <c r="S292" s="41"/>
      <c r="T292" s="41" t="s">
        <v>87</v>
      </c>
      <c r="U292"/>
      <c r="V292" s="41"/>
      <c r="W292" s="41"/>
      <c r="X292" s="41"/>
      <c r="Y292" s="41"/>
      <c r="Z292"/>
      <c r="AA292" s="1258" t="s">
        <v>91</v>
      </c>
      <c r="AB292" s="1258"/>
      <c r="AC292" s="1258"/>
      <c r="AD292" s="1258"/>
      <c r="AE292" s="1258"/>
      <c r="AF292" s="1258"/>
      <c r="AG292" s="1258"/>
      <c r="AH292" s="1258"/>
      <c r="AI292" s="1258"/>
      <c r="AJ292" s="1258"/>
      <c r="AK292" s="1258"/>
      <c r="AL292" s="10"/>
      <c r="AN292" s="281"/>
      <c r="AO292" s="211"/>
      <c r="AP292" t="s">
        <v>99</v>
      </c>
    </row>
    <row r="293" spans="1:42" s="4" customFormat="1" ht="12.75" customHeight="1">
      <c r="B293" s="41" t="s">
        <v>89</v>
      </c>
      <c r="C293" s="41"/>
      <c r="D293" s="41"/>
      <c r="E293" s="41"/>
      <c r="F293" s="41"/>
      <c r="G293" s="41"/>
      <c r="H293" s="1352" t="s">
        <v>2418</v>
      </c>
      <c r="I293" s="1258"/>
      <c r="J293" s="1258"/>
      <c r="K293" s="1258"/>
      <c r="L293" s="1258"/>
      <c r="M293" s="1258"/>
      <c r="N293" s="1258"/>
      <c r="O293" s="1258"/>
      <c r="P293" s="1258"/>
      <c r="Q293" s="1258"/>
      <c r="R293" s="1258"/>
      <c r="S293" s="41"/>
      <c r="T293" s="41" t="s">
        <v>89</v>
      </c>
      <c r="U293"/>
      <c r="V293" s="41"/>
      <c r="W293" s="41"/>
      <c r="X293" s="41"/>
      <c r="Y293" s="41"/>
      <c r="Z293"/>
      <c r="AA293" s="1352" t="s">
        <v>2423</v>
      </c>
      <c r="AB293" s="1258"/>
      <c r="AC293" s="1258"/>
      <c r="AD293" s="1258"/>
      <c r="AE293" s="1258"/>
      <c r="AF293" s="1258"/>
      <c r="AG293" s="1258"/>
      <c r="AH293" s="1258"/>
      <c r="AI293" s="1258"/>
      <c r="AJ293" s="1258"/>
      <c r="AK293" s="1258"/>
      <c r="AL293" s="10"/>
      <c r="AN293" s="281"/>
      <c r="AP293" t="s">
        <v>96</v>
      </c>
    </row>
    <row r="294" spans="1:42" s="4" customFormat="1" ht="12.75" customHeight="1">
      <c r="B294" s="41" t="s">
        <v>100</v>
      </c>
      <c r="C294" s="41"/>
      <c r="D294" s="41"/>
      <c r="E294" s="41"/>
      <c r="F294" s="41"/>
      <c r="G294" s="41"/>
      <c r="H294" s="1671">
        <v>0.1</v>
      </c>
      <c r="I294" s="1671"/>
      <c r="J294" s="1671"/>
      <c r="K294" s="1671"/>
      <c r="L294" s="1671"/>
      <c r="M294" s="1671"/>
      <c r="N294" s="1671"/>
      <c r="O294" s="1671"/>
      <c r="P294" s="1671"/>
      <c r="Q294" s="1671"/>
      <c r="R294" s="1671"/>
      <c r="S294" s="41"/>
      <c r="T294" s="41" t="s">
        <v>100</v>
      </c>
      <c r="U294" s="41"/>
      <c r="V294" s="41"/>
      <c r="W294" s="41"/>
      <c r="X294" s="41"/>
      <c r="Y294" s="41"/>
      <c r="Z294" s="12"/>
      <c r="AA294" s="1671">
        <v>0.15</v>
      </c>
      <c r="AB294" s="1671"/>
      <c r="AC294" s="1671"/>
      <c r="AD294" s="1671"/>
      <c r="AE294" s="1671"/>
      <c r="AF294" s="1671"/>
      <c r="AG294" s="1671"/>
      <c r="AH294" s="1671"/>
      <c r="AI294" s="1671"/>
      <c r="AJ294" s="1671"/>
      <c r="AK294" s="1671"/>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3" t="s">
        <v>2424</v>
      </c>
      <c r="I296" s="1107"/>
      <c r="J296" s="1107"/>
      <c r="K296" s="1107"/>
      <c r="L296" s="1107"/>
      <c r="M296" s="1107"/>
      <c r="N296" s="1107"/>
      <c r="O296" s="1107"/>
      <c r="P296" s="1107"/>
      <c r="Q296" s="1107"/>
      <c r="R296" s="1107"/>
      <c r="S296"/>
      <c r="T296" s="41" t="s">
        <v>88</v>
      </c>
      <c r="U296"/>
      <c r="V296" s="41"/>
      <c r="W296" s="41"/>
      <c r="X296" s="41"/>
      <c r="Y296" s="41"/>
      <c r="Z296"/>
      <c r="AA296" s="1103" t="s">
        <v>2433</v>
      </c>
      <c r="AB296" s="1107"/>
      <c r="AC296" s="1107"/>
      <c r="AD296" s="1107"/>
      <c r="AE296" s="1107"/>
      <c r="AF296" s="1107"/>
      <c r="AG296" s="1107"/>
      <c r="AH296" s="1107"/>
      <c r="AI296" s="1107"/>
      <c r="AJ296" s="1107"/>
      <c r="AK296" s="1107"/>
      <c r="AL296" s="10"/>
      <c r="AN296" s="281"/>
      <c r="AP296" t="s">
        <v>95</v>
      </c>
    </row>
    <row r="297" spans="1:42" s="20" customFormat="1" ht="12.75" customHeight="1">
      <c r="A297" s="4"/>
      <c r="B297" s="41" t="s">
        <v>697</v>
      </c>
      <c r="C297" s="41"/>
      <c r="D297" s="41"/>
      <c r="E297" s="41"/>
      <c r="F297" s="41"/>
      <c r="G297"/>
      <c r="H297" s="1352" t="s">
        <v>2425</v>
      </c>
      <c r="I297" s="1258"/>
      <c r="J297" s="1258"/>
      <c r="K297" s="1258"/>
      <c r="L297" s="1258"/>
      <c r="M297" s="1258"/>
      <c r="N297" s="1258"/>
      <c r="O297" s="1258"/>
      <c r="P297" s="1258"/>
      <c r="Q297" s="1258"/>
      <c r="R297" s="1258"/>
      <c r="S297"/>
      <c r="T297" s="41" t="s">
        <v>697</v>
      </c>
      <c r="U297"/>
      <c r="V297" s="41"/>
      <c r="W297" s="41"/>
      <c r="X297" s="41"/>
      <c r="Y297" s="41"/>
      <c r="Z297"/>
      <c r="AA297" s="1352" t="s">
        <v>2429</v>
      </c>
      <c r="AB297" s="1258"/>
      <c r="AC297" s="1258"/>
      <c r="AD297" s="1258"/>
      <c r="AE297" s="1258"/>
      <c r="AF297" s="1258"/>
      <c r="AG297" s="1258"/>
      <c r="AH297" s="1258"/>
      <c r="AI297" s="1258"/>
      <c r="AJ297" s="1258"/>
      <c r="AK297" s="1258"/>
      <c r="AL297" s="10"/>
      <c r="AM297" s="4"/>
      <c r="AN297" s="281"/>
      <c r="AO297" s="4"/>
      <c r="AP297" s="48" t="s">
        <v>347</v>
      </c>
    </row>
    <row r="298" spans="1:42" s="20" customFormat="1" ht="12.75" customHeight="1">
      <c r="A298" s="4"/>
      <c r="B298" s="41" t="s">
        <v>98</v>
      </c>
      <c r="C298" s="41"/>
      <c r="D298" s="41"/>
      <c r="E298" s="41"/>
      <c r="F298" s="41"/>
      <c r="G298"/>
      <c r="H298" s="1352" t="s">
        <v>2415</v>
      </c>
      <c r="I298" s="1258"/>
      <c r="J298" s="1258"/>
      <c r="K298" s="1258"/>
      <c r="L298" s="1258"/>
      <c r="M298" s="1258"/>
      <c r="N298" s="1258"/>
      <c r="O298" s="1258"/>
      <c r="P298" s="1258"/>
      <c r="Q298" s="1258"/>
      <c r="R298" s="1258"/>
      <c r="S298"/>
      <c r="T298" s="41" t="s">
        <v>98</v>
      </c>
      <c r="U298"/>
      <c r="V298" s="41"/>
      <c r="W298" s="41"/>
      <c r="X298" s="41"/>
      <c r="Y298" s="41"/>
      <c r="Z298"/>
      <c r="AA298" s="1258" t="s">
        <v>2415</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373</v>
      </c>
      <c r="C299" s="41"/>
      <c r="D299" s="41"/>
      <c r="E299" s="41"/>
      <c r="F299" s="41"/>
      <c r="G299"/>
      <c r="H299" s="1352" t="s">
        <v>2427</v>
      </c>
      <c r="I299" s="1258"/>
      <c r="J299" s="1258"/>
      <c r="K299" s="1258"/>
      <c r="L299" s="1258"/>
      <c r="M299" s="1258"/>
      <c r="N299" s="1258"/>
      <c r="O299" s="1258"/>
      <c r="P299" s="1258"/>
      <c r="Q299" s="1258"/>
      <c r="R299" s="1258"/>
      <c r="S299"/>
      <c r="T299" s="41" t="s">
        <v>373</v>
      </c>
      <c r="U299"/>
      <c r="V299" s="41"/>
      <c r="W299" s="41"/>
      <c r="X299" s="41"/>
      <c r="Y299" s="41"/>
      <c r="Z299"/>
      <c r="AA299" s="1352" t="s">
        <v>2416</v>
      </c>
      <c r="AB299" s="1258"/>
      <c r="AC299" s="1258"/>
      <c r="AD299" s="1258"/>
      <c r="AE299" s="1258"/>
      <c r="AF299" s="1258"/>
      <c r="AG299" s="1258"/>
      <c r="AH299" s="1258"/>
      <c r="AI299" s="1258"/>
      <c r="AJ299" s="1258"/>
      <c r="AK299" s="1258"/>
      <c r="AL299" s="10"/>
      <c r="AN299" s="281"/>
    </row>
    <row r="300" spans="1:42" s="4" customFormat="1" ht="12.75" customHeight="1">
      <c r="B300" s="41" t="s">
        <v>374</v>
      </c>
      <c r="C300" s="41"/>
      <c r="D300" s="41"/>
      <c r="E300" s="41"/>
      <c r="F300" s="41"/>
      <c r="G300" s="41"/>
      <c r="H300" s="1404" t="s">
        <v>2426</v>
      </c>
      <c r="I300" s="1405"/>
      <c r="J300" s="1405"/>
      <c r="K300" s="1405"/>
      <c r="L300" s="1405"/>
      <c r="M300" s="1405"/>
      <c r="N300" s="5" t="s">
        <v>816</v>
      </c>
      <c r="O300" s="5"/>
      <c r="P300" s="1393">
        <v>1111</v>
      </c>
      <c r="Q300" s="1393"/>
      <c r="R300" s="1393"/>
      <c r="S300" s="41"/>
      <c r="T300" s="41" t="s">
        <v>374</v>
      </c>
      <c r="U300"/>
      <c r="V300" s="41"/>
      <c r="W300" s="41"/>
      <c r="X300" s="41"/>
      <c r="Y300" s="41"/>
      <c r="Z300"/>
      <c r="AA300" s="1404" t="s">
        <v>2430</v>
      </c>
      <c r="AB300" s="1405"/>
      <c r="AC300" s="1405"/>
      <c r="AD300" s="1405"/>
      <c r="AE300" s="1405"/>
      <c r="AF300" s="1405"/>
      <c r="AG300" s="5" t="s">
        <v>816</v>
      </c>
      <c r="AH300" s="5"/>
      <c r="AI300" s="1393"/>
      <c r="AJ300" s="1393"/>
      <c r="AK300" s="1393"/>
      <c r="AL300" s="10"/>
      <c r="AN300" s="281"/>
    </row>
    <row r="301" spans="1:42" s="4" customFormat="1" ht="12.75" customHeight="1">
      <c r="B301" s="41" t="s">
        <v>87</v>
      </c>
      <c r="C301" s="41"/>
      <c r="D301" s="41"/>
      <c r="E301" s="41"/>
      <c r="F301" s="41"/>
      <c r="G301" s="41"/>
      <c r="H301" s="1258" t="s">
        <v>92</v>
      </c>
      <c r="I301" s="1258"/>
      <c r="J301" s="1258"/>
      <c r="K301" s="1258"/>
      <c r="L301" s="1258"/>
      <c r="M301" s="1258"/>
      <c r="N301" s="1258"/>
      <c r="O301" s="1258"/>
      <c r="P301" s="1258"/>
      <c r="Q301" s="1258"/>
      <c r="R301" s="1258"/>
      <c r="S301" s="41"/>
      <c r="T301" s="41" t="s">
        <v>87</v>
      </c>
      <c r="U301"/>
      <c r="V301" s="41"/>
      <c r="W301" s="41"/>
      <c r="X301" s="41"/>
      <c r="Y301" s="41"/>
      <c r="Z301"/>
      <c r="AA301" s="1258" t="s">
        <v>346</v>
      </c>
      <c r="AB301" s="1258"/>
      <c r="AC301" s="1258"/>
      <c r="AD301" s="1258"/>
      <c r="AE301" s="1258"/>
      <c r="AF301" s="1258"/>
      <c r="AG301" s="1258"/>
      <c r="AH301" s="1258"/>
      <c r="AI301" s="1258"/>
      <c r="AJ301" s="1258"/>
      <c r="AK301" s="1258"/>
      <c r="AL301" s="10"/>
      <c r="AN301" s="281"/>
    </row>
    <row r="302" spans="1:42" s="4" customFormat="1" ht="12.75" customHeight="1">
      <c r="B302" s="41" t="s">
        <v>89</v>
      </c>
      <c r="C302" s="41"/>
      <c r="D302" s="41"/>
      <c r="E302" s="41"/>
      <c r="F302" s="41"/>
      <c r="G302" s="41"/>
      <c r="H302" s="1352" t="s">
        <v>2428</v>
      </c>
      <c r="I302" s="1258"/>
      <c r="J302" s="1258"/>
      <c r="K302" s="1258"/>
      <c r="L302" s="1258"/>
      <c r="M302" s="1258"/>
      <c r="N302" s="1258"/>
      <c r="O302" s="1258"/>
      <c r="P302" s="1258"/>
      <c r="Q302" s="1258"/>
      <c r="R302" s="1258"/>
      <c r="S302" s="41"/>
      <c r="T302" s="41" t="s">
        <v>89</v>
      </c>
      <c r="U302"/>
      <c r="V302" s="41"/>
      <c r="W302" s="41"/>
      <c r="X302" s="41"/>
      <c r="Y302" s="41"/>
      <c r="Z302"/>
      <c r="AA302" s="1352" t="s">
        <v>2431</v>
      </c>
      <c r="AB302" s="1258"/>
      <c r="AC302" s="1258"/>
      <c r="AD302" s="1258"/>
      <c r="AE302" s="1258"/>
      <c r="AF302" s="1258"/>
      <c r="AG302" s="1258"/>
      <c r="AH302" s="1258"/>
      <c r="AI302" s="1258"/>
      <c r="AJ302" s="1258"/>
      <c r="AK302" s="1258"/>
      <c r="AL302" s="10"/>
      <c r="AN302" s="281"/>
    </row>
    <row r="303" spans="1:42" s="4" customFormat="1" ht="12.75" customHeight="1">
      <c r="B303" s="41" t="s">
        <v>100</v>
      </c>
      <c r="C303" s="41"/>
      <c r="D303" s="41"/>
      <c r="E303" s="41"/>
      <c r="F303" s="41"/>
      <c r="G303" s="41"/>
      <c r="H303" s="1671">
        <v>0.83</v>
      </c>
      <c r="I303" s="1671"/>
      <c r="J303" s="1671"/>
      <c r="K303" s="1671"/>
      <c r="L303" s="1671"/>
      <c r="M303" s="1671"/>
      <c r="N303" s="1671"/>
      <c r="O303" s="1671"/>
      <c r="P303" s="1671"/>
      <c r="Q303" s="1671"/>
      <c r="R303" s="1671"/>
      <c r="S303" s="41"/>
      <c r="T303" s="41" t="s">
        <v>100</v>
      </c>
      <c r="U303" s="41"/>
      <c r="V303" s="41"/>
      <c r="W303" s="41"/>
      <c r="X303" s="41"/>
      <c r="Y303" s="41"/>
      <c r="Z303" s="12"/>
      <c r="AA303" s="1671">
        <v>1.04</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3" t="s">
        <v>2481</v>
      </c>
      <c r="I305" s="1107"/>
      <c r="J305" s="1107"/>
      <c r="K305" s="1107"/>
      <c r="L305" s="1107"/>
      <c r="M305" s="1107"/>
      <c r="N305" s="1107"/>
      <c r="O305" s="1107"/>
      <c r="P305" s="1107"/>
      <c r="Q305" s="1107"/>
      <c r="R305" s="1107"/>
      <c r="S305"/>
      <c r="T305" s="41" t="s">
        <v>88</v>
      </c>
      <c r="U305"/>
      <c r="V305" s="41"/>
      <c r="W305" s="41"/>
      <c r="X305" s="41"/>
      <c r="Y305" s="41"/>
      <c r="Z305"/>
      <c r="AA305" s="1103" t="s">
        <v>2432</v>
      </c>
      <c r="AB305" s="1107"/>
      <c r="AC305" s="1107"/>
      <c r="AD305" s="1107"/>
      <c r="AE305" s="1107"/>
      <c r="AF305" s="1107"/>
      <c r="AG305" s="1107"/>
      <c r="AH305" s="1107"/>
      <c r="AI305" s="1107"/>
      <c r="AJ305" s="1107"/>
      <c r="AK305" s="1107"/>
      <c r="AL305" s="10"/>
      <c r="AN305" s="281"/>
    </row>
    <row r="306" spans="2:40" s="4" customFormat="1" ht="12.75" customHeight="1">
      <c r="B306" s="41" t="s">
        <v>697</v>
      </c>
      <c r="C306" s="41"/>
      <c r="D306" s="41"/>
      <c r="E306" s="41"/>
      <c r="F306" s="41"/>
      <c r="G306"/>
      <c r="H306" s="1352" t="s">
        <v>2482</v>
      </c>
      <c r="I306" s="1258"/>
      <c r="J306" s="1258"/>
      <c r="K306" s="1258"/>
      <c r="L306" s="1258"/>
      <c r="M306" s="1258"/>
      <c r="N306" s="1258"/>
      <c r="O306" s="1258"/>
      <c r="P306" s="1258"/>
      <c r="Q306" s="1258"/>
      <c r="R306" s="1258"/>
      <c r="S306"/>
      <c r="T306" s="41" t="s">
        <v>697</v>
      </c>
      <c r="U306"/>
      <c r="V306" s="41"/>
      <c r="W306" s="41"/>
      <c r="X306" s="41"/>
      <c r="Y306" s="41"/>
      <c r="Z306"/>
      <c r="AA306" s="1352" t="s">
        <v>2434</v>
      </c>
      <c r="AB306" s="1258"/>
      <c r="AC306" s="1258"/>
      <c r="AD306" s="1258"/>
      <c r="AE306" s="1258"/>
      <c r="AF306" s="1258"/>
      <c r="AG306" s="1258"/>
      <c r="AH306" s="1258"/>
      <c r="AI306" s="1258"/>
      <c r="AJ306" s="1258"/>
      <c r="AK306" s="1258"/>
      <c r="AL306" s="10"/>
      <c r="AN306" s="281"/>
    </row>
    <row r="307" spans="2:40" s="4" customFormat="1" ht="12.75" customHeight="1">
      <c r="B307" s="41" t="s">
        <v>98</v>
      </c>
      <c r="C307" s="41"/>
      <c r="D307" s="41"/>
      <c r="E307" s="41"/>
      <c r="F307" s="41"/>
      <c r="G307"/>
      <c r="H307" s="1258" t="s">
        <v>2415</v>
      </c>
      <c r="I307" s="1258"/>
      <c r="J307" s="1258"/>
      <c r="K307" s="1258"/>
      <c r="L307" s="1258"/>
      <c r="M307" s="1258"/>
      <c r="N307" s="1258"/>
      <c r="O307" s="1258"/>
      <c r="P307" s="1258"/>
      <c r="Q307" s="1258"/>
      <c r="R307" s="1258"/>
      <c r="S307"/>
      <c r="T307" s="41" t="s">
        <v>98</v>
      </c>
      <c r="U307"/>
      <c r="V307" s="41"/>
      <c r="W307" s="41"/>
      <c r="X307" s="41"/>
      <c r="Y307" s="41"/>
      <c r="Z307"/>
      <c r="AA307" s="1258" t="s">
        <v>2415</v>
      </c>
      <c r="AB307" s="1258"/>
      <c r="AC307" s="1258"/>
      <c r="AD307" s="1258"/>
      <c r="AE307" s="1258"/>
      <c r="AF307" s="1258"/>
      <c r="AG307" s="1258"/>
      <c r="AH307" s="1258"/>
      <c r="AI307" s="1258"/>
      <c r="AJ307" s="1258"/>
      <c r="AK307" s="1258"/>
      <c r="AL307" s="10"/>
      <c r="AN307" s="281"/>
    </row>
    <row r="308" spans="2:40" s="4" customFormat="1" ht="12.75" customHeight="1">
      <c r="B308" s="41" t="s">
        <v>373</v>
      </c>
      <c r="C308" s="41"/>
      <c r="D308" s="41"/>
      <c r="E308" s="41"/>
      <c r="F308" s="41"/>
      <c r="G308"/>
      <c r="H308" s="1352" t="s">
        <v>2483</v>
      </c>
      <c r="I308" s="1258"/>
      <c r="J308" s="1258"/>
      <c r="K308" s="1258"/>
      <c r="L308" s="1258"/>
      <c r="M308" s="1258"/>
      <c r="N308" s="1258"/>
      <c r="O308" s="1258"/>
      <c r="P308" s="1258"/>
      <c r="Q308" s="1258"/>
      <c r="R308" s="1258"/>
      <c r="S308"/>
      <c r="T308" s="41" t="s">
        <v>373</v>
      </c>
      <c r="U308"/>
      <c r="V308" s="41"/>
      <c r="W308" s="41"/>
      <c r="X308" s="41"/>
      <c r="Y308" s="41"/>
      <c r="Z308"/>
      <c r="AA308" s="1352" t="s">
        <v>2435</v>
      </c>
      <c r="AB308" s="1258"/>
      <c r="AC308" s="1258"/>
      <c r="AD308" s="1258"/>
      <c r="AE308" s="1258"/>
      <c r="AF308" s="1258"/>
      <c r="AG308" s="1258"/>
      <c r="AH308" s="1258"/>
      <c r="AI308" s="1258"/>
      <c r="AJ308" s="1258"/>
      <c r="AK308" s="1258"/>
      <c r="AL308" s="10"/>
      <c r="AN308" s="281"/>
    </row>
    <row r="309" spans="2:40" s="4" customFormat="1" ht="12.75" customHeight="1">
      <c r="B309" s="41" t="s">
        <v>374</v>
      </c>
      <c r="C309" s="41"/>
      <c r="D309" s="41"/>
      <c r="E309" s="41"/>
      <c r="F309" s="41"/>
      <c r="G309" s="41"/>
      <c r="H309" s="1404" t="s">
        <v>2484</v>
      </c>
      <c r="I309" s="1405"/>
      <c r="J309" s="1405"/>
      <c r="K309" s="1405"/>
      <c r="L309" s="1405"/>
      <c r="M309" s="1405"/>
      <c r="N309" s="5" t="s">
        <v>816</v>
      </c>
      <c r="O309" s="5"/>
      <c r="P309" s="1393"/>
      <c r="Q309" s="1393"/>
      <c r="R309" s="1393"/>
      <c r="S309" s="41"/>
      <c r="T309" s="41" t="s">
        <v>374</v>
      </c>
      <c r="U309"/>
      <c r="V309" s="41"/>
      <c r="W309" s="41"/>
      <c r="X309" s="41"/>
      <c r="Y309" s="41"/>
      <c r="Z309"/>
      <c r="AA309" s="1404" t="s">
        <v>2486</v>
      </c>
      <c r="AB309" s="1405"/>
      <c r="AC309" s="1405"/>
      <c r="AD309" s="1405"/>
      <c r="AE309" s="1405"/>
      <c r="AF309" s="1405"/>
      <c r="AG309" s="5" t="s">
        <v>816</v>
      </c>
      <c r="AH309" s="5"/>
      <c r="AI309" s="1393"/>
      <c r="AJ309" s="1393"/>
      <c r="AK309" s="1393"/>
      <c r="AL309" s="10"/>
      <c r="AN309" s="281"/>
    </row>
    <row r="310" spans="2:40" s="4" customFormat="1" ht="12.75" customHeight="1">
      <c r="B310" s="41" t="s">
        <v>87</v>
      </c>
      <c r="C310" s="41"/>
      <c r="D310" s="41"/>
      <c r="E310" s="41"/>
      <c r="F310" s="41"/>
      <c r="G310" s="41"/>
      <c r="H310" s="1258" t="s">
        <v>99</v>
      </c>
      <c r="I310" s="1258"/>
      <c r="J310" s="1258"/>
      <c r="K310" s="1258"/>
      <c r="L310" s="1258"/>
      <c r="M310" s="1258"/>
      <c r="N310" s="1258"/>
      <c r="O310" s="1258"/>
      <c r="P310" s="1258"/>
      <c r="Q310" s="1258"/>
      <c r="R310" s="1258"/>
      <c r="S310" s="41"/>
      <c r="T310" s="41" t="s">
        <v>87</v>
      </c>
      <c r="U310"/>
      <c r="V310" s="41"/>
      <c r="W310" s="41"/>
      <c r="X310" s="41"/>
      <c r="Y310" s="41"/>
      <c r="Z310"/>
      <c r="AA310" s="1258" t="s">
        <v>94</v>
      </c>
      <c r="AB310" s="1258"/>
      <c r="AC310" s="1258"/>
      <c r="AD310" s="1258"/>
      <c r="AE310" s="1258"/>
      <c r="AF310" s="1258"/>
      <c r="AG310" s="1258"/>
      <c r="AH310" s="1258"/>
      <c r="AI310" s="1258"/>
      <c r="AJ310" s="1258"/>
      <c r="AK310" s="1258"/>
      <c r="AL310" s="10"/>
      <c r="AN310" s="281"/>
    </row>
    <row r="311" spans="2:40" s="4" customFormat="1" ht="12.75" customHeight="1">
      <c r="B311" s="41" t="s">
        <v>89</v>
      </c>
      <c r="C311" s="41"/>
      <c r="D311" s="41"/>
      <c r="E311" s="41"/>
      <c r="F311" s="41"/>
      <c r="G311" s="41"/>
      <c r="H311" s="1352" t="s">
        <v>2485</v>
      </c>
      <c r="I311" s="1258"/>
      <c r="J311" s="1258"/>
      <c r="K311" s="1258"/>
      <c r="L311" s="1258"/>
      <c r="M311" s="1258"/>
      <c r="N311" s="1258"/>
      <c r="O311" s="1258"/>
      <c r="P311" s="1258"/>
      <c r="Q311" s="1258"/>
      <c r="R311" s="1258"/>
      <c r="S311" s="41"/>
      <c r="T311" s="41" t="s">
        <v>89</v>
      </c>
      <c r="U311"/>
      <c r="V311" s="41"/>
      <c r="W311" s="41"/>
      <c r="X311" s="41"/>
      <c r="Y311" s="41"/>
      <c r="Z311"/>
      <c r="AA311" s="1352" t="s">
        <v>2437</v>
      </c>
      <c r="AB311" s="1258"/>
      <c r="AC311" s="1258"/>
      <c r="AD311" s="1258"/>
      <c r="AE311" s="1258"/>
      <c r="AF311" s="1258"/>
      <c r="AG311" s="1258"/>
      <c r="AH311" s="1258"/>
      <c r="AI311" s="1258"/>
      <c r="AJ311" s="1258"/>
      <c r="AK311" s="1258"/>
      <c r="AL311" s="10"/>
      <c r="AN311" s="281"/>
    </row>
    <row r="312" spans="2:40" s="4" customFormat="1" ht="12.75" customHeight="1">
      <c r="B312" s="41" t="s">
        <v>100</v>
      </c>
      <c r="C312" s="41"/>
      <c r="D312" s="41"/>
      <c r="E312" s="41"/>
      <c r="F312" s="41"/>
      <c r="G312" s="41"/>
      <c r="H312" s="1671">
        <v>1.1100000000000001</v>
      </c>
      <c r="I312" s="1671"/>
      <c r="J312" s="1671"/>
      <c r="K312" s="1671"/>
      <c r="L312" s="1671"/>
      <c r="M312" s="1671"/>
      <c r="N312" s="1671"/>
      <c r="O312" s="1671"/>
      <c r="P312" s="1671"/>
      <c r="Q312" s="1671"/>
      <c r="R312" s="1671"/>
      <c r="S312" s="41"/>
      <c r="T312" s="41" t="s">
        <v>100</v>
      </c>
      <c r="U312" s="41"/>
      <c r="V312" s="41"/>
      <c r="W312" s="41"/>
      <c r="X312" s="41"/>
      <c r="Y312" s="41"/>
      <c r="Z312" s="12"/>
      <c r="AA312" s="1671">
        <v>0.44</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3" t="s">
        <v>2432</v>
      </c>
      <c r="I314" s="1107"/>
      <c r="J314" s="1107"/>
      <c r="K314" s="1107"/>
      <c r="L314" s="1107"/>
      <c r="M314" s="1107"/>
      <c r="N314" s="1107"/>
      <c r="O314" s="1107"/>
      <c r="P314" s="1107"/>
      <c r="Q314" s="1107"/>
      <c r="R314" s="1107"/>
      <c r="S314"/>
      <c r="T314" s="41" t="s">
        <v>88</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697</v>
      </c>
      <c r="C315" s="41"/>
      <c r="D315" s="41"/>
      <c r="E315" s="41"/>
      <c r="F315" s="41"/>
      <c r="G315"/>
      <c r="H315" s="1258" t="s">
        <v>2434</v>
      </c>
      <c r="I315" s="1258"/>
      <c r="J315" s="1258"/>
      <c r="K315" s="1258"/>
      <c r="L315" s="1258"/>
      <c r="M315" s="1258"/>
      <c r="N315" s="1258"/>
      <c r="O315" s="1258"/>
      <c r="P315" s="1258"/>
      <c r="Q315" s="1258"/>
      <c r="R315" s="1258"/>
      <c r="S315"/>
      <c r="T315" s="41" t="s">
        <v>697</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98</v>
      </c>
      <c r="C316" s="41"/>
      <c r="D316" s="41"/>
      <c r="E316" s="41"/>
      <c r="F316" s="41"/>
      <c r="G316"/>
      <c r="H316" s="1258" t="s">
        <v>2415</v>
      </c>
      <c r="I316" s="1258"/>
      <c r="J316" s="1258"/>
      <c r="K316" s="1258"/>
      <c r="L316" s="1258"/>
      <c r="M316" s="1258"/>
      <c r="N316" s="1258"/>
      <c r="O316" s="1258"/>
      <c r="P316" s="1258"/>
      <c r="Q316" s="1258"/>
      <c r="R316" s="1258"/>
      <c r="S316"/>
      <c r="T316" s="41" t="s">
        <v>98</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373</v>
      </c>
      <c r="C317" s="41"/>
      <c r="D317" s="41"/>
      <c r="E317" s="41"/>
      <c r="F317" s="41"/>
      <c r="G317"/>
      <c r="H317" s="1258" t="s">
        <v>2435</v>
      </c>
      <c r="I317" s="1258"/>
      <c r="J317" s="1258"/>
      <c r="K317" s="1258"/>
      <c r="L317" s="1258"/>
      <c r="M317" s="1258"/>
      <c r="N317" s="1258"/>
      <c r="O317" s="1258"/>
      <c r="P317" s="1258"/>
      <c r="Q317" s="1258"/>
      <c r="R317" s="1258"/>
      <c r="S317"/>
      <c r="T317" s="41" t="s">
        <v>373</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374</v>
      </c>
      <c r="C318" s="41"/>
      <c r="D318" s="41"/>
      <c r="E318" s="41"/>
      <c r="F318" s="41"/>
      <c r="G318" s="41"/>
      <c r="H318" s="1404" t="s">
        <v>2486</v>
      </c>
      <c r="I318" s="1405"/>
      <c r="J318" s="1405"/>
      <c r="K318" s="1405"/>
      <c r="L318" s="1405"/>
      <c r="M318" s="1405"/>
      <c r="N318" s="5" t="s">
        <v>816</v>
      </c>
      <c r="O318" s="5"/>
      <c r="P318" s="1393"/>
      <c r="Q318" s="1393"/>
      <c r="R318" s="1393"/>
      <c r="S318" s="41"/>
      <c r="T318" s="41" t="s">
        <v>374</v>
      </c>
      <c r="U318"/>
      <c r="V318" s="41"/>
      <c r="W318" s="41"/>
      <c r="X318" s="41"/>
      <c r="Y318" s="41"/>
      <c r="Z318"/>
      <c r="AA318" s="1405"/>
      <c r="AB318" s="1405"/>
      <c r="AC318" s="1405"/>
      <c r="AD318" s="1405"/>
      <c r="AE318" s="1405"/>
      <c r="AF318" s="1405"/>
      <c r="AG318" s="5" t="s">
        <v>816</v>
      </c>
      <c r="AH318" s="5"/>
      <c r="AI318" s="1393"/>
      <c r="AJ318" s="1393"/>
      <c r="AK318" s="1393"/>
      <c r="AL318" s="10"/>
      <c r="AN318" s="281"/>
    </row>
    <row r="319" spans="2:40" s="4" customFormat="1" ht="12.75" customHeight="1">
      <c r="B319" s="41" t="s">
        <v>87</v>
      </c>
      <c r="C319" s="41"/>
      <c r="D319" s="41"/>
      <c r="E319" s="41"/>
      <c r="F319" s="41"/>
      <c r="G319" s="41"/>
      <c r="H319" s="1258" t="s">
        <v>95</v>
      </c>
      <c r="I319" s="1258"/>
      <c r="J319" s="1258"/>
      <c r="K319" s="1258"/>
      <c r="L319" s="1258"/>
      <c r="M319" s="1258"/>
      <c r="N319" s="1258"/>
      <c r="O319" s="1258"/>
      <c r="P319" s="1258"/>
      <c r="Q319" s="1258"/>
      <c r="R319" s="1258"/>
      <c r="S319" s="41"/>
      <c r="T319" s="41" t="s">
        <v>87</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89</v>
      </c>
      <c r="C320" s="41"/>
      <c r="D320" s="41"/>
      <c r="E320" s="41"/>
      <c r="F320" s="41"/>
      <c r="G320" s="41"/>
      <c r="H320" s="1352" t="s">
        <v>2436</v>
      </c>
      <c r="I320" s="1258"/>
      <c r="J320" s="1258"/>
      <c r="K320" s="1258"/>
      <c r="L320" s="1258"/>
      <c r="M320" s="1258"/>
      <c r="N320" s="1258"/>
      <c r="O320" s="1258"/>
      <c r="P320" s="1258"/>
      <c r="Q320" s="1258"/>
      <c r="R320" s="1258"/>
      <c r="S320" s="41"/>
      <c r="T320" s="41" t="s">
        <v>89</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100</v>
      </c>
      <c r="C321" s="41"/>
      <c r="D321" s="41"/>
      <c r="E321" s="41"/>
      <c r="F321" s="41"/>
      <c r="G321" s="41"/>
      <c r="H321" s="1671">
        <v>0.44</v>
      </c>
      <c r="I321" s="1671"/>
      <c r="J321" s="1671"/>
      <c r="K321" s="1671"/>
      <c r="L321" s="1671"/>
      <c r="M321" s="1671"/>
      <c r="N321" s="1671"/>
      <c r="O321" s="1671"/>
      <c r="P321" s="1671"/>
      <c r="Q321" s="1671"/>
      <c r="R321" s="1671"/>
      <c r="S321" s="41"/>
      <c r="T321" s="41" t="s">
        <v>100</v>
      </c>
      <c r="U321" s="41"/>
      <c r="V321" s="41"/>
      <c r="W321" s="41"/>
      <c r="X321" s="41"/>
      <c r="Y321" s="41"/>
      <c r="Z321" s="12"/>
      <c r="AA321" s="1671"/>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7"/>
      <c r="I323" s="1107"/>
      <c r="J323" s="1107"/>
      <c r="K323" s="1107"/>
      <c r="L323" s="1107"/>
      <c r="M323" s="1107"/>
      <c r="N323" s="1107"/>
      <c r="O323" s="1107"/>
      <c r="P323" s="1107"/>
      <c r="Q323" s="1107"/>
      <c r="R323" s="1107"/>
      <c r="S323"/>
      <c r="T323" s="41" t="s">
        <v>88</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697</v>
      </c>
      <c r="C324" s="41"/>
      <c r="D324" s="41"/>
      <c r="E324" s="41"/>
      <c r="F324" s="41"/>
      <c r="G324"/>
      <c r="H324" s="1258"/>
      <c r="I324" s="1258"/>
      <c r="J324" s="1258"/>
      <c r="K324" s="1258"/>
      <c r="L324" s="1258"/>
      <c r="M324" s="1258"/>
      <c r="N324" s="1258"/>
      <c r="O324" s="1258"/>
      <c r="P324" s="1258"/>
      <c r="Q324" s="1258"/>
      <c r="R324" s="1258"/>
      <c r="S324"/>
      <c r="T324" s="41" t="s">
        <v>697</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98</v>
      </c>
      <c r="C325" s="41"/>
      <c r="D325" s="41"/>
      <c r="E325" s="41"/>
      <c r="F325" s="41"/>
      <c r="G325"/>
      <c r="H325" s="1258"/>
      <c r="I325" s="1258"/>
      <c r="J325" s="1258"/>
      <c r="K325" s="1258"/>
      <c r="L325" s="1258"/>
      <c r="M325" s="1258"/>
      <c r="N325" s="1258"/>
      <c r="O325" s="1258"/>
      <c r="P325" s="1258"/>
      <c r="Q325" s="1258"/>
      <c r="R325" s="1258"/>
      <c r="S325"/>
      <c r="T325" s="41" t="s">
        <v>98</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373</v>
      </c>
      <c r="C326" s="41"/>
      <c r="D326" s="41"/>
      <c r="E326" s="41"/>
      <c r="F326" s="41"/>
      <c r="G326"/>
      <c r="H326" s="1258"/>
      <c r="I326" s="1258"/>
      <c r="J326" s="1258"/>
      <c r="K326" s="1258"/>
      <c r="L326" s="1258"/>
      <c r="M326" s="1258"/>
      <c r="N326" s="1258"/>
      <c r="O326" s="1258"/>
      <c r="P326" s="1258"/>
      <c r="Q326" s="1258"/>
      <c r="R326" s="1258"/>
      <c r="S326"/>
      <c r="T326" s="41" t="s">
        <v>373</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374</v>
      </c>
      <c r="C327" s="41"/>
      <c r="D327" s="41"/>
      <c r="E327" s="41"/>
      <c r="F327" s="41"/>
      <c r="G327" s="41"/>
      <c r="H327" s="1405"/>
      <c r="I327" s="1405"/>
      <c r="J327" s="1405"/>
      <c r="K327" s="1405"/>
      <c r="L327" s="1405"/>
      <c r="M327" s="1405"/>
      <c r="N327" s="5" t="s">
        <v>816</v>
      </c>
      <c r="O327" s="5"/>
      <c r="P327" s="1393"/>
      <c r="Q327" s="1393"/>
      <c r="R327" s="1393"/>
      <c r="S327" s="41"/>
      <c r="T327" s="41" t="s">
        <v>374</v>
      </c>
      <c r="U327"/>
      <c r="V327" s="41"/>
      <c r="W327" s="41"/>
      <c r="X327" s="41"/>
      <c r="Y327" s="41"/>
      <c r="Z327"/>
      <c r="AA327" s="1405"/>
      <c r="AB327" s="1405"/>
      <c r="AC327" s="1405"/>
      <c r="AD327" s="1405"/>
      <c r="AE327" s="1405"/>
      <c r="AF327" s="1405"/>
      <c r="AG327" s="5" t="s">
        <v>816</v>
      </c>
      <c r="AH327" s="5"/>
      <c r="AI327" s="1393"/>
      <c r="AJ327" s="1393"/>
      <c r="AK327" s="1393"/>
      <c r="AL327" s="41"/>
      <c r="AN327" s="281"/>
    </row>
    <row r="328" spans="1:76" s="4" customFormat="1" ht="12.75" customHeight="1">
      <c r="B328" s="41" t="s">
        <v>87</v>
      </c>
      <c r="C328" s="41"/>
      <c r="D328" s="41"/>
      <c r="E328" s="41"/>
      <c r="F328" s="41"/>
      <c r="G328" s="41"/>
      <c r="H328" s="1258"/>
      <c r="I328" s="1258"/>
      <c r="J328" s="1258"/>
      <c r="K328" s="1258"/>
      <c r="L328" s="1258"/>
      <c r="M328" s="1258"/>
      <c r="N328" s="1258"/>
      <c r="O328" s="1258"/>
      <c r="P328" s="1258"/>
      <c r="Q328" s="1258"/>
      <c r="R328" s="1258"/>
      <c r="S328" s="41"/>
      <c r="T328" s="41" t="s">
        <v>87</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89</v>
      </c>
      <c r="C329" s="41"/>
      <c r="D329" s="41"/>
      <c r="E329" s="41"/>
      <c r="F329" s="41"/>
      <c r="G329" s="41"/>
      <c r="H329" s="1258"/>
      <c r="I329" s="1258"/>
      <c r="J329" s="1258"/>
      <c r="K329" s="1258"/>
      <c r="L329" s="1258"/>
      <c r="M329" s="1258"/>
      <c r="N329" s="1258"/>
      <c r="O329" s="1258"/>
      <c r="P329" s="1258"/>
      <c r="Q329" s="1258"/>
      <c r="R329" s="1258"/>
      <c r="S329" s="41"/>
      <c r="T329" s="41" t="s">
        <v>89</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100</v>
      </c>
      <c r="C330" s="41"/>
      <c r="D330" s="41"/>
      <c r="E330" s="41"/>
      <c r="F330" s="41"/>
      <c r="G330" s="41"/>
      <c r="H330" s="1671"/>
      <c r="I330" s="1671"/>
      <c r="J330" s="1671"/>
      <c r="K330" s="1671"/>
      <c r="L330" s="1671"/>
      <c r="M330" s="1671"/>
      <c r="N330" s="1671"/>
      <c r="O330" s="1671"/>
      <c r="P330" s="1671"/>
      <c r="Q330" s="1671"/>
      <c r="R330" s="1671"/>
      <c r="S330" s="41"/>
      <c r="T330" s="41" t="s">
        <v>100</v>
      </c>
      <c r="U330" s="41"/>
      <c r="V330" s="41"/>
      <c r="W330" s="41"/>
      <c r="X330" s="41"/>
      <c r="Y330" s="41"/>
      <c r="Z330" s="12"/>
      <c r="AA330" s="1671"/>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1462</v>
      </c>
      <c r="C333" s="5"/>
      <c r="AC333" s="3"/>
      <c r="AE333" s="1720" t="s">
        <v>363</v>
      </c>
      <c r="AF333" s="1720"/>
      <c r="AG333" s="1720"/>
      <c r="AH333" s="1720"/>
      <c r="AI333" s="1720"/>
      <c r="AJ333" s="1720"/>
      <c r="AK333" s="1720"/>
      <c r="AL333" s="3"/>
      <c r="AM333" s="826"/>
      <c r="AN333" s="3"/>
    </row>
    <row r="334" spans="1:76" s="4" customFormat="1" ht="12.75" customHeight="1">
      <c r="A334" s="3"/>
      <c r="B334" s="5"/>
      <c r="C334" s="1711" t="s">
        <v>1836</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7"/>
      <c r="AS334" s="785"/>
      <c r="AT334" s="785"/>
      <c r="AU334" s="785"/>
      <c r="AV334" s="785"/>
      <c r="AW334" s="785"/>
      <c r="AX334" s="785"/>
      <c r="AY334" s="785"/>
      <c r="AZ334" s="785"/>
      <c r="BA334" s="785"/>
      <c r="BB334" s="785"/>
      <c r="BC334" s="785"/>
      <c r="BD334" s="785"/>
      <c r="BE334" s="785"/>
      <c r="BF334" s="785"/>
      <c r="BG334" s="785"/>
      <c r="BH334" s="785"/>
      <c r="BI334" s="785"/>
      <c r="BJ334" s="785"/>
      <c r="BK334" s="785"/>
      <c r="BL334" s="785"/>
      <c r="BM334" s="785"/>
      <c r="BN334" s="785"/>
      <c r="BO334" s="785"/>
      <c r="BP334" s="785"/>
      <c r="BQ334" s="785"/>
      <c r="BR334" s="785"/>
      <c r="BS334" s="785"/>
      <c r="BT334" s="785"/>
      <c r="BU334" s="785"/>
      <c r="BV334" s="785"/>
      <c r="BW334" s="785"/>
      <c r="BX334" s="785"/>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5"/>
      <c r="AS335" s="785"/>
      <c r="AT335" s="785"/>
      <c r="AU335" s="785"/>
      <c r="AV335" s="785"/>
      <c r="AW335" s="785"/>
      <c r="AX335" s="785"/>
      <c r="AY335" s="785"/>
      <c r="AZ335" s="785"/>
      <c r="BA335" s="785"/>
      <c r="BB335" s="785"/>
      <c r="BC335" s="785"/>
      <c r="BD335" s="785"/>
      <c r="BE335" s="785"/>
      <c r="BF335" s="785"/>
      <c r="BG335" s="785"/>
      <c r="BH335" s="785"/>
      <c r="BI335" s="785"/>
      <c r="BJ335" s="785"/>
      <c r="BK335" s="785"/>
      <c r="BL335" s="785"/>
      <c r="BM335" s="785"/>
      <c r="BN335" s="785"/>
      <c r="BO335" s="785"/>
      <c r="BP335" s="785"/>
      <c r="BQ335" s="785"/>
      <c r="BR335" s="785"/>
      <c r="BS335" s="785"/>
      <c r="BT335" s="785"/>
      <c r="BU335" s="785"/>
      <c r="BV335" s="785"/>
      <c r="BW335" s="785"/>
      <c r="BX335" s="785"/>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5"/>
      <c r="AS336" s="785"/>
      <c r="AT336" s="785"/>
      <c r="AU336" s="785"/>
      <c r="AV336" s="785"/>
      <c r="AW336" s="785"/>
      <c r="AX336" s="785"/>
      <c r="AY336" s="785"/>
      <c r="AZ336" s="785"/>
      <c r="BA336" s="785"/>
      <c r="BB336" s="785"/>
      <c r="BC336" s="785"/>
      <c r="BD336" s="785"/>
      <c r="BE336" s="785"/>
      <c r="BF336" s="785"/>
      <c r="BG336" s="785"/>
      <c r="BH336" s="785"/>
      <c r="BI336" s="785"/>
      <c r="BJ336" s="785"/>
      <c r="BK336" s="785"/>
      <c r="BL336" s="785"/>
      <c r="BM336" s="785"/>
      <c r="BN336" s="785"/>
      <c r="BO336" s="785"/>
      <c r="BP336" s="785"/>
      <c r="BQ336" s="785"/>
      <c r="BR336" s="785"/>
      <c r="BS336" s="785"/>
      <c r="BT336" s="785"/>
      <c r="BU336" s="785"/>
      <c r="BV336" s="785"/>
      <c r="BW336" s="785"/>
      <c r="BX336" s="785"/>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5"/>
      <c r="AS337" s="785"/>
      <c r="AT337" s="785"/>
      <c r="AU337" s="785"/>
      <c r="AV337" s="785"/>
      <c r="AW337" s="785"/>
      <c r="AX337" s="785"/>
      <c r="AY337" s="785"/>
      <c r="AZ337" s="785"/>
      <c r="BA337" s="785"/>
      <c r="BB337" s="785"/>
      <c r="BC337" s="785"/>
      <c r="BD337" s="785"/>
      <c r="BE337" s="785"/>
      <c r="BF337" s="785"/>
      <c r="BG337" s="785"/>
      <c r="BH337" s="785"/>
      <c r="BI337" s="785"/>
      <c r="BJ337" s="785"/>
      <c r="BK337" s="785"/>
      <c r="BL337" s="785"/>
      <c r="BM337" s="785"/>
      <c r="BN337" s="785"/>
      <c r="BO337" s="785"/>
      <c r="BP337" s="785"/>
      <c r="BQ337" s="785"/>
      <c r="BR337" s="785"/>
      <c r="BS337" s="785"/>
      <c r="BT337" s="785"/>
      <c r="BU337" s="785"/>
      <c r="BV337" s="785"/>
      <c r="BW337" s="785"/>
      <c r="BX337" s="785"/>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5"/>
      <c r="AS338" s="785"/>
      <c r="AT338" s="785"/>
      <c r="AU338" s="785"/>
      <c r="AV338" s="785"/>
      <c r="AW338" s="785"/>
      <c r="AX338" s="785"/>
      <c r="AY338" s="785"/>
      <c r="AZ338" s="785"/>
      <c r="BA338" s="785"/>
      <c r="BB338" s="785"/>
      <c r="BC338" s="785"/>
      <c r="BD338" s="785"/>
      <c r="BE338" s="785"/>
      <c r="BF338" s="785"/>
      <c r="BG338" s="785"/>
      <c r="BH338" s="785"/>
      <c r="BI338" s="785"/>
      <c r="BJ338" s="785"/>
      <c r="BK338" s="785"/>
      <c r="BL338" s="785"/>
      <c r="BM338" s="785"/>
      <c r="BN338" s="785"/>
      <c r="BO338" s="785"/>
      <c r="BP338" s="785"/>
      <c r="BQ338" s="785"/>
      <c r="BR338" s="785"/>
      <c r="BS338" s="785"/>
      <c r="BT338" s="785"/>
      <c r="BU338" s="785"/>
      <c r="BV338" s="785"/>
      <c r="BW338" s="785"/>
      <c r="BX338" s="785"/>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5"/>
      <c r="AS339" s="785"/>
      <c r="AT339" s="785"/>
      <c r="AU339" s="785"/>
      <c r="AV339" s="785"/>
      <c r="AW339" s="785"/>
      <c r="AX339" s="785"/>
      <c r="AY339" s="785"/>
      <c r="AZ339" s="785"/>
      <c r="BA339" s="785"/>
      <c r="BB339" s="785"/>
      <c r="BC339" s="785"/>
      <c r="BD339" s="785"/>
      <c r="BE339" s="785"/>
      <c r="BF339" s="785"/>
      <c r="BG339" s="785"/>
      <c r="BH339" s="785"/>
      <c r="BI339" s="785"/>
      <c r="BJ339" s="785"/>
      <c r="BK339" s="785"/>
      <c r="BL339" s="785"/>
      <c r="BM339" s="785"/>
      <c r="BN339" s="785"/>
      <c r="BO339" s="785"/>
      <c r="BP339" s="785"/>
      <c r="BQ339" s="785"/>
      <c r="BR339" s="785"/>
      <c r="BS339" s="785"/>
      <c r="BT339" s="785"/>
      <c r="BU339" s="785"/>
      <c r="BV339" s="785"/>
      <c r="BW339" s="785"/>
      <c r="BX339" s="785"/>
    </row>
    <row r="340" spans="1:76" s="4" customFormat="1" ht="12.4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5"/>
      <c r="AS340" s="785"/>
      <c r="AT340" s="785"/>
      <c r="AU340" s="785"/>
      <c r="AV340" s="785"/>
      <c r="AW340" s="785"/>
      <c r="AX340" s="785"/>
      <c r="AY340" s="785"/>
      <c r="AZ340" s="785"/>
      <c r="BA340" s="785"/>
      <c r="BB340" s="785"/>
      <c r="BC340" s="785"/>
      <c r="BD340" s="785"/>
      <c r="BE340" s="785"/>
      <c r="BF340" s="785"/>
      <c r="BG340" s="785"/>
      <c r="BH340" s="785"/>
      <c r="BI340" s="785"/>
      <c r="BJ340" s="785"/>
      <c r="BK340" s="785"/>
      <c r="BL340" s="785"/>
      <c r="BM340" s="785"/>
      <c r="BN340" s="785"/>
      <c r="BO340" s="785"/>
      <c r="BP340" s="785"/>
      <c r="BQ340" s="785"/>
      <c r="BR340" s="785"/>
      <c r="BS340" s="785"/>
      <c r="BT340" s="785"/>
      <c r="BU340" s="785"/>
      <c r="BV340" s="785"/>
      <c r="BW340" s="785"/>
      <c r="BX340" s="785"/>
    </row>
    <row r="341" spans="1:76" s="4" customFormat="1" ht="12.4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1837</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4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2291</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1838</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2"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7"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7" t="s">
        <v>898</v>
      </c>
      <c r="AP354" s="71">
        <f>IF(C379="Yes",5,0)</f>
        <v>5</v>
      </c>
      <c r="AS354" s="3" t="s">
        <v>1774</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7"/>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7" t="s">
        <v>899</v>
      </c>
      <c r="AP356" s="71">
        <f>IF(C389="Yes",5,0)</f>
        <v>0</v>
      </c>
      <c r="AS356" s="3" t="s">
        <v>1807</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7"/>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7" t="s">
        <v>905</v>
      </c>
      <c r="AP358" s="71">
        <f>IF(C399="Yes",7,0)</f>
        <v>0</v>
      </c>
    </row>
    <row r="359" spans="1:46" s="4" customFormat="1" ht="12.75" customHeight="1">
      <c r="A359" s="27"/>
      <c r="B359" s="26"/>
      <c r="C359" s="1711" t="s">
        <v>1839</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5</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7" t="s">
        <v>430</v>
      </c>
      <c r="AP361" s="71">
        <f>IF(C409="Yes",5,0)</f>
        <v>0</v>
      </c>
    </row>
    <row r="362" spans="1:46" s="4" customFormat="1" ht="11.7"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0</v>
      </c>
    </row>
    <row r="363" spans="1:46" s="4" customFormat="1" ht="12.45"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7" t="s">
        <v>170</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7" t="s">
        <v>433</v>
      </c>
      <c r="AP365" s="71">
        <f>IF(C423="Yes",5,0)</f>
        <v>0</v>
      </c>
    </row>
    <row r="366" spans="1:46" s="4" customFormat="1" ht="12.75" customHeight="1">
      <c r="A366" s="27"/>
      <c r="B366" s="26"/>
      <c r="C366" s="1711" t="s">
        <v>1840</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8"/>
      <c r="AP367" s="55"/>
    </row>
    <row r="368" spans="1:46" s="4" customFormat="1" ht="67.95"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89" t="s">
        <v>608</v>
      </c>
      <c r="AP368" s="168">
        <f>SUM(AP354:AP367)</f>
        <v>10</v>
      </c>
      <c r="AQ368" s="1498">
        <f>IF(AP368&gt;0,AP368,0)</f>
        <v>10</v>
      </c>
      <c r="AR368" s="1498"/>
    </row>
    <row r="369" spans="1:153" s="4" customFormat="1" ht="12.45" customHeight="1">
      <c r="A369" s="27"/>
      <c r="B369" s="26"/>
      <c r="C369" s="4" t="s">
        <v>1489</v>
      </c>
      <c r="AF369" s="27"/>
      <c r="AG369" s="27"/>
      <c r="AH369" s="27"/>
      <c r="AI369" s="27"/>
      <c r="AJ369" s="27"/>
      <c r="AK369" s="27"/>
      <c r="AL369" s="27"/>
      <c r="AM369" s="27"/>
      <c r="AN369" s="281"/>
      <c r="AO369" s="687" t="s">
        <v>740</v>
      </c>
      <c r="AP369" s="71">
        <f>IF(C432="Yes",5,0)</f>
        <v>0</v>
      </c>
    </row>
    <row r="370" spans="1:153" s="4" customFormat="1" ht="12.75" customHeight="1">
      <c r="A370" s="27"/>
      <c r="B370" s="26"/>
      <c r="C370" s="690" t="s">
        <v>2315</v>
      </c>
      <c r="D370" s="691"/>
      <c r="E370" s="691"/>
      <c r="F370" s="691"/>
      <c r="G370" s="691"/>
      <c r="H370" s="691"/>
      <c r="I370" s="691"/>
      <c r="J370" s="691"/>
      <c r="K370" s="691"/>
      <c r="L370" s="691"/>
      <c r="M370" s="218"/>
      <c r="N370" s="218"/>
      <c r="O370" s="692"/>
      <c r="P370" s="691"/>
      <c r="Q370" s="691"/>
      <c r="R370" s="218"/>
      <c r="S370" s="218"/>
      <c r="T370" s="691"/>
      <c r="U370" s="1865">
        <f>Application!CQ649-U371</f>
        <v>128</v>
      </c>
      <c r="V370" s="1865"/>
      <c r="W370" s="1865"/>
      <c r="X370" s="691"/>
      <c r="Y370" s="691"/>
      <c r="Z370" s="691"/>
      <c r="AA370" s="693"/>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4" t="s">
        <v>2316</v>
      </c>
      <c r="D371" s="170"/>
      <c r="E371" s="170"/>
      <c r="F371" s="170"/>
      <c r="G371" s="170"/>
      <c r="H371" s="170"/>
      <c r="I371" s="170"/>
      <c r="J371" s="170"/>
      <c r="K371" s="170"/>
      <c r="L371" s="170"/>
      <c r="M371" s="170"/>
      <c r="N371" s="170"/>
      <c r="O371" s="170"/>
      <c r="P371" s="170"/>
      <c r="Q371" s="170"/>
      <c r="R371" s="170"/>
      <c r="S371" s="170"/>
      <c r="T371" s="170"/>
      <c r="U371" s="1866">
        <f>IF(Application!D214="SRO",Application!CQ628,Application!AG733)</f>
        <v>0</v>
      </c>
      <c r="V371" s="1866"/>
      <c r="W371" s="1866"/>
      <c r="X371" s="170"/>
      <c r="Y371" s="170"/>
      <c r="Z371" s="170"/>
      <c r="AA371" s="172"/>
      <c r="AC371" s="277"/>
      <c r="AD371" s="277"/>
      <c r="AE371" s="27"/>
      <c r="AF371" s="27"/>
      <c r="AG371" s="27"/>
      <c r="AH371" s="27"/>
      <c r="AI371" s="27"/>
      <c r="AJ371" s="27"/>
      <c r="AK371" s="27"/>
      <c r="AL371" s="27"/>
      <c r="AM371" s="27"/>
      <c r="AN371" s="281"/>
      <c r="AO371" s="687"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7"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2292</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5"/>
      <c r="D375" s="696"/>
      <c r="E375" s="697" t="s">
        <v>726</v>
      </c>
      <c r="F375" s="1679" t="s">
        <v>1783</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2"/>
      <c r="AH375" s="742"/>
      <c r="AI375" s="742"/>
      <c r="AJ375" s="742"/>
      <c r="AK375" s="742"/>
      <c r="AL375" s="784"/>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8"/>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0"/>
      <c r="AM376"/>
      <c r="AN376" s="281"/>
      <c r="AO376" s="687"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8"/>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0"/>
      <c r="AM377"/>
      <c r="AN377" s="281"/>
      <c r="AO377" s="687"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8"/>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0"/>
      <c r="AM378"/>
      <c r="AN378" s="281"/>
      <c r="AO378" s="687"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107</v>
      </c>
      <c r="D379" s="1098"/>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318</v>
      </c>
      <c r="AG379" s="1169"/>
      <c r="AH379" s="1169"/>
      <c r="AI379" s="1169"/>
      <c r="AJ379" s="1169"/>
      <c r="AK379" s="1169"/>
      <c r="AL379" s="1675"/>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6"/>
      <c r="D380" s="711"/>
      <c r="E380" s="701"/>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781"/>
      <c r="AF380" s="781"/>
      <c r="AG380" s="781"/>
      <c r="AH380" s="781"/>
      <c r="AI380" s="781"/>
      <c r="AJ380" s="781"/>
      <c r="AK380" s="781"/>
      <c r="AL380" s="782"/>
      <c r="AM380"/>
      <c r="AN380" s="281"/>
      <c r="AO380" s="688"/>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608</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5"/>
      <c r="D384" s="696"/>
      <c r="E384" s="697" t="s">
        <v>189</v>
      </c>
      <c r="F384" s="1679" t="s">
        <v>1782</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2"/>
      <c r="AH384" s="742"/>
      <c r="AI384" s="742"/>
      <c r="AJ384" s="742"/>
      <c r="AK384" s="742"/>
      <c r="AL384" s="784"/>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3"/>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0"/>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3"/>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3"/>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3"/>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4"/>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123</v>
      </c>
      <c r="D389" s="1098"/>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318</v>
      </c>
      <c r="AG389" s="1169"/>
      <c r="AH389" s="1169"/>
      <c r="AI389" s="1169"/>
      <c r="AJ389" s="1169"/>
      <c r="AK389" s="1169"/>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6"/>
      <c r="D390" s="711"/>
      <c r="E390" s="70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781"/>
      <c r="AF390" s="781"/>
      <c r="AG390" s="781"/>
      <c r="AH390" s="781"/>
      <c r="AI390" s="781"/>
      <c r="AJ390" s="781"/>
      <c r="AK390" s="781"/>
      <c r="AL390" s="782"/>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5"/>
      <c r="D394" s="696"/>
      <c r="E394" s="697" t="s">
        <v>190</v>
      </c>
      <c r="F394" s="1709" t="s">
        <v>1946</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2"/>
      <c r="AH394" s="742"/>
      <c r="AI394" s="742"/>
      <c r="AJ394" s="742"/>
      <c r="AK394" s="742"/>
      <c r="AL394" s="784"/>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3"/>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0"/>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3"/>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0"/>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3"/>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0"/>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3"/>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0"/>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123</v>
      </c>
      <c r="D399" s="1098"/>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961</v>
      </c>
      <c r="AG399" s="1169"/>
      <c r="AH399" s="1169"/>
      <c r="AI399" s="1169"/>
      <c r="AJ399" s="1169"/>
      <c r="AK399" s="1169"/>
      <c r="AL399" s="1675"/>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3"/>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107</v>
      </c>
      <c r="D401" s="1098"/>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318</v>
      </c>
      <c r="AG401" s="1169"/>
      <c r="AH401" s="1169"/>
      <c r="AI401" s="1169"/>
      <c r="AJ401" s="1169"/>
      <c r="AK401" s="1169"/>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3"/>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4"/>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7"/>
      <c r="D403" s="708"/>
      <c r="E403" s="709"/>
      <c r="F403" s="710" t="s">
        <v>1777</v>
      </c>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c r="AD403" s="705"/>
      <c r="AE403" s="711"/>
      <c r="AF403" s="712"/>
      <c r="AG403" s="711"/>
      <c r="AH403" s="713"/>
      <c r="AI403" s="713"/>
      <c r="AJ403" s="713"/>
      <c r="AK403" s="713"/>
      <c r="AL403" s="714"/>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5"/>
      <c r="D405" s="696"/>
      <c r="E405" s="697" t="s">
        <v>191</v>
      </c>
      <c r="F405" s="1679" t="s">
        <v>1781</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2"/>
      <c r="AH405" s="742"/>
      <c r="AI405" s="742"/>
      <c r="AJ405" s="742"/>
      <c r="AK405" s="742"/>
      <c r="AL405" s="784"/>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3"/>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0"/>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3"/>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0"/>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3"/>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0"/>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123</v>
      </c>
      <c r="D409" s="1098"/>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318</v>
      </c>
      <c r="AG409" s="1169"/>
      <c r="AH409" s="1169"/>
      <c r="AI409" s="1169"/>
      <c r="AJ409" s="1169"/>
      <c r="AK409" s="1169"/>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3"/>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4"/>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123</v>
      </c>
      <c r="D411" s="1098"/>
      <c r="E411" s="225"/>
      <c r="F411" s="346"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960</v>
      </c>
      <c r="AG411" s="1169"/>
      <c r="AH411" s="1169"/>
      <c r="AI411" s="1169"/>
      <c r="AJ411" s="1169"/>
      <c r="AK411" s="1169"/>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5"/>
      <c r="D412" s="713"/>
      <c r="E412" s="701"/>
      <c r="F412" s="713"/>
      <c r="G412" s="702"/>
      <c r="H412" s="702"/>
      <c r="I412" s="702"/>
      <c r="J412" s="702"/>
      <c r="K412" s="702"/>
      <c r="L412" s="702"/>
      <c r="M412" s="702"/>
      <c r="N412" s="702"/>
      <c r="O412" s="702"/>
      <c r="P412" s="702"/>
      <c r="Q412" s="702"/>
      <c r="R412" s="702"/>
      <c r="S412" s="702"/>
      <c r="T412" s="702"/>
      <c r="U412" s="702"/>
      <c r="V412" s="702"/>
      <c r="W412" s="702"/>
      <c r="X412" s="702"/>
      <c r="Y412" s="702"/>
      <c r="Z412" s="702"/>
      <c r="AA412" s="702"/>
      <c r="AB412" s="702"/>
      <c r="AC412" s="702"/>
      <c r="AD412" s="702"/>
      <c r="AE412" s="713"/>
      <c r="AF412" s="713"/>
      <c r="AG412" s="713"/>
      <c r="AH412" s="713"/>
      <c r="AI412" s="713"/>
      <c r="AJ412" s="713"/>
      <c r="AK412" s="713"/>
      <c r="AL412" s="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123</v>
      </c>
      <c r="D414" s="1098"/>
      <c r="E414" s="697" t="s">
        <v>192</v>
      </c>
      <c r="F414" s="1679" t="s">
        <v>1785</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2"/>
      <c r="AG414" s="786"/>
      <c r="AH414" s="696"/>
      <c r="AI414" s="696"/>
      <c r="AJ414" s="696"/>
      <c r="AK414" s="696"/>
      <c r="AL414" s="720"/>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6"/>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318</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3"/>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4"/>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7"/>
      <c r="D417" s="708"/>
      <c r="E417" s="709"/>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2"/>
      <c r="AG417" s="711"/>
      <c r="AH417" s="713"/>
      <c r="AI417" s="713"/>
      <c r="AJ417" s="713"/>
      <c r="AK417" s="713"/>
      <c r="AL417" s="714"/>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6"/>
      <c r="D419" s="717"/>
      <c r="E419" s="697" t="s">
        <v>193</v>
      </c>
      <c r="F419" s="1679" t="s">
        <v>1787</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7"/>
      <c r="AG419" s="717"/>
      <c r="AH419" s="717"/>
      <c r="AI419" s="717"/>
      <c r="AJ419" s="717"/>
      <c r="AK419" s="717"/>
      <c r="AL419" s="718"/>
      <c r="AM419"/>
    </row>
    <row r="420" spans="1:55">
      <c r="A420" s="5"/>
      <c r="C420" s="703"/>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4"/>
      <c r="AM420"/>
    </row>
    <row r="421" spans="1:55" s="4" customFormat="1" ht="12.75" customHeight="1">
      <c r="A421" s="5"/>
      <c r="B421" s="21"/>
      <c r="C421" s="703"/>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4"/>
      <c r="AM421"/>
      <c r="AN421" s="281"/>
    </row>
    <row r="422" spans="1:55" s="4" customFormat="1" ht="12.75" customHeight="1">
      <c r="A422" s="5"/>
      <c r="B422" s="21"/>
      <c r="C422" s="706"/>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4"/>
      <c r="AM422"/>
      <c r="AN422" s="281"/>
    </row>
    <row r="423" spans="1:55" s="4" customFormat="1" ht="12.75" customHeight="1">
      <c r="A423" s="5"/>
      <c r="B423" s="21"/>
      <c r="C423" s="1684" t="s">
        <v>123</v>
      </c>
      <c r="D423" s="1098"/>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318</v>
      </c>
      <c r="AG423" s="1708"/>
      <c r="AH423" s="1708"/>
      <c r="AI423" s="1708"/>
      <c r="AJ423" s="1708"/>
      <c r="AK423" s="1708"/>
      <c r="AL423" s="1715"/>
      <c r="AM423"/>
      <c r="AN423" s="281"/>
    </row>
    <row r="424" spans="1:55" s="4" customFormat="1" ht="12.75" customHeight="1">
      <c r="A424" s="5"/>
      <c r="B424" s="21"/>
      <c r="C424" s="706"/>
      <c r="AL424" s="704"/>
      <c r="AM424"/>
      <c r="AN424" s="281"/>
    </row>
    <row r="425" spans="1:55" s="4" customFormat="1" ht="12.75" customHeight="1">
      <c r="A425" s="5"/>
      <c r="B425" s="21"/>
      <c r="C425" s="1684" t="s">
        <v>123</v>
      </c>
      <c r="D425" s="1098"/>
      <c r="E425" s="225"/>
      <c r="F425" s="346"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960</v>
      </c>
      <c r="AG425" s="1708"/>
      <c r="AH425" s="1708"/>
      <c r="AI425" s="1708"/>
      <c r="AJ425" s="1708"/>
      <c r="AK425" s="1708"/>
      <c r="AL425" s="1715"/>
      <c r="AM425"/>
      <c r="AN425" s="281"/>
      <c r="AO425" s="20"/>
      <c r="AP425" s="20"/>
      <c r="BC425" s="21"/>
    </row>
    <row r="426" spans="1:55" s="4" customFormat="1" ht="12.75" customHeight="1">
      <c r="A426" s="5"/>
      <c r="B426" s="21"/>
      <c r="C426" s="707"/>
      <c r="D426" s="708"/>
      <c r="E426" s="709"/>
      <c r="F426" s="719"/>
      <c r="G426" s="702"/>
      <c r="H426" s="702"/>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11"/>
      <c r="AF426" s="712"/>
      <c r="AG426" s="711"/>
      <c r="AH426" s="713"/>
      <c r="AI426" s="713"/>
      <c r="AJ426" s="713"/>
      <c r="AK426" s="713"/>
      <c r="AL426" s="714"/>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2293</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5"/>
      <c r="D429" s="696"/>
      <c r="E429" s="697" t="s">
        <v>668</v>
      </c>
      <c r="F429" s="1679" t="s">
        <v>1788</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6"/>
      <c r="AG429" s="696"/>
      <c r="AH429" s="696"/>
      <c r="AI429" s="696"/>
      <c r="AJ429" s="696"/>
      <c r="AK429" s="696"/>
      <c r="AL429" s="720"/>
      <c r="AM429"/>
      <c r="AN429" s="281"/>
    </row>
    <row r="430" spans="1:55" s="4" customFormat="1" ht="12.75" customHeight="1">
      <c r="A430" s="5"/>
      <c r="B430" s="73"/>
      <c r="C430" s="721"/>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4"/>
      <c r="AM430"/>
      <c r="AN430" s="281"/>
    </row>
    <row r="431" spans="1:55" s="4" customFormat="1" ht="12.45" customHeight="1">
      <c r="A431" s="5"/>
      <c r="B431" s="73"/>
      <c r="C431" s="721"/>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4"/>
      <c r="AM431"/>
      <c r="AN431" s="281"/>
    </row>
    <row r="432" spans="1:55" s="4" customFormat="1" ht="12.75" customHeight="1">
      <c r="A432" s="5"/>
      <c r="B432" s="73"/>
      <c r="C432" s="1684" t="s">
        <v>123</v>
      </c>
      <c r="D432" s="1098"/>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318</v>
      </c>
      <c r="AG432" s="1708"/>
      <c r="AH432" s="1708"/>
      <c r="AI432" s="1708"/>
      <c r="AJ432" s="1708"/>
      <c r="AK432" s="1708"/>
      <c r="AL432" s="1715"/>
      <c r="AM432"/>
      <c r="AN432" s="281"/>
    </row>
    <row r="433" spans="1:60" s="4" customFormat="1" ht="12.75" customHeight="1">
      <c r="A433" s="5"/>
      <c r="B433" s="73"/>
      <c r="C433" s="830"/>
      <c r="D433" s="728"/>
      <c r="E433" s="701"/>
      <c r="F433" s="719"/>
      <c r="G433" s="702"/>
      <c r="H433" s="702"/>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13"/>
      <c r="AF433" s="730"/>
      <c r="AG433" s="730"/>
      <c r="AH433" s="730"/>
      <c r="AI433" s="730"/>
      <c r="AJ433" s="730"/>
      <c r="AK433" s="730"/>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6"/>
      <c r="D435" s="717"/>
      <c r="E435" s="697" t="s">
        <v>665</v>
      </c>
      <c r="F435" s="1679" t="s">
        <v>1789</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7"/>
      <c r="AG435" s="717"/>
      <c r="AH435" s="717"/>
      <c r="AI435" s="717"/>
      <c r="AJ435" s="717"/>
      <c r="AK435" s="717"/>
      <c r="AL435" s="718"/>
      <c r="AM435"/>
      <c r="AO435" s="4"/>
      <c r="AP435" s="4"/>
      <c r="BD435" s="21"/>
      <c r="BE435" s="21"/>
      <c r="BF435" s="21"/>
      <c r="BG435" s="21"/>
      <c r="BH435" s="21"/>
    </row>
    <row r="436" spans="1:60">
      <c r="A436" s="5"/>
      <c r="B436" s="73"/>
      <c r="C436" s="721"/>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3"/>
      <c r="AM436"/>
      <c r="AO436" s="4"/>
      <c r="AP436" s="4"/>
    </row>
    <row r="437" spans="1:60" s="4" customFormat="1" ht="12.75" customHeight="1">
      <c r="A437" s="5"/>
      <c r="B437" s="73"/>
      <c r="C437" s="721"/>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3"/>
      <c r="AM437"/>
      <c r="AN437" s="281"/>
    </row>
    <row r="438" spans="1:60" s="4" customFormat="1" ht="12.75" customHeight="1">
      <c r="A438" s="5"/>
      <c r="B438" s="73"/>
      <c r="C438" s="722"/>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3"/>
      <c r="AM438"/>
      <c r="AN438" s="281"/>
      <c r="AO438" s="38"/>
      <c r="AP438" s="21"/>
    </row>
    <row r="439" spans="1:60" s="4" customFormat="1" ht="12.75" customHeight="1">
      <c r="A439" s="5"/>
      <c r="B439" s="73"/>
      <c r="C439" s="722"/>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3"/>
      <c r="AM439"/>
      <c r="AN439" s="281"/>
    </row>
    <row r="440" spans="1:60" s="4" customFormat="1" ht="12.75" customHeight="1">
      <c r="A440" s="5"/>
      <c r="B440" s="73"/>
      <c r="C440" s="722"/>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3"/>
      <c r="AM440"/>
      <c r="AN440" s="281"/>
    </row>
    <row r="441" spans="1:60" s="4" customFormat="1" ht="12.75" customHeight="1">
      <c r="A441" s="5"/>
      <c r="B441" s="73"/>
      <c r="C441" s="722"/>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3"/>
      <c r="AM441"/>
      <c r="AN441" s="281"/>
    </row>
    <row r="442" spans="1:60" s="4" customFormat="1" ht="12.75" customHeight="1">
      <c r="A442" s="5"/>
      <c r="B442" s="73"/>
      <c r="C442" s="722"/>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3"/>
      <c r="AM442"/>
      <c r="AN442" s="281"/>
    </row>
    <row r="443" spans="1:60" s="4" customFormat="1" ht="17.25" customHeight="1">
      <c r="A443" s="5"/>
      <c r="B443" s="73"/>
      <c r="C443" s="722"/>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4"/>
      <c r="AM443"/>
      <c r="AN443" s="281"/>
    </row>
    <row r="444" spans="1:60" s="4" customFormat="1" ht="12.75" customHeight="1">
      <c r="A444" s="5"/>
      <c r="B444" s="21"/>
      <c r="C444" s="1684" t="s">
        <v>123</v>
      </c>
      <c r="D444" s="1098"/>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318</v>
      </c>
      <c r="AG444" s="1708"/>
      <c r="AH444" s="1708"/>
      <c r="AI444" s="1708"/>
      <c r="AJ444" s="1708"/>
      <c r="AK444" s="1708"/>
      <c r="AL444" s="1715"/>
      <c r="AM444"/>
      <c r="AN444" s="281"/>
    </row>
    <row r="445" spans="1:60" s="4" customFormat="1" ht="12.75" customHeight="1">
      <c r="A445" s="5"/>
      <c r="B445" s="73"/>
      <c r="C445" s="715"/>
      <c r="D445" s="713"/>
      <c r="E445" s="701"/>
      <c r="F445" s="710"/>
      <c r="G445" s="702"/>
      <c r="H445" s="702"/>
      <c r="I445" s="702"/>
      <c r="J445" s="702"/>
      <c r="K445" s="702"/>
      <c r="L445" s="702"/>
      <c r="M445" s="702"/>
      <c r="N445" s="702"/>
      <c r="O445" s="702"/>
      <c r="P445" s="702"/>
      <c r="Q445" s="702"/>
      <c r="R445" s="702"/>
      <c r="S445" s="702"/>
      <c r="T445" s="702"/>
      <c r="U445" s="702"/>
      <c r="V445" s="702"/>
      <c r="W445" s="702"/>
      <c r="X445" s="702"/>
      <c r="Y445" s="702"/>
      <c r="Z445" s="702"/>
      <c r="AA445" s="702"/>
      <c r="AB445" s="702"/>
      <c r="AC445" s="702"/>
      <c r="AD445" s="702"/>
      <c r="AE445" s="713"/>
      <c r="AF445" s="713"/>
      <c r="AG445" s="713"/>
      <c r="AH445" s="713"/>
      <c r="AI445" s="713"/>
      <c r="AJ445" s="713"/>
      <c r="AK445" s="713"/>
      <c r="AL445" s="714"/>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5"/>
      <c r="D447" s="696"/>
      <c r="E447" s="697" t="s">
        <v>666</v>
      </c>
      <c r="F447" s="1679" t="s">
        <v>1792</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6"/>
      <c r="AG447" s="696"/>
      <c r="AH447" s="696"/>
      <c r="AI447" s="696"/>
      <c r="AJ447" s="696"/>
      <c r="AK447" s="696"/>
      <c r="AL447" s="720"/>
      <c r="AM447"/>
      <c r="AN447" s="281"/>
    </row>
    <row r="448" spans="1:60" s="4" customFormat="1" ht="12.75" customHeight="1">
      <c r="A448" s="5"/>
      <c r="B448" s="73"/>
      <c r="C448" s="722"/>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0"/>
      <c r="AM448"/>
      <c r="AN448" s="281"/>
    </row>
    <row r="449" spans="1:49" s="4" customFormat="1" ht="12.75" customHeight="1">
      <c r="A449" s="5"/>
      <c r="B449" s="73"/>
      <c r="C449" s="722"/>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0"/>
      <c r="AM449"/>
      <c r="AN449" s="281"/>
    </row>
    <row r="450" spans="1:49" s="4" customFormat="1" ht="12.75" customHeight="1">
      <c r="A450" s="5"/>
      <c r="B450" s="73"/>
      <c r="C450" s="722"/>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4"/>
      <c r="AM450"/>
      <c r="AN450" s="281"/>
    </row>
    <row r="451" spans="1:49" s="4" customFormat="1" ht="12.75" customHeight="1">
      <c r="A451" s="5"/>
      <c r="B451" s="73"/>
      <c r="C451" s="1684" t="s">
        <v>123</v>
      </c>
      <c r="D451" s="1098"/>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318</v>
      </c>
      <c r="AG451" s="1708"/>
      <c r="AH451" s="1708"/>
      <c r="AI451" s="1708"/>
      <c r="AJ451" s="1708"/>
      <c r="AK451" s="1708"/>
      <c r="AL451" s="1715"/>
      <c r="AM451"/>
      <c r="AN451" s="673"/>
      <c r="AP451" s="21"/>
      <c r="AQ451" s="166"/>
      <c r="AR451" s="166"/>
      <c r="AS451" s="166"/>
      <c r="AT451" s="166"/>
      <c r="AU451" s="166"/>
      <c r="AV451" s="166"/>
      <c r="AW451" s="166"/>
    </row>
    <row r="452" spans="1:49" s="4" customFormat="1" ht="12.75" customHeight="1">
      <c r="A452" s="5"/>
      <c r="B452" s="73"/>
      <c r="C452" s="706"/>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4"/>
      <c r="AM452"/>
      <c r="AN452" s="673"/>
      <c r="AQ452" s="166"/>
      <c r="AR452" s="166"/>
      <c r="AS452" s="166"/>
      <c r="AT452" s="166"/>
      <c r="AU452" s="166"/>
      <c r="AV452" s="166"/>
      <c r="AW452" s="166"/>
    </row>
    <row r="453" spans="1:49" s="4" customFormat="1" ht="12.75" customHeight="1">
      <c r="A453" s="5"/>
      <c r="B453" s="73"/>
      <c r="C453" s="723"/>
      <c r="D453" s="724"/>
      <c r="E453" s="709"/>
      <c r="F453" s="713" t="s">
        <v>1777</v>
      </c>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c r="AD453" s="705"/>
      <c r="AE453" s="711"/>
      <c r="AF453" s="712"/>
      <c r="AG453" s="711"/>
      <c r="AH453" s="713"/>
      <c r="AI453" s="713"/>
      <c r="AJ453" s="713"/>
      <c r="AK453" s="713"/>
      <c r="AL453" s="714"/>
      <c r="AM453"/>
      <c r="AN453" s="673"/>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3"/>
      <c r="AQ454" s="166"/>
      <c r="AR454" s="166"/>
      <c r="AS454" s="166"/>
      <c r="AT454" s="166"/>
      <c r="AU454" s="166"/>
      <c r="AV454" s="166"/>
      <c r="AW454" s="166"/>
    </row>
    <row r="455" spans="1:49" s="4" customFormat="1" ht="12.75" customHeight="1">
      <c r="A455" s="5"/>
      <c r="B455" s="73"/>
      <c r="C455" s="1867" t="s">
        <v>123</v>
      </c>
      <c r="D455" s="1868"/>
      <c r="E455" s="697" t="s">
        <v>965</v>
      </c>
      <c r="F455" s="1679" t="s">
        <v>967</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318</v>
      </c>
      <c r="AG455" s="1718"/>
      <c r="AH455" s="1718"/>
      <c r="AI455" s="1718"/>
      <c r="AJ455" s="1718"/>
      <c r="AK455" s="1718"/>
      <c r="AL455" s="1719"/>
      <c r="AM455"/>
      <c r="AN455" s="673"/>
      <c r="AQ455" s="166"/>
    </row>
    <row r="456" spans="1:49" s="4" customFormat="1" ht="12.75" customHeight="1">
      <c r="A456" s="5"/>
      <c r="B456" s="73"/>
      <c r="C456" s="722"/>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0"/>
      <c r="AM456"/>
      <c r="AN456" s="674"/>
      <c r="AO456" s="4" t="s">
        <v>123</v>
      </c>
      <c r="AP456" s="4">
        <v>0</v>
      </c>
      <c r="AQ456" s="166"/>
    </row>
    <row r="457" spans="1:49" s="4" customFormat="1" ht="21.75" customHeight="1">
      <c r="A457" s="5"/>
      <c r="B457" s="73"/>
      <c r="C457" s="699"/>
      <c r="D457" s="700"/>
      <c r="E457" s="701"/>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1"/>
      <c r="AG457" s="781"/>
      <c r="AH457" s="781"/>
      <c r="AI457" s="781"/>
      <c r="AJ457" s="781"/>
      <c r="AK457" s="781"/>
      <c r="AL457" s="782"/>
      <c r="AM457"/>
      <c r="AN457" s="669"/>
      <c r="AO457" s="4" t="s">
        <v>968</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9"/>
      <c r="AO458" s="4" t="s">
        <v>969</v>
      </c>
      <c r="AP458" s="4">
        <v>5</v>
      </c>
      <c r="AQ458" s="166"/>
    </row>
    <row r="459" spans="1:49" s="4" customFormat="1" ht="12.75" customHeight="1">
      <c r="A459" s="5"/>
      <c r="B459" s="21"/>
      <c r="C459" s="1867" t="s">
        <v>123</v>
      </c>
      <c r="D459" s="1868"/>
      <c r="E459" s="697" t="s">
        <v>966</v>
      </c>
      <c r="F459" s="1679" t="s">
        <v>1829</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318</v>
      </c>
      <c r="AG459" s="1718"/>
      <c r="AH459" s="1718"/>
      <c r="AI459" s="1718"/>
      <c r="AJ459" s="1718"/>
      <c r="AK459" s="1718"/>
      <c r="AL459" s="1719"/>
      <c r="AM459"/>
      <c r="AN459" s="669"/>
      <c r="AO459" s="4" t="s">
        <v>1333</v>
      </c>
      <c r="AP459" s="4">
        <v>5</v>
      </c>
      <c r="AQ459" s="5"/>
    </row>
    <row r="460" spans="1:49" s="4" customFormat="1" ht="12.75" customHeight="1">
      <c r="A460" s="5"/>
      <c r="B460" s="21"/>
      <c r="C460" s="703"/>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4"/>
      <c r="AM460"/>
      <c r="AN460" s="669"/>
      <c r="AO460" s="4" t="s">
        <v>1329</v>
      </c>
      <c r="AP460" s="4">
        <v>5</v>
      </c>
    </row>
    <row r="461" spans="1:49" s="4" customFormat="1" ht="12.75" customHeight="1">
      <c r="A461" s="5"/>
      <c r="B461" s="21"/>
      <c r="C461" s="703"/>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4"/>
      <c r="AM461"/>
      <c r="AN461" s="669"/>
      <c r="AO461" s="4" t="s">
        <v>1330</v>
      </c>
      <c r="AP461" s="4">
        <v>5</v>
      </c>
    </row>
    <row r="462" spans="1:49" s="4" customFormat="1" ht="4.5" customHeight="1">
      <c r="A462" s="5"/>
      <c r="B462" s="73"/>
      <c r="C462" s="699"/>
      <c r="D462" s="700"/>
      <c r="E462" s="701"/>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1"/>
      <c r="AG462" s="781"/>
      <c r="AH462" s="781"/>
      <c r="AI462" s="781"/>
      <c r="AJ462" s="781"/>
      <c r="AK462" s="781"/>
      <c r="AL462" s="782"/>
      <c r="AM462"/>
      <c r="AN462" s="281"/>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1218</v>
      </c>
      <c r="AP463" s="4">
        <v>5</v>
      </c>
    </row>
    <row r="464" spans="1:49" s="4" customFormat="1" ht="12.75" customHeight="1">
      <c r="A464" s="5"/>
      <c r="B464" s="21"/>
      <c r="C464" s="695"/>
      <c r="D464" s="696"/>
      <c r="E464" s="697" t="s">
        <v>964</v>
      </c>
      <c r="F464" s="1679" t="s">
        <v>1830</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6"/>
      <c r="AH464" s="696"/>
      <c r="AI464" s="696"/>
      <c r="AJ464" s="696"/>
      <c r="AK464" s="696"/>
      <c r="AL464" s="720"/>
      <c r="AM464"/>
      <c r="AN464" s="281"/>
      <c r="AO464" s="4" t="s">
        <v>1332</v>
      </c>
      <c r="AP464" s="4">
        <v>1</v>
      </c>
    </row>
    <row r="465" spans="1:54" s="4" customFormat="1" ht="12.75" customHeight="1">
      <c r="A465" s="5"/>
      <c r="B465" s="21"/>
      <c r="C465" s="703"/>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4"/>
      <c r="AM465"/>
      <c r="AN465" s="281"/>
      <c r="AS465" s="345"/>
      <c r="AW465" s="345" t="s">
        <v>973</v>
      </c>
      <c r="BA465" s="345" t="s">
        <v>974</v>
      </c>
    </row>
    <row r="466" spans="1:54" s="4" customFormat="1" ht="12.75" customHeight="1">
      <c r="A466" s="5"/>
      <c r="B466" s="21"/>
      <c r="C466" s="706"/>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4"/>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6"/>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4"/>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84" t="s">
        <v>123</v>
      </c>
      <c r="D468" s="1098"/>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318</v>
      </c>
      <c r="AG468" s="1169"/>
      <c r="AH468" s="1169"/>
      <c r="AI468" s="1169"/>
      <c r="AJ468" s="1169"/>
      <c r="AK468" s="1169"/>
      <c r="AL468" s="1675"/>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7"/>
      <c r="D469" s="708"/>
      <c r="E469" s="709"/>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4"/>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9"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1463</v>
      </c>
      <c r="C477" s="3"/>
      <c r="E477" s="20"/>
      <c r="AE477" s="1169" t="s">
        <v>1255</v>
      </c>
      <c r="AF477" s="1169"/>
      <c r="AG477" s="1169"/>
      <c r="AH477" s="1169"/>
      <c r="AI477" s="1169"/>
      <c r="AJ477" s="1169"/>
      <c r="AK477" s="1169"/>
      <c r="AL477" s="18"/>
      <c r="AN477" s="281"/>
      <c r="AO477" s="4" t="s">
        <v>968</v>
      </c>
      <c r="AP477" s="4">
        <v>5</v>
      </c>
    </row>
    <row r="478" spans="1:54" s="4" customFormat="1" ht="12.75" hidden="1" customHeight="1">
      <c r="A478" s="3"/>
      <c r="B478" s="5" t="s">
        <v>1491</v>
      </c>
      <c r="C478" s="3"/>
      <c r="E478" s="20"/>
      <c r="AE478" s="18"/>
      <c r="AF478" s="18"/>
      <c r="AG478" s="18"/>
      <c r="AH478" s="18"/>
      <c r="AI478" s="18"/>
      <c r="AJ478" s="18"/>
      <c r="AK478" s="18"/>
      <c r="AL478" s="18"/>
      <c r="AN478" s="281"/>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81"/>
      <c r="AO479" s="4" t="s">
        <v>1333</v>
      </c>
      <c r="AP479" s="4">
        <v>5</v>
      </c>
      <c r="AQ479" s="3"/>
      <c r="AR479" s="3"/>
      <c r="AS479" s="345"/>
      <c r="AW479" s="345"/>
    </row>
    <row r="480" spans="1:54" s="4" customFormat="1" ht="12.75" hidden="1" customHeight="1">
      <c r="A480" s="3"/>
      <c r="B480" s="3" t="s">
        <v>978</v>
      </c>
      <c r="C480" s="3"/>
      <c r="E480" s="20"/>
      <c r="AE480" s="18"/>
      <c r="AF480" s="18"/>
      <c r="AG480" s="18"/>
      <c r="AH480" s="18"/>
      <c r="AI480" s="18"/>
      <c r="AJ480" s="18"/>
      <c r="AK480" s="18"/>
      <c r="AL480" s="18"/>
      <c r="AN480" s="281"/>
      <c r="AO480" s="4" t="s">
        <v>1329</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1330</v>
      </c>
      <c r="AP481" s="4">
        <v>5</v>
      </c>
      <c r="AQ481" s="3"/>
      <c r="AR481" s="3"/>
      <c r="AW481" s="120"/>
    </row>
    <row r="482" spans="1:50" s="4" customFormat="1" ht="12.75" hidden="1" customHeight="1">
      <c r="A482" s="3"/>
      <c r="C482" s="182" t="s">
        <v>1464</v>
      </c>
      <c r="D482"/>
      <c r="AE482" s="18"/>
      <c r="AF482" s="18"/>
      <c r="AG482" s="20"/>
      <c r="AH482" s="20"/>
      <c r="AI482" s="20"/>
      <c r="AJ482" s="20"/>
      <c r="AK482" s="20"/>
      <c r="AL482" s="20"/>
      <c r="AN482" s="281"/>
      <c r="AO482" s="4" t="s">
        <v>1331</v>
      </c>
      <c r="AP482" s="4">
        <v>5</v>
      </c>
      <c r="AW482" s="120"/>
    </row>
    <row r="483" spans="1:50" s="4" customFormat="1" ht="12.75" hidden="1" customHeight="1">
      <c r="A483" s="3"/>
      <c r="C483" s="1682" t="s">
        <v>123</v>
      </c>
      <c r="D483" s="1683"/>
      <c r="E483" s="748" t="s">
        <v>194</v>
      </c>
      <c r="F483" s="1716" t="s">
        <v>970</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6"/>
      <c r="AG483" s="696"/>
      <c r="AH483" s="696"/>
      <c r="AI483" s="696"/>
      <c r="AJ483" s="696"/>
      <c r="AK483" s="720"/>
      <c r="AN483" s="281"/>
      <c r="AO483" s="4" t="s">
        <v>1912</v>
      </c>
      <c r="AP483" s="4">
        <v>5</v>
      </c>
      <c r="AS483" s="348"/>
      <c r="AT483" s="29"/>
      <c r="AW483" s="120"/>
      <c r="AX483" s="35"/>
    </row>
    <row r="484" spans="1:50" s="4" customFormat="1" ht="12.75" hidden="1" customHeight="1">
      <c r="C484" s="725"/>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4"/>
      <c r="AN484" s="281"/>
      <c r="AO484" s="4" t="s">
        <v>1332</v>
      </c>
      <c r="AP484" s="4">
        <v>1</v>
      </c>
    </row>
    <row r="485" spans="1:50" s="4" customFormat="1" ht="12.75" hidden="1" customHeight="1">
      <c r="C485" s="726"/>
      <c r="D485" s="713"/>
      <c r="E485" s="727"/>
      <c r="F485" s="1645" t="s">
        <v>123</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8"/>
      <c r="AB485" s="729"/>
      <c r="AC485" s="729"/>
      <c r="AD485" s="713"/>
      <c r="AE485" s="713"/>
      <c r="AF485" s="713"/>
      <c r="AG485" s="730">
        <f>IF($C$483="Yes",(VLOOKUP($F$485,$AO$456:$AP$464,2,FALSE)),0)</f>
        <v>0</v>
      </c>
      <c r="AH485" s="731" t="s">
        <v>972</v>
      </c>
      <c r="AI485" s="730"/>
      <c r="AJ485" s="730"/>
      <c r="AK485" s="714"/>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7" t="s">
        <v>107</v>
      </c>
      <c r="D487" s="1868"/>
      <c r="E487" s="748" t="s">
        <v>301</v>
      </c>
      <c r="F487" s="732" t="s">
        <v>1337</v>
      </c>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696"/>
      <c r="AE487" s="696"/>
      <c r="AF487" s="696"/>
      <c r="AG487" s="733"/>
      <c r="AH487" s="733"/>
      <c r="AI487" s="733"/>
      <c r="AJ487" s="733"/>
      <c r="AK487" s="720"/>
      <c r="AN487" s="281"/>
      <c r="AO487" s="348">
        <v>0.15</v>
      </c>
      <c r="AP487" s="35">
        <v>3</v>
      </c>
    </row>
    <row r="488" spans="1:50" s="4" customFormat="1" ht="12.75" hidden="1" customHeight="1">
      <c r="C488" s="734" t="s">
        <v>1219</v>
      </c>
      <c r="F488" s="252"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4"/>
      <c r="AN488" s="281"/>
      <c r="AO488" s="348">
        <v>0.2</v>
      </c>
      <c r="AP488" s="35">
        <v>5</v>
      </c>
    </row>
    <row r="489" spans="1:50" s="4" customFormat="1" ht="12.75" hidden="1" customHeight="1">
      <c r="C489" s="722"/>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1"/>
      <c r="AD489" s="90"/>
      <c r="AE489" s="90"/>
      <c r="AF489" s="90"/>
      <c r="AG489" s="257"/>
      <c r="AH489" s="104"/>
      <c r="AI489" s="104"/>
      <c r="AJ489" s="104"/>
      <c r="AK489" s="704"/>
      <c r="AN489" s="298"/>
      <c r="AO489" s="348"/>
      <c r="AP489" s="29"/>
    </row>
    <row r="490" spans="1:50" s="20" customFormat="1" ht="12.75" hidden="1" customHeight="1">
      <c r="A490" s="35"/>
      <c r="B490" s="4"/>
      <c r="C490" s="725"/>
      <c r="D490" s="4"/>
      <c r="E490" s="143"/>
      <c r="F490" s="735" t="s">
        <v>971</v>
      </c>
      <c r="G490" s="4"/>
      <c r="H490" s="4"/>
      <c r="I490" s="252"/>
      <c r="J490" s="252"/>
      <c r="K490" s="252"/>
      <c r="L490" s="252"/>
      <c r="M490" s="252"/>
      <c r="N490" s="252"/>
      <c r="O490" s="252"/>
      <c r="P490" s="252"/>
      <c r="Q490" s="252"/>
      <c r="R490" s="252"/>
      <c r="S490" s="252"/>
      <c r="T490" s="252"/>
      <c r="U490" s="252"/>
      <c r="V490" s="1676" t="s">
        <v>123</v>
      </c>
      <c r="W490" s="1676"/>
      <c r="X490" s="1676"/>
      <c r="Y490" s="252"/>
      <c r="Z490" s="252"/>
      <c r="AA490" s="252"/>
      <c r="AB490" s="252"/>
      <c r="AC490" s="252"/>
      <c r="AD490" s="90"/>
      <c r="AE490" s="90"/>
      <c r="AF490" s="90"/>
      <c r="AG490" s="104">
        <f>IF(AND($C$487="Yes",$V$492="N/A",$V$497="N/A",$V$501="N/A",$V$503="N/A"),(VLOOKUP(V490,$AR$466:$AS$468,2,FALSE)),0)</f>
        <v>0</v>
      </c>
      <c r="AH490" s="128" t="s">
        <v>972</v>
      </c>
      <c r="AI490" s="19"/>
      <c r="AJ490" s="19"/>
      <c r="AK490" s="704"/>
      <c r="AL490" s="4"/>
      <c r="AM490" s="4"/>
      <c r="AN490" s="281"/>
    </row>
    <row r="491" spans="1:50" s="20" customFormat="1" ht="12.75" hidden="1" customHeight="1">
      <c r="A491" s="35"/>
      <c r="B491" s="4"/>
      <c r="C491" s="725"/>
      <c r="D491" s="4"/>
      <c r="E491" s="143"/>
      <c r="F491" s="735"/>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4"/>
      <c r="AL491" s="4"/>
      <c r="AM491" s="4"/>
      <c r="AN491" s="281"/>
    </row>
    <row r="492" spans="1:50" s="20" customFormat="1" ht="12.75" hidden="1" customHeight="1">
      <c r="A492" s="35"/>
      <c r="B492" s="4"/>
      <c r="C492" s="725"/>
      <c r="D492" s="4"/>
      <c r="E492" s="143"/>
      <c r="F492" s="735" t="s">
        <v>1925</v>
      </c>
      <c r="G492" s="4"/>
      <c r="H492" s="4"/>
      <c r="I492" s="252"/>
      <c r="J492" s="252"/>
      <c r="K492" s="252"/>
      <c r="L492" s="252"/>
      <c r="M492" s="252"/>
      <c r="N492" s="252"/>
      <c r="O492" s="252"/>
      <c r="P492" s="252"/>
      <c r="Q492" s="252"/>
      <c r="R492" s="252"/>
      <c r="S492" s="252"/>
      <c r="T492" s="252"/>
      <c r="U492" s="252"/>
      <c r="V492" s="1676" t="s">
        <v>123</v>
      </c>
      <c r="W492" s="1676"/>
      <c r="X492" s="1676"/>
      <c r="Y492" s="252"/>
      <c r="Z492" s="252"/>
      <c r="AA492" s="252"/>
      <c r="AB492" s="252"/>
      <c r="AC492" s="252"/>
      <c r="AD492" s="90"/>
      <c r="AE492" s="90"/>
      <c r="AF492" s="90"/>
      <c r="AG492" s="104">
        <f>IF(AND($C$487="Yes",$V$490="N/A", $V$497="N/A",$V$501="N/A",$V$503="N/A"),(VLOOKUP(V492,$AO$466:$AP$468,2,FALSE)),0)</f>
        <v>0</v>
      </c>
      <c r="AH492" s="128" t="s">
        <v>972</v>
      </c>
      <c r="AI492" s="19"/>
      <c r="AJ492" s="19"/>
      <c r="AK492" s="704"/>
      <c r="AL492" s="4"/>
      <c r="AM492" s="4"/>
      <c r="AN492" s="281"/>
    </row>
    <row r="493" spans="1:50" s="4" customFormat="1" ht="12.75" hidden="1" customHeight="1">
      <c r="C493" s="725"/>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4"/>
      <c r="AN493" s="281"/>
      <c r="AO493" s="4" t="s">
        <v>123</v>
      </c>
      <c r="AP493" s="4">
        <v>0</v>
      </c>
    </row>
    <row r="494" spans="1:50" s="4" customFormat="1" ht="12.75" hidden="1" customHeight="1">
      <c r="C494" s="725"/>
      <c r="E494" s="143"/>
      <c r="F494" s="254" t="s">
        <v>1336</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4"/>
      <c r="AN494" s="281"/>
      <c r="AO494" s="4" t="s">
        <v>1339</v>
      </c>
      <c r="AP494" s="35">
        <v>2</v>
      </c>
    </row>
    <row r="495" spans="1:50" s="4" customFormat="1" ht="12.75" hidden="1" customHeight="1">
      <c r="C495" s="725"/>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4"/>
      <c r="AN495" s="281"/>
      <c r="AO495" s="4" t="s">
        <v>979</v>
      </c>
      <c r="AP495" s="4">
        <v>2</v>
      </c>
    </row>
    <row r="496" spans="1:50" s="20" customFormat="1" ht="12.75" hidden="1" customHeight="1">
      <c r="A496" s="4"/>
      <c r="B496" s="4"/>
      <c r="C496" s="706"/>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4"/>
      <c r="AL496" s="4"/>
      <c r="AM496" s="4"/>
      <c r="AN496" s="298"/>
      <c r="AO496" s="4" t="s">
        <v>980</v>
      </c>
      <c r="AP496" s="4">
        <v>2</v>
      </c>
    </row>
    <row r="497" spans="1:147" s="4" customFormat="1" ht="12.75" hidden="1" customHeight="1">
      <c r="C497" s="736"/>
      <c r="F497" s="735" t="s">
        <v>1338</v>
      </c>
      <c r="M497" s="143"/>
      <c r="N497" s="143"/>
      <c r="O497" s="143"/>
      <c r="P497" s="143"/>
      <c r="Q497" s="19"/>
      <c r="R497" s="19"/>
      <c r="S497" s="19"/>
      <c r="T497" s="19"/>
      <c r="U497" s="19"/>
      <c r="V497" s="1676" t="s">
        <v>123</v>
      </c>
      <c r="W497" s="1676"/>
      <c r="X497" s="1676"/>
      <c r="Y497" s="19"/>
      <c r="Z497" s="19"/>
      <c r="AA497" s="19"/>
      <c r="AB497" s="19"/>
      <c r="AC497" s="19"/>
      <c r="AG497" s="104">
        <f>IF(AND($C$487="Yes",$V$490="N/A",$V$492="N/A", $V$501="N/A",$V$503="N/A"),(VLOOKUP($V$497,$AO$470:$AP$472,2,FALSE)),0)</f>
        <v>0</v>
      </c>
      <c r="AH497" s="128" t="s">
        <v>972</v>
      </c>
      <c r="AI497" s="19"/>
      <c r="AJ497" s="19"/>
      <c r="AK497" s="704"/>
      <c r="AN497" s="669"/>
    </row>
    <row r="498" spans="1:147" s="4" customFormat="1" ht="12.75" hidden="1" customHeight="1">
      <c r="C498" s="725"/>
      <c r="M498" s="143"/>
      <c r="N498" s="143"/>
      <c r="O498" s="143"/>
      <c r="P498" s="143"/>
      <c r="Q498" s="19"/>
      <c r="R498" s="19"/>
      <c r="S498" s="19"/>
      <c r="T498" s="19"/>
      <c r="U498" s="19"/>
      <c r="V498" s="19"/>
      <c r="W498" s="19"/>
      <c r="X498" s="19"/>
      <c r="Y498" s="19"/>
      <c r="Z498" s="19"/>
      <c r="AA498" s="19"/>
      <c r="AB498" s="19"/>
      <c r="AC498" s="19"/>
      <c r="AJ498" s="19"/>
      <c r="AK498" s="704"/>
      <c r="AN498" s="675"/>
    </row>
    <row r="499" spans="1:147" s="20" customFormat="1" ht="12.75" hidden="1" customHeight="1">
      <c r="A499" s="4"/>
      <c r="B499" s="4"/>
      <c r="C499" s="739" t="s">
        <v>1220</v>
      </c>
      <c r="D499" s="696"/>
      <c r="E499" s="696"/>
      <c r="F499" s="740" t="s">
        <v>1335</v>
      </c>
      <c r="G499" s="696"/>
      <c r="H499" s="696"/>
      <c r="I499" s="696"/>
      <c r="J499" s="696"/>
      <c r="K499" s="696"/>
      <c r="L499" s="696"/>
      <c r="M499" s="696"/>
      <c r="N499" s="696"/>
      <c r="O499" s="696"/>
      <c r="P499" s="696"/>
      <c r="Q499" s="696"/>
      <c r="R499" s="696"/>
      <c r="S499" s="696"/>
      <c r="T499" s="696"/>
      <c r="U499" s="696"/>
      <c r="V499" s="696"/>
      <c r="W499" s="696"/>
      <c r="X499" s="696"/>
      <c r="Y499" s="696"/>
      <c r="Z499" s="696"/>
      <c r="AA499" s="696"/>
      <c r="AB499" s="696"/>
      <c r="AC499" s="696"/>
      <c r="AD499" s="696"/>
      <c r="AE499" s="696"/>
      <c r="AF499" s="696"/>
      <c r="AG499" s="696"/>
      <c r="AH499" s="696"/>
      <c r="AI499" s="696"/>
      <c r="AJ499" s="696"/>
      <c r="AK499" s="720"/>
      <c r="AL499" s="4"/>
      <c r="AM499" s="4"/>
      <c r="AN499" s="670"/>
      <c r="AO499" s="4" t="s">
        <v>123</v>
      </c>
      <c r="AP499" s="4">
        <v>0</v>
      </c>
      <c r="AQ499" s="3"/>
    </row>
    <row r="500" spans="1:147" s="20" customFormat="1" ht="12.75" hidden="1" customHeight="1">
      <c r="A500" s="4"/>
      <c r="B500" s="4"/>
      <c r="C500" s="737"/>
      <c r="D500" s="1334"/>
      <c r="E500" s="1334"/>
      <c r="F500" s="252" t="s">
        <v>1334</v>
      </c>
      <c r="I500" s="4"/>
      <c r="J500" s="4"/>
      <c r="K500" s="4"/>
      <c r="L500" s="4"/>
      <c r="M500" s="4"/>
      <c r="N500" s="4"/>
      <c r="O500" s="4"/>
      <c r="P500" s="4"/>
      <c r="Q500" s="4"/>
      <c r="R500" s="4"/>
      <c r="S500" s="4"/>
      <c r="T500" s="4"/>
      <c r="U500" s="4"/>
      <c r="Y500" s="4"/>
      <c r="Z500" s="4"/>
      <c r="AA500" s="4"/>
      <c r="AB500" s="4"/>
      <c r="AC500" s="4"/>
      <c r="AD500" s="4"/>
      <c r="AE500" s="4"/>
      <c r="AF500" s="4"/>
      <c r="AK500" s="704"/>
      <c r="AL500" s="4"/>
      <c r="AM500" s="4"/>
      <c r="AN500" s="670"/>
      <c r="AO500" s="4" t="s">
        <v>1345</v>
      </c>
      <c r="AP500" s="35">
        <v>5</v>
      </c>
      <c r="AQ500" s="3"/>
    </row>
    <row r="501" spans="1:147" customFormat="1" ht="12.75" hidden="1" customHeight="1">
      <c r="A501" s="120"/>
      <c r="B501" s="4"/>
      <c r="C501" s="725"/>
      <c r="D501" s="4"/>
      <c r="E501" s="4"/>
      <c r="F501" s="562" t="s">
        <v>971</v>
      </c>
      <c r="G501" s="4"/>
      <c r="H501" s="4"/>
      <c r="I501" s="4"/>
      <c r="J501" s="4"/>
      <c r="K501" s="4"/>
      <c r="L501" s="4"/>
      <c r="M501" s="4"/>
      <c r="N501" s="4"/>
      <c r="O501" s="4"/>
      <c r="P501" s="4"/>
      <c r="Q501" s="4"/>
      <c r="R501" s="4"/>
      <c r="S501" s="4"/>
      <c r="T501" s="4"/>
      <c r="U501" s="4"/>
      <c r="V501" s="1676" t="s">
        <v>123</v>
      </c>
      <c r="W501" s="1676"/>
      <c r="X501" s="1676"/>
      <c r="Y501" s="4"/>
      <c r="Z501" s="4"/>
      <c r="AA501" s="4"/>
      <c r="AB501" s="4"/>
      <c r="AC501" s="4"/>
      <c r="AD501" s="4"/>
      <c r="AE501" s="4"/>
      <c r="AF501" s="4"/>
      <c r="AG501" s="104">
        <f>IF(AND($C$487="Yes",$V$490="N/A",V492="N/A",$V$497="N/A",$V$503="N/A"),(VLOOKUP($V$501,$AW$466:$AX$469,2,FALSE)),0)</f>
        <v>0</v>
      </c>
      <c r="AH501" s="128" t="s">
        <v>972</v>
      </c>
      <c r="AI501" s="19"/>
      <c r="AJ501" s="4"/>
      <c r="AK501" s="704"/>
      <c r="AL501" s="4"/>
      <c r="AM501" s="4"/>
      <c r="AN501" s="204"/>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4"/>
      <c r="AL502" s="4"/>
      <c r="AM502" s="4"/>
      <c r="AN502" s="204"/>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6"/>
      <c r="D503" s="713"/>
      <c r="E503" s="713"/>
      <c r="F503" s="735" t="s">
        <v>1925</v>
      </c>
      <c r="G503" s="728"/>
      <c r="H503" s="728"/>
      <c r="I503" s="713"/>
      <c r="J503" s="713"/>
      <c r="K503" s="713"/>
      <c r="L503" s="713"/>
      <c r="M503" s="713"/>
      <c r="N503" s="713"/>
      <c r="O503" s="713"/>
      <c r="P503" s="713"/>
      <c r="Q503" s="713"/>
      <c r="R503" s="713"/>
      <c r="S503" s="713"/>
      <c r="T503" s="713"/>
      <c r="U503" s="713"/>
      <c r="V503" s="1676" t="s">
        <v>123</v>
      </c>
      <c r="W503" s="1676"/>
      <c r="X503" s="1676"/>
      <c r="Y503" s="713"/>
      <c r="Z503" s="713"/>
      <c r="AA503" s="713"/>
      <c r="AB503" s="713"/>
      <c r="AC503" s="713"/>
      <c r="AD503" s="713"/>
      <c r="AE503" s="713"/>
      <c r="AF503" s="713"/>
      <c r="AG503" s="738">
        <f>IF(AND($C$487="Yes",$V$490="N/A",$V$492="N/A",$V$497="N/A",$V$501="N/A"),(VLOOKUP($V$503,$BA$466:$BB$468,2,FALSE)),0)</f>
        <v>0</v>
      </c>
      <c r="AH503" s="731" t="s">
        <v>972</v>
      </c>
      <c r="AI503" s="713"/>
      <c r="AJ503" s="713"/>
      <c r="AK503" s="714"/>
      <c r="AL503" s="4"/>
      <c r="AM503" s="4"/>
      <c r="AN503" s="6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6"/>
      <c r="AO504" s="265"/>
      <c r="AP504" s="4"/>
      <c r="AQ504" s="4"/>
      <c r="AR504" s="4"/>
      <c r="AS504" s="4"/>
      <c r="AT504" s="4"/>
      <c r="AU504" s="1703" t="s">
        <v>655</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1465</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6"/>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123</v>
      </c>
      <c r="D506" s="1683"/>
      <c r="E506" s="741" t="s">
        <v>194</v>
      </c>
      <c r="F506" s="1716" t="s">
        <v>970</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6"/>
      <c r="AG506" s="742"/>
      <c r="AH506" s="742"/>
      <c r="AI506" s="742"/>
      <c r="AJ506" s="742"/>
      <c r="AK506" s="720"/>
      <c r="AL506" s="4"/>
      <c r="AM506" s="4"/>
      <c r="AN506" s="668"/>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5"/>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4"/>
      <c r="AL507" s="4"/>
      <c r="AM507" s="4"/>
      <c r="AN507" s="668"/>
      <c r="AO507" s="38"/>
      <c r="AP507" s="1508" t="s">
        <v>1496</v>
      </c>
      <c r="AQ507" s="1509"/>
      <c r="AR507" s="1510"/>
      <c r="AS507" s="623">
        <v>80</v>
      </c>
      <c r="AT507" s="4">
        <v>0</v>
      </c>
      <c r="AU507" s="160">
        <v>10</v>
      </c>
      <c r="AV507" s="160">
        <v>25</v>
      </c>
      <c r="AW507" s="160">
        <v>37.5</v>
      </c>
      <c r="AX507" s="160">
        <v>35</v>
      </c>
      <c r="AY507" s="160">
        <v>37.5</v>
      </c>
      <c r="AZ507" s="160">
        <v>50</v>
      </c>
      <c r="BA507" s="160">
        <v>50</v>
      </c>
      <c r="BB507" s="21"/>
      <c r="BC507" s="21"/>
      <c r="BE507" s="1508" t="s">
        <v>1496</v>
      </c>
      <c r="BF507" s="1509"/>
      <c r="BG507" s="1510"/>
      <c r="BH507" s="623">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6"/>
      <c r="D508" s="713"/>
      <c r="E508" s="727"/>
      <c r="F508" s="1879" t="s">
        <v>123</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8"/>
      <c r="AB508" s="729"/>
      <c r="AC508" s="729"/>
      <c r="AD508" s="713"/>
      <c r="AE508" s="713"/>
      <c r="AF508" s="713"/>
      <c r="AG508" s="730">
        <f>IF($C$506="Yes",(VLOOKUP($F$508,$AO$476:$AP$484,2,FALSE)),0)</f>
        <v>0</v>
      </c>
      <c r="AH508" s="731" t="s">
        <v>972</v>
      </c>
      <c r="AI508" s="730"/>
      <c r="AJ508" s="729"/>
      <c r="AK508" s="714"/>
      <c r="AL508" s="4"/>
      <c r="AM508" s="4"/>
      <c r="AN508" s="668"/>
      <c r="AO508" s="38"/>
      <c r="AP508" s="1511"/>
      <c r="AQ508" s="1512"/>
      <c r="AR508" s="1513"/>
      <c r="AS508" s="623">
        <v>75</v>
      </c>
      <c r="AT508" s="4">
        <v>0</v>
      </c>
      <c r="AU508" s="160">
        <v>10</v>
      </c>
      <c r="AV508" s="160">
        <v>25</v>
      </c>
      <c r="AW508" s="160">
        <v>37.5</v>
      </c>
      <c r="AX508" s="160">
        <v>35</v>
      </c>
      <c r="AY508" s="160">
        <v>37.5</v>
      </c>
      <c r="AZ508" s="160">
        <v>50</v>
      </c>
      <c r="BA508" s="160">
        <v>50</v>
      </c>
      <c r="BB508" s="21"/>
      <c r="BC508" s="21"/>
      <c r="BE508" s="1511"/>
      <c r="BF508" s="1512"/>
      <c r="BG508" s="1513"/>
      <c r="BH508" s="623">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8"/>
      <c r="AO509" s="38"/>
      <c r="AP509" s="1511"/>
      <c r="AQ509" s="1512"/>
      <c r="AR509" s="1513"/>
      <c r="AS509" s="623">
        <v>70</v>
      </c>
      <c r="AT509" s="4">
        <v>0</v>
      </c>
      <c r="AU509" s="160">
        <v>10</v>
      </c>
      <c r="AV509" s="160">
        <v>25</v>
      </c>
      <c r="AW509" s="160">
        <v>37.5</v>
      </c>
      <c r="AX509" s="160">
        <v>35</v>
      </c>
      <c r="AY509" s="160">
        <v>37.5</v>
      </c>
      <c r="AZ509" s="160">
        <v>50</v>
      </c>
      <c r="BA509" s="160">
        <v>50</v>
      </c>
      <c r="BB509" s="21"/>
      <c r="BC509" s="21"/>
      <c r="BE509" s="1511"/>
      <c r="BF509" s="1512"/>
      <c r="BG509" s="1513"/>
      <c r="BH509" s="623">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123</v>
      </c>
      <c r="D510" s="1683"/>
      <c r="E510" s="741" t="s">
        <v>301</v>
      </c>
      <c r="F510" s="1869" t="s">
        <v>1156</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6"/>
      <c r="AG510" s="733"/>
      <c r="AH510" s="733"/>
      <c r="AI510" s="733"/>
      <c r="AJ510" s="733"/>
      <c r="AK510" s="720"/>
      <c r="AL510" s="4"/>
      <c r="AM510" s="4"/>
      <c r="AN510" s="668"/>
      <c r="AO510" s="38"/>
      <c r="AP510" s="1511"/>
      <c r="AQ510" s="1512"/>
      <c r="AR510" s="1513"/>
      <c r="AS510" s="623">
        <v>65</v>
      </c>
      <c r="AT510" s="4">
        <v>0</v>
      </c>
      <c r="AU510" s="160">
        <v>10</v>
      </c>
      <c r="AV510" s="160">
        <v>25</v>
      </c>
      <c r="AW510" s="160">
        <v>37.5</v>
      </c>
      <c r="AX510" s="160">
        <v>35</v>
      </c>
      <c r="AY510" s="160">
        <v>37.5</v>
      </c>
      <c r="AZ510" s="160">
        <v>50</v>
      </c>
      <c r="BA510" s="160">
        <v>50</v>
      </c>
      <c r="BB510" s="21"/>
      <c r="BC510" s="21"/>
      <c r="BE510" s="1511"/>
      <c r="BF510" s="1512"/>
      <c r="BG510" s="1513"/>
      <c r="BH510" s="623">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5"/>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4"/>
      <c r="AL511" s="4"/>
      <c r="AM511" s="4"/>
      <c r="AN511" s="668"/>
      <c r="AO511" s="38"/>
      <c r="AP511" s="1511"/>
      <c r="AQ511" s="1512"/>
      <c r="AR511" s="1513"/>
      <c r="AS511" s="623">
        <v>60</v>
      </c>
      <c r="AT511" s="4">
        <v>0</v>
      </c>
      <c r="AU511" s="160">
        <v>10</v>
      </c>
      <c r="AV511" s="160">
        <v>25</v>
      </c>
      <c r="AW511" s="160">
        <v>37.5</v>
      </c>
      <c r="AX511" s="160">
        <v>35</v>
      </c>
      <c r="AY511" s="160">
        <v>37.5</v>
      </c>
      <c r="AZ511" s="160">
        <v>50</v>
      </c>
      <c r="BA511" s="160">
        <v>50</v>
      </c>
      <c r="BB511" s="21"/>
      <c r="BC511" s="21"/>
      <c r="BE511" s="1511"/>
      <c r="BF511" s="1512"/>
      <c r="BG511" s="1513"/>
      <c r="BH511" s="623">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6"/>
      <c r="D512" s="4"/>
      <c r="E512" s="4"/>
      <c r="F512" s="562"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4"/>
      <c r="AL512" s="4"/>
      <c r="AM512" s="4"/>
      <c r="AN512" s="668"/>
      <c r="AP512" s="1511"/>
      <c r="AQ512" s="1512"/>
      <c r="AR512" s="1513"/>
      <c r="AS512" s="623">
        <v>55</v>
      </c>
      <c r="AT512" s="4">
        <v>0</v>
      </c>
      <c r="AU512" s="160">
        <v>10</v>
      </c>
      <c r="AV512" s="160">
        <v>25</v>
      </c>
      <c r="AW512" s="160">
        <v>37.5</v>
      </c>
      <c r="AX512" s="160">
        <v>35</v>
      </c>
      <c r="AY512" s="160">
        <v>37.5</v>
      </c>
      <c r="AZ512" s="160">
        <v>50</v>
      </c>
      <c r="BA512" s="160">
        <v>50</v>
      </c>
      <c r="BE512" s="1511"/>
      <c r="BF512" s="1512"/>
      <c r="BG512" s="1513"/>
      <c r="BH512" s="623">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6"/>
      <c r="D513" s="713"/>
      <c r="E513" s="727"/>
      <c r="F513" s="1880" t="s">
        <v>123</v>
      </c>
      <c r="G513" s="1880"/>
      <c r="H513" s="1880"/>
      <c r="I513" s="729"/>
      <c r="J513" s="729"/>
      <c r="K513" s="729"/>
      <c r="L513" s="729"/>
      <c r="M513" s="729"/>
      <c r="N513" s="729"/>
      <c r="O513" s="729"/>
      <c r="P513" s="729"/>
      <c r="Q513" s="729"/>
      <c r="R513" s="729"/>
      <c r="S513" s="729"/>
      <c r="T513" s="729"/>
      <c r="U513" s="729"/>
      <c r="V513" s="729"/>
      <c r="W513" s="729"/>
      <c r="X513" s="729"/>
      <c r="Y513" s="729"/>
      <c r="Z513" s="729"/>
      <c r="AA513" s="729"/>
      <c r="AB513" s="729"/>
      <c r="AC513" s="729"/>
      <c r="AD513" s="713"/>
      <c r="AE513" s="713"/>
      <c r="AF513" s="713"/>
      <c r="AG513" s="730">
        <f>IF($C$510="Yes",(VLOOKUP($F$513,$AO$486:$AP$488,2,FALSE)),0)</f>
        <v>0</v>
      </c>
      <c r="AH513" s="731" t="s">
        <v>972</v>
      </c>
      <c r="AI513" s="729"/>
      <c r="AJ513" s="729"/>
      <c r="AK513" s="714"/>
      <c r="AL513" s="4"/>
      <c r="AM513" s="4"/>
      <c r="AN513" s="668"/>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8"/>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123</v>
      </c>
      <c r="D515" s="1683"/>
      <c r="E515" s="741" t="s">
        <v>1258</v>
      </c>
      <c r="F515" s="740" t="s">
        <v>977</v>
      </c>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43"/>
      <c r="AD515" s="696"/>
      <c r="AE515" s="696"/>
      <c r="AF515" s="696"/>
      <c r="AG515" s="744"/>
      <c r="AH515" s="744"/>
      <c r="AI515" s="744"/>
      <c r="AJ515" s="744"/>
      <c r="AK515" s="720"/>
      <c r="AL515" s="4"/>
      <c r="AM515" s="4"/>
      <c r="AN515" s="668"/>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5"/>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4"/>
      <c r="AL516" s="4"/>
      <c r="AM516" s="4"/>
      <c r="AN516" s="668"/>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4"/>
      <c r="E517" s="189"/>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972</v>
      </c>
      <c r="AI517" s="19"/>
      <c r="AJ517" s="104"/>
      <c r="AK517" s="704"/>
      <c r="AL517" s="4"/>
      <c r="AM517" s="4"/>
      <c r="AN517" s="668"/>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5"/>
      <c r="D518" s="4"/>
      <c r="E518" s="143"/>
      <c r="F518" s="19"/>
      <c r="G518" s="1686" t="s">
        <v>123</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4"/>
      <c r="AL518" s="4"/>
      <c r="AM518" s="4"/>
      <c r="AN518" s="668"/>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4"/>
      <c r="AL519" s="4"/>
      <c r="AM519" s="4"/>
      <c r="AN519" s="668"/>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123</v>
      </c>
      <c r="D520" s="1688"/>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972</v>
      </c>
      <c r="AI520" s="19"/>
      <c r="AJ520" s="108"/>
      <c r="AK520" s="704"/>
      <c r="AL520" s="4"/>
      <c r="AM520" s="4"/>
      <c r="AN520" s="668"/>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7"/>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4"/>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7"/>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4"/>
      <c r="AN522" s="669"/>
      <c r="AP522" s="5"/>
      <c r="AQ522" s="5"/>
      <c r="AR522" s="5"/>
    </row>
    <row r="523" spans="1:122" s="4" customFormat="1" ht="12.75" hidden="1" customHeight="1">
      <c r="A523" s="35"/>
      <c r="B523" s="21"/>
      <c r="C523" s="745"/>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7"/>
      <c r="AL523" s="21"/>
      <c r="AM523" s="21"/>
      <c r="AN523" s="669"/>
      <c r="AO523" s="5"/>
      <c r="AP523" s="5"/>
      <c r="AQ523" s="5"/>
      <c r="AR523" s="5"/>
    </row>
    <row r="524" spans="1:122" s="4" customFormat="1" ht="12.75" hidden="1" customHeight="1">
      <c r="A524" s="35"/>
      <c r="C524" s="1687" t="s">
        <v>123</v>
      </c>
      <c r="D524" s="1688"/>
      <c r="F524" s="495" t="s">
        <v>872</v>
      </c>
      <c r="G524" s="1672" t="s">
        <v>981</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972</v>
      </c>
      <c r="AI524" s="19"/>
      <c r="AJ524" s="108"/>
      <c r="AK524" s="704"/>
      <c r="AN524" s="669"/>
      <c r="AP524" s="92"/>
      <c r="AQ524" s="93"/>
      <c r="AR524" s="93"/>
      <c r="AS524" s="93"/>
      <c r="AT524" s="93"/>
      <c r="AU524" s="93"/>
      <c r="AV524" s="93"/>
      <c r="AW524" s="93"/>
      <c r="AX524" s="93"/>
      <c r="AY524" s="93"/>
      <c r="AZ524" s="168"/>
      <c r="BA524" s="93"/>
      <c r="BB524" s="93"/>
      <c r="BC524" s="59" t="s">
        <v>337</v>
      </c>
      <c r="BD524" s="1700">
        <f>BJ528</f>
        <v>71</v>
      </c>
      <c r="BE524" s="1700"/>
      <c r="BF524" s="168" t="s">
        <v>338</v>
      </c>
      <c r="BG524" s="93"/>
      <c r="BH524" s="93"/>
      <c r="BI524" s="93"/>
      <c r="BJ524" s="93"/>
      <c r="BK524" s="169"/>
      <c r="BM524"/>
      <c r="BN524" s="158" t="s">
        <v>718</v>
      </c>
      <c r="BO524"/>
      <c r="BP524" s="158"/>
      <c r="BQ524" s="158"/>
      <c r="BR524" s="158"/>
      <c r="BS524" s="158"/>
      <c r="BT524" s="158"/>
      <c r="BU524" s="158"/>
      <c r="BV524"/>
      <c r="BW524"/>
      <c r="BX524"/>
      <c r="BY524"/>
      <c r="BZ524"/>
      <c r="CA524"/>
      <c r="CB524"/>
      <c r="CC524"/>
      <c r="CD524"/>
      <c r="CE524"/>
      <c r="CF524" s="62" t="s">
        <v>1127</v>
      </c>
      <c r="CG524"/>
      <c r="CH524"/>
      <c r="CI524"/>
      <c r="CJ524"/>
    </row>
    <row r="525" spans="1:122" s="4" customFormat="1" ht="12.75" hidden="1" customHeight="1">
      <c r="C525" s="746"/>
      <c r="D525" s="713"/>
      <c r="E525" s="727"/>
      <c r="F525" s="702"/>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29"/>
      <c r="AH525" s="729"/>
      <c r="AI525" s="729"/>
      <c r="AJ525" s="729"/>
      <c r="AK525" s="714"/>
      <c r="AN525" s="669"/>
      <c r="AP525" s="92"/>
      <c r="AQ525" s="93"/>
      <c r="AR525" s="93"/>
      <c r="AS525" s="93"/>
      <c r="AT525" s="93"/>
      <c r="AU525" s="93"/>
      <c r="AV525" s="93"/>
      <c r="AW525" s="93"/>
      <c r="AX525" s="93"/>
      <c r="AY525" s="93"/>
      <c r="AZ525" s="168"/>
      <c r="BA525" s="93"/>
      <c r="BB525" s="93"/>
      <c r="BC525" s="59" t="s">
        <v>339</v>
      </c>
      <c r="BD525" s="1700">
        <f>SUM(E581:J589)</f>
        <v>71</v>
      </c>
      <c r="BE525" s="1700"/>
      <c r="BF525" s="168" t="s">
        <v>338</v>
      </c>
      <c r="BG525" s="93"/>
      <c r="BH525" s="93"/>
      <c r="BI525" s="93"/>
      <c r="BJ525" s="93"/>
      <c r="BK525" s="169"/>
      <c r="BM525" s="421">
        <v>4</v>
      </c>
      <c r="BN525" s="420"/>
      <c r="BO525" s="421">
        <v>4</v>
      </c>
      <c r="BP525" s="420"/>
      <c r="BQ525" s="422">
        <v>3</v>
      </c>
      <c r="BR525" s="424"/>
      <c r="BS525" s="422">
        <v>3</v>
      </c>
      <c r="BT525" s="424"/>
      <c r="BU525" s="421">
        <v>2</v>
      </c>
      <c r="BV525" s="420"/>
      <c r="BW525" s="421">
        <v>2</v>
      </c>
      <c r="BX525" s="420"/>
      <c r="BY525" s="422">
        <v>1</v>
      </c>
      <c r="BZ525" s="424"/>
      <c r="CA525" s="422">
        <v>1</v>
      </c>
      <c r="CB525" s="424"/>
      <c r="CC525" s="421" t="s">
        <v>613</v>
      </c>
      <c r="CD525" s="420"/>
      <c r="CE525" s="421" t="s">
        <v>613</v>
      </c>
      <c r="CF525" s="420"/>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9"/>
      <c r="AP526" s="429"/>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698">
        <v>0</v>
      </c>
      <c r="BK526" s="1699"/>
      <c r="BM526" s="421">
        <f>IF(T609&gt;0,1,0)</f>
        <v>0</v>
      </c>
      <c r="BN526" s="420"/>
      <c r="BO526" s="421">
        <f>IF(Y609&gt;=0.1,1,0)</f>
        <v>0</v>
      </c>
      <c r="BP526" s="420"/>
      <c r="BQ526" s="422"/>
      <c r="BR526" s="424"/>
      <c r="BS526" s="422"/>
      <c r="BT526" s="424"/>
      <c r="BU526" s="421"/>
      <c r="BV526" s="420"/>
      <c r="BW526" s="421"/>
      <c r="BX526" s="420"/>
      <c r="BY526" s="422"/>
      <c r="BZ526" s="424"/>
      <c r="CA526" s="422"/>
      <c r="CB526" s="424"/>
      <c r="CC526" s="421"/>
      <c r="CD526" s="420"/>
      <c r="CE526" s="421"/>
      <c r="CF526" s="420"/>
      <c r="CG526"/>
      <c r="CH526"/>
      <c r="CI526"/>
      <c r="CJ526"/>
    </row>
    <row r="527" spans="1:122" s="4" customFormat="1" ht="12.75" hidden="1" customHeight="1">
      <c r="C527" s="749" t="s">
        <v>1831</v>
      </c>
      <c r="D527" s="696"/>
      <c r="E527" s="750"/>
      <c r="F527" s="751"/>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33"/>
      <c r="AH527" s="733"/>
      <c r="AI527" s="733"/>
      <c r="AJ527" s="733"/>
      <c r="AK527" s="720"/>
      <c r="AN527" s="281"/>
      <c r="AP527" s="429"/>
      <c r="AQ527" s="168"/>
      <c r="AR527" s="168"/>
      <c r="AS527" s="168"/>
      <c r="AT527" s="168"/>
      <c r="AU527" s="168"/>
      <c r="AV527" s="168"/>
      <c r="AW527" s="168"/>
      <c r="AX527" s="168"/>
      <c r="AY527" s="168"/>
      <c r="AZ527" s="168"/>
      <c r="BA527" s="168"/>
      <c r="BB527" s="168"/>
      <c r="BC527" s="168"/>
      <c r="BD527" s="168"/>
      <c r="BE527" s="168"/>
      <c r="BF527" s="168"/>
      <c r="BG527" s="168"/>
      <c r="BH527" s="168"/>
      <c r="BI527" s="430" t="s">
        <v>11</v>
      </c>
      <c r="BJ527" s="1698">
        <f>Application!AG431</f>
        <v>0</v>
      </c>
      <c r="BK527" s="1699"/>
      <c r="BM527" s="421"/>
      <c r="BN527" s="420"/>
      <c r="BO527" s="421"/>
      <c r="BP527" s="420"/>
      <c r="BQ527" s="422">
        <f>IF(T610&gt;0,1,0)</f>
        <v>1</v>
      </c>
      <c r="BR527" s="424"/>
      <c r="BS527" s="422">
        <f>IF(Y610&gt;=0.1,1,0)</f>
        <v>1</v>
      </c>
      <c r="BT527" s="424"/>
      <c r="BU527" s="421"/>
      <c r="BV527" s="420"/>
      <c r="BW527" s="421"/>
      <c r="BX527" s="420"/>
      <c r="BY527" s="422"/>
      <c r="BZ527" s="424"/>
      <c r="CA527" s="422"/>
      <c r="CB527" s="424"/>
      <c r="CC527" s="421"/>
      <c r="CD527" s="420"/>
      <c r="CE527" s="421"/>
      <c r="CF527" s="420"/>
      <c r="CG527"/>
      <c r="CH527"/>
      <c r="CI527"/>
      <c r="CJ527"/>
    </row>
    <row r="528" spans="1:122" s="4" customFormat="1" ht="12.75" hidden="1" customHeight="1">
      <c r="C528" s="1684" t="s">
        <v>123</v>
      </c>
      <c r="D528" s="1098"/>
      <c r="E528" s="494" t="s">
        <v>1259</v>
      </c>
      <c r="F528" s="252" t="s">
        <v>1347</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972</v>
      </c>
      <c r="AI528" s="19"/>
      <c r="AJ528" s="19"/>
      <c r="AK528" s="704"/>
      <c r="AN528" s="281"/>
      <c r="AP528" s="69"/>
      <c r="AQ528" s="431"/>
      <c r="AR528" s="431"/>
      <c r="AS528" s="431"/>
      <c r="AT528" s="431"/>
      <c r="AU528" s="431"/>
      <c r="AV528" s="431"/>
      <c r="AW528" s="431"/>
      <c r="AX528" s="431"/>
      <c r="AY528" s="431"/>
      <c r="AZ528" s="431"/>
      <c r="BA528" s="431"/>
      <c r="BB528" s="431"/>
      <c r="BC528" s="431"/>
      <c r="BD528" s="431"/>
      <c r="BE528" s="431"/>
      <c r="BF528" s="431"/>
      <c r="BG528" s="431"/>
      <c r="BH528" s="431"/>
      <c r="BI528" s="279" t="s">
        <v>336</v>
      </c>
      <c r="BJ528" s="1698">
        <f>Application!AG433</f>
        <v>71</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8"/>
      <c r="E529" s="143"/>
      <c r="F529" s="1099" t="s">
        <v>123</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4"/>
      <c r="AN529" s="281"/>
      <c r="BM529" s="1695"/>
      <c r="BN529" s="1697"/>
      <c r="BO529" s="1695"/>
      <c r="BP529" s="1697"/>
      <c r="BQ529" s="1705"/>
      <c r="BR529" s="1707"/>
      <c r="BS529" s="1705"/>
      <c r="BT529" s="1707"/>
      <c r="BU529" s="1695"/>
      <c r="BV529" s="1697"/>
      <c r="BW529" s="1695"/>
      <c r="BX529" s="1697"/>
      <c r="BY529" s="1705">
        <f>IF(T612&gt;0,1,0)</f>
        <v>1</v>
      </c>
      <c r="BZ529" s="1707"/>
      <c r="CA529" s="1705">
        <f>IF(Y612&gt;=0.1,1,0)</f>
        <v>1</v>
      </c>
      <c r="CB529" s="1707"/>
      <c r="CC529" s="1695"/>
      <c r="CD529" s="1697"/>
      <c r="CE529" s="1695"/>
      <c r="CF529" s="1697"/>
      <c r="CG529"/>
      <c r="CH529"/>
      <c r="CI529"/>
      <c r="CJ529"/>
      <c r="CW529"/>
    </row>
    <row r="530" spans="1:101" s="4" customFormat="1" ht="12.75" hidden="1" customHeight="1">
      <c r="C530" s="746"/>
      <c r="D530" s="713"/>
      <c r="E530" s="727"/>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29"/>
      <c r="AH530" s="729"/>
      <c r="AI530" s="729"/>
      <c r="AJ530" s="729"/>
      <c r="AK530" s="714"/>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1</v>
      </c>
      <c r="BR531" s="1697"/>
      <c r="BS531" s="1695">
        <f>SUM(BS526:BT530)</f>
        <v>1</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454</v>
      </c>
      <c r="AQ532" s="1713"/>
      <c r="AR532" s="1713"/>
      <c r="AS532" s="1713"/>
      <c r="AT532" s="1714"/>
      <c r="AU532" s="1712" t="s">
        <v>455</v>
      </c>
      <c r="AV532" s="1713"/>
      <c r="AW532" s="1713"/>
      <c r="AX532" s="1713"/>
      <c r="AY532" s="1714"/>
      <c r="BM532" s="1705">
        <f>SUM(BM531:BP531)</f>
        <v>0</v>
      </c>
      <c r="BN532" s="1706"/>
      <c r="BO532" s="1706"/>
      <c r="BP532" s="1707"/>
      <c r="BQ532" s="1705">
        <f>SUM(BQ531:BT531)</f>
        <v>2</v>
      </c>
      <c r="BR532" s="1706"/>
      <c r="BS532" s="1706"/>
      <c r="BT532" s="1707"/>
      <c r="BU532" s="1705">
        <f>SUM(BU531:BX531)</f>
        <v>2</v>
      </c>
      <c r="BV532" s="1706"/>
      <c r="BW532" s="1706"/>
      <c r="BX532" s="1707"/>
      <c r="BY532" s="1705">
        <f>SUM(BY531:CB531)</f>
        <v>2</v>
      </c>
      <c r="BZ532" s="1706"/>
      <c r="CA532" s="1706"/>
      <c r="CB532" s="1707"/>
      <c r="CC532" s="1705">
        <f>SUM(CC531:CF531)</f>
        <v>0</v>
      </c>
      <c r="CD532" s="1706"/>
      <c r="CE532" s="1706"/>
      <c r="CF532" s="1707"/>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3</v>
      </c>
      <c r="AQ534" s="1691"/>
      <c r="AR534" s="1691"/>
      <c r="AS534" s="1691"/>
      <c r="AT534" s="1692"/>
      <c r="AU534" s="1690">
        <f>RANK(Y610,$Y$609:$AC$613,0)+COUNTIF($Y$609:$AC$613,Y610)-1</f>
        <v>3</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2</v>
      </c>
      <c r="AQ535" s="1691"/>
      <c r="AR535" s="1691"/>
      <c r="AS535" s="1691"/>
      <c r="AT535" s="1692"/>
      <c r="AU535" s="1690">
        <f>RANK(Y611,$Y$609:$AC$613,0)+COUNTIF($Y$609:$AC$613,Y611)-1</f>
        <v>1</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2115</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1</v>
      </c>
      <c r="AQ536" s="1691"/>
      <c r="AR536" s="1691"/>
      <c r="AS536" s="1691"/>
      <c r="AT536" s="1692"/>
      <c r="AU536" s="1690">
        <f>RANK(Y612,$Y$609:$AC$613,0)+COUNTIF($Y$609:$AC$613,Y612)-1</f>
        <v>2</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5">
        <f>SUM(AG484:AG529)</f>
        <v>0</v>
      </c>
      <c r="AL540" s="1266"/>
      <c r="AM540" s="1267"/>
      <c r="AN540" s="281"/>
      <c r="AP540" s="145" t="s">
        <v>612</v>
      </c>
      <c r="AQ540" s="146"/>
      <c r="AR540" s="146"/>
      <c r="AS540" s="146"/>
      <c r="AT540" s="146"/>
      <c r="AU540" s="146"/>
      <c r="AV540" s="146"/>
      <c r="AW540" s="146"/>
      <c r="AX540" s="146"/>
      <c r="AY540" s="146"/>
      <c r="AZ540" s="147"/>
      <c r="CH540" s="63" t="s">
        <v>1127</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610</v>
      </c>
      <c r="AQ541" s="149"/>
      <c r="AR541" s="149"/>
      <c r="AS541" s="149"/>
      <c r="AT541" s="149"/>
      <c r="AU541" s="149"/>
      <c r="AV541" s="149"/>
      <c r="AW541" s="149"/>
      <c r="AX541" s="149"/>
      <c r="AY541" s="1695">
        <f>SUM(O609:S613)</f>
        <v>71</v>
      </c>
      <c r="AZ541" s="1697"/>
      <c r="CG541"/>
      <c r="CH541" s="1827" t="s">
        <v>773</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604</v>
      </c>
      <c r="AQ542" s="151"/>
      <c r="AR542" s="151"/>
      <c r="AS542" s="1695" t="str">
        <f>IF(AY541=BK568,"passed","failed")</f>
        <v>passed</v>
      </c>
      <c r="AT542" s="1696"/>
      <c r="AU542" s="1697"/>
      <c r="AV542" s="151"/>
      <c r="AW542" s="151"/>
      <c r="AX542" s="151"/>
      <c r="AY542" s="151"/>
      <c r="AZ542" s="152"/>
      <c r="CG542"/>
      <c r="CH542" s="1233"/>
      <c r="CI542" s="1234"/>
      <c r="CJ542" s="1234"/>
      <c r="CK542" s="1235"/>
    </row>
    <row r="543" spans="1:101" s="4" customFormat="1" ht="12.75" customHeight="1">
      <c r="A543" s="3" t="s">
        <v>1941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364</v>
      </c>
      <c r="AF543" s="1720"/>
      <c r="AG543" s="1720"/>
      <c r="AH543" s="1720"/>
      <c r="AI543" s="1720"/>
      <c r="AJ543" s="1720"/>
      <c r="AK543" s="1720"/>
      <c r="AL543" s="18"/>
      <c r="AM543" s="21"/>
      <c r="AN543" s="281"/>
      <c r="BE543"/>
      <c r="BF543"/>
      <c r="BG543"/>
      <c r="BH543"/>
      <c r="BI543"/>
      <c r="BJ543"/>
      <c r="BK543"/>
      <c r="BL543"/>
      <c r="BM543"/>
      <c r="BN543"/>
      <c r="BO543"/>
      <c r="BP543"/>
      <c r="BQ543"/>
      <c r="BR543" s="62" t="s">
        <v>1127</v>
      </c>
      <c r="BS543"/>
      <c r="BT543"/>
      <c r="BU543"/>
      <c r="BV543"/>
      <c r="BW543"/>
      <c r="BX543"/>
      <c r="BY543"/>
      <c r="BZ543"/>
      <c r="CA543"/>
      <c r="CB543"/>
      <c r="CC543"/>
      <c r="CG543"/>
      <c r="CH543" s="1233"/>
      <c r="CI543" s="1234"/>
      <c r="CJ543" s="1234"/>
      <c r="CK543" s="1235"/>
    </row>
    <row r="544" spans="1:101" s="4" customFormat="1" ht="12.75" customHeight="1">
      <c r="B544" s="128" t="s">
        <v>1942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181</v>
      </c>
      <c r="AH544" s="1708"/>
      <c r="AI544" s="1708"/>
      <c r="AJ544" s="1708"/>
      <c r="AK544" s="18"/>
      <c r="AL544" s="18"/>
      <c r="AM544" s="21"/>
      <c r="AN544" s="281"/>
      <c r="BE544" s="1705" t="s">
        <v>222</v>
      </c>
      <c r="BF544" s="1706"/>
      <c r="BG544" s="1706"/>
      <c r="BH544" s="1707"/>
      <c r="BI544" s="1705" t="s">
        <v>714</v>
      </c>
      <c r="BJ544" s="1706"/>
      <c r="BK544" s="1706"/>
      <c r="BL544" s="1707"/>
      <c r="BM544" s="1705" t="s">
        <v>715</v>
      </c>
      <c r="BN544" s="1706"/>
      <c r="BO544" s="1706"/>
      <c r="BP544" s="1707"/>
      <c r="BQ544" s="1705" t="s">
        <v>716</v>
      </c>
      <c r="BR544" s="1706"/>
      <c r="BS544" s="1706"/>
      <c r="BT544" s="1707"/>
      <c r="BU544" s="1705" t="s">
        <v>717</v>
      </c>
      <c r="BV544" s="1706"/>
      <c r="BW544" s="1706"/>
      <c r="BX544" s="1707"/>
      <c r="BY544" s="1705" t="s">
        <v>223</v>
      </c>
      <c r="BZ544" s="1706"/>
      <c r="CA544" s="1706"/>
      <c r="CB544" s="1707"/>
      <c r="CC544"/>
      <c r="CG544"/>
      <c r="CH544" s="1233"/>
      <c r="CI544" s="1234"/>
      <c r="CJ544" s="1234"/>
      <c r="CK544" s="1235"/>
    </row>
    <row r="545" spans="1:89" s="4" customFormat="1" ht="12.75" customHeight="1">
      <c r="A545" s="3"/>
      <c r="B545" s="1670" t="s">
        <v>1717</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3" t="s">
        <v>611</v>
      </c>
      <c r="AQ545" s="434"/>
      <c r="AR545" s="434"/>
      <c r="AS545" s="434"/>
      <c r="AT545" s="434"/>
      <c r="AU545" s="434"/>
      <c r="AV545" s="435"/>
      <c r="AW545" s="434"/>
      <c r="AX545" s="434"/>
      <c r="AY545" s="435"/>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6"/>
      <c r="CI545" s="1237"/>
      <c r="CJ545" s="1237"/>
      <c r="CK545" s="1238"/>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6" t="s">
        <v>609</v>
      </c>
      <c r="AQ546" s="437"/>
      <c r="AR546" s="437"/>
      <c r="AS546" s="437"/>
      <c r="AT546" s="437"/>
      <c r="AU546" s="1693">
        <f>ROUNDUP(BK568*0.1,0)</f>
        <v>8</v>
      </c>
      <c r="AV546" s="1694"/>
      <c r="AW546" s="437"/>
      <c r="AX546" s="437">
        <f>AU546-AP548</f>
        <v>-3</v>
      </c>
      <c r="AY546" s="438"/>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6"/>
      <c r="AQ547" s="437"/>
      <c r="AR547" s="437"/>
      <c r="AS547" s="437"/>
      <c r="AT547" s="437"/>
      <c r="AU547" s="437"/>
      <c r="AV547" s="438"/>
      <c r="AW547" s="437"/>
      <c r="AX547" s="437"/>
      <c r="AY547" s="438"/>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11</v>
      </c>
      <c r="AQ548" s="1736"/>
      <c r="AR548" s="1736"/>
      <c r="AS548" s="1736"/>
      <c r="AT548" s="1737"/>
      <c r="AU548" s="437"/>
      <c r="AV548" s="438"/>
      <c r="AW548" s="437"/>
      <c r="AX548" s="437"/>
      <c r="AY548" s="438"/>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39"/>
      <c r="AQ549" s="440"/>
      <c r="AR549" s="440"/>
      <c r="AS549" s="440"/>
      <c r="AT549" s="441" t="s">
        <v>604</v>
      </c>
      <c r="AU549" s="1693" t="str">
        <f>IF(AP548&gt;=AU546,"passed","failed")</f>
        <v>passed</v>
      </c>
      <c r="AV549" s="1838"/>
      <c r="AW549" s="1694"/>
      <c r="AX549" s="442"/>
      <c r="AY549" s="443"/>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95"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45" customHeight="1">
      <c r="B551" s="1842" t="s">
        <v>1497</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606</v>
      </c>
      <c r="AQ552" s="146"/>
      <c r="AR552" s="146"/>
      <c r="AS552" s="146"/>
      <c r="AT552" s="146"/>
      <c r="AU552" s="146"/>
      <c r="AV552" s="146"/>
      <c r="AW552" s="146"/>
      <c r="AX552" s="146"/>
      <c r="AY552" s="147"/>
    </row>
    <row r="553" spans="1:89" s="4" customFormat="1" ht="12.75" customHeight="1">
      <c r="B553" s="1842" t="s">
        <v>1759</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79"/>
      <c r="AH553" s="162"/>
      <c r="AI553" s="162"/>
      <c r="AJ553" s="162"/>
      <c r="AK553" s="163"/>
      <c r="AL553" s="163"/>
      <c r="AM553" s="163"/>
      <c r="AN553" s="281"/>
      <c r="AP553" s="148" t="s">
        <v>713</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604</v>
      </c>
      <c r="AU554" s="151"/>
      <c r="AV554" s="1695" t="str">
        <f>IF(BJ590&gt;0,"failed","passed")</f>
        <v>failed</v>
      </c>
      <c r="AW554" s="1696"/>
      <c r="AX554" s="1696"/>
      <c r="AY554" s="1697"/>
    </row>
    <row r="555" spans="1:89" s="4" customFormat="1" ht="12.45" customHeight="1">
      <c r="B555" s="680" t="s">
        <v>1501</v>
      </c>
      <c r="C555" s="681"/>
      <c r="D555" s="681"/>
      <c r="E555" s="681"/>
      <c r="F555" s="681"/>
      <c r="G555" s="681"/>
      <c r="H555" s="681"/>
      <c r="I555" s="681"/>
      <c r="J555" s="681"/>
      <c r="K555" s="681"/>
      <c r="L555" s="681"/>
      <c r="M555" s="681"/>
      <c r="N555" s="681"/>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1757</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1498</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710</v>
      </c>
      <c r="AQ558" s="54"/>
      <c r="AR558" s="54"/>
      <c r="AS558" s="54"/>
      <c r="AT558" s="54"/>
      <c r="AU558" s="54"/>
      <c r="AV558" s="54"/>
      <c r="AW558" s="54"/>
      <c r="AX558" s="54"/>
      <c r="AY558" s="54"/>
      <c r="AZ558" s="54"/>
      <c r="BA558" s="54"/>
      <c r="BB558" s="54"/>
      <c r="BC558" s="8"/>
      <c r="BD558" s="422" t="str">
        <f>IF(CN577=0,"passed","failed")</f>
        <v>passed</v>
      </c>
      <c r="BE558" s="423"/>
      <c r="BF558" s="423"/>
      <c r="BG558" s="424"/>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1758</v>
      </c>
      <c r="R559" s="1681"/>
      <c r="S559" s="1753" t="s">
        <v>203</v>
      </c>
      <c r="T559" s="1753"/>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7"/>
      <c r="R560" s="1843"/>
      <c r="S560" s="1851"/>
      <c r="T560" s="1851"/>
      <c r="U560" s="1843"/>
      <c r="V560" s="1843"/>
      <c r="W560" s="1843"/>
      <c r="X560" s="1843"/>
      <c r="Y560" s="1843"/>
      <c r="Z560" s="1843"/>
      <c r="AA560" s="1846"/>
      <c r="AB560" s="1846"/>
      <c r="AC560" s="1843"/>
      <c r="AD560" s="1843"/>
      <c r="AE560" s="1834"/>
      <c r="AF560" s="1835"/>
      <c r="AN560" s="281"/>
      <c r="AP560" s="144" t="s">
        <v>711</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50"/>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1"/>
      <c r="AB562" s="1651"/>
      <c r="AC562" s="1685"/>
      <c r="AD562" s="1685"/>
      <c r="AE562" s="1730"/>
      <c r="AF562" s="1731"/>
      <c r="AN562" s="281"/>
      <c r="AP562" s="153" t="s">
        <v>605</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50"/>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50"/>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1124</v>
      </c>
      <c r="BA565" s="1819" t="s">
        <v>712</v>
      </c>
      <c r="BB565" s="1820"/>
      <c r="BC565" s="1820"/>
      <c r="BD565" s="1820"/>
      <c r="BE565" s="1821"/>
      <c r="BF565" s="1847">
        <f>SUM(O609:S613)</f>
        <v>71</v>
      </c>
      <c r="BG565" s="1848"/>
      <c r="BH565" s="1848"/>
      <c r="BI565" s="1848"/>
      <c r="BJ565" s="1849"/>
      <c r="BK565" s="1655">
        <f>SUM(T609:X613)</f>
        <v>11</v>
      </c>
      <c r="BL565" s="1656"/>
      <c r="BM565" s="1656"/>
      <c r="BN565" s="1656"/>
      <c r="BO565" s="1657"/>
    </row>
    <row r="566" spans="1:96" s="4" customFormat="1" ht="12.75" customHeight="1">
      <c r="B566" s="35"/>
      <c r="I566" s="1511" t="s">
        <v>1496</v>
      </c>
      <c r="J566" s="1512"/>
      <c r="K566" s="1512"/>
      <c r="L566" s="1512"/>
      <c r="M566" s="1512"/>
      <c r="N566" s="1513"/>
      <c r="O566" s="1677">
        <v>0.5</v>
      </c>
      <c r="P566" s="1678"/>
      <c r="Q566" s="1890"/>
      <c r="R566" s="1727"/>
      <c r="S566" s="1685"/>
      <c r="T566" s="1685"/>
      <c r="U566" s="1871" t="s">
        <v>1500</v>
      </c>
      <c r="V566" s="1871"/>
      <c r="W566" s="1864">
        <v>37.5</v>
      </c>
      <c r="X566" s="1864"/>
      <c r="Y566" s="1727"/>
      <c r="Z566" s="1727"/>
      <c r="AA566" s="1864"/>
      <c r="AB566" s="1864"/>
      <c r="AC566" s="1727"/>
      <c r="AD566" s="1727"/>
      <c r="AE566" s="1844"/>
      <c r="AF566" s="1845"/>
      <c r="AN566" s="281"/>
      <c r="CL566"/>
      <c r="CM566"/>
    </row>
    <row r="567" spans="1:96" s="4" customFormat="1" ht="12.75" customHeight="1">
      <c r="B567" s="120"/>
      <c r="C567" s="61"/>
      <c r="I567" s="1511"/>
      <c r="J567" s="1512"/>
      <c r="K567" s="1512"/>
      <c r="L567" s="1512"/>
      <c r="M567" s="1512"/>
      <c r="N567" s="1513"/>
      <c r="O567" s="1677">
        <v>0.45</v>
      </c>
      <c r="P567" s="1678"/>
      <c r="Q567" s="1850"/>
      <c r="R567" s="1685"/>
      <c r="S567" s="1685"/>
      <c r="T567" s="1685"/>
      <c r="U567" s="1650" t="s">
        <v>129</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11"/>
      <c r="J568" s="1512"/>
      <c r="K568" s="1512"/>
      <c r="L568" s="1512"/>
      <c r="M568" s="1512"/>
      <c r="N568" s="1513"/>
      <c r="O568" s="1677">
        <v>0.4</v>
      </c>
      <c r="P568" s="1678"/>
      <c r="Q568" s="1850"/>
      <c r="R568" s="1685"/>
      <c r="S568" s="1650" t="s">
        <v>1499</v>
      </c>
      <c r="T568" s="1650"/>
      <c r="U568" s="1651">
        <v>20</v>
      </c>
      <c r="V568" s="1651"/>
      <c r="W568" s="1651">
        <v>30</v>
      </c>
      <c r="X568" s="1651"/>
      <c r="Y568" s="1651"/>
      <c r="Z568" s="1651"/>
      <c r="AA568" s="1651"/>
      <c r="AB568" s="1651"/>
      <c r="AC568" s="1651"/>
      <c r="AD568" s="1651"/>
      <c r="AE568" s="1728"/>
      <c r="AF568" s="1729"/>
      <c r="AN568" s="281"/>
      <c r="AP568" s="1754" t="s">
        <v>204</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8">
        <f>BF565</f>
        <v>71</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7">
        <v>0.35</v>
      </c>
      <c r="P569" s="1678"/>
      <c r="Q569" s="1850"/>
      <c r="R569" s="1685"/>
      <c r="S569" s="1650" t="s">
        <v>1760</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7">
        <v>0.3</v>
      </c>
      <c r="P570" s="1678"/>
      <c r="Q570" s="1850"/>
      <c r="R570" s="1685"/>
      <c r="S570" s="1650" t="s">
        <v>1761</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1"/>
      <c r="J571" s="1512"/>
      <c r="K571" s="1512"/>
      <c r="L571" s="1512"/>
      <c r="M571" s="1512"/>
      <c r="N571" s="1513"/>
      <c r="O571" s="1677">
        <v>0.25</v>
      </c>
      <c r="P571" s="1678"/>
      <c r="Q571" s="1850"/>
      <c r="R571" s="1685"/>
      <c r="S571" s="1650" t="s">
        <v>1762</v>
      </c>
      <c r="T571" s="1650"/>
      <c r="U571" s="1651">
        <v>12.5</v>
      </c>
      <c r="V571" s="1651"/>
      <c r="W571" s="1651">
        <v>18.8</v>
      </c>
      <c r="X571" s="1651"/>
      <c r="Y571" s="1651">
        <v>25</v>
      </c>
      <c r="Z571" s="1651"/>
      <c r="AA571" s="1651">
        <v>31.3</v>
      </c>
      <c r="AB571" s="1651"/>
      <c r="AC571" s="1651">
        <v>37.5</v>
      </c>
      <c r="AD571" s="1651"/>
      <c r="AE571" s="1728">
        <v>50</v>
      </c>
      <c r="AF571" s="1729"/>
      <c r="AN571" s="281"/>
      <c r="AP571" s="1824" t="str">
        <f t="shared" ref="AP571:AP577" si="0">J608</f>
        <v>5 BR</v>
      </c>
      <c r="AQ571" s="1825"/>
      <c r="AR571" s="1825"/>
      <c r="AS571" s="1825"/>
      <c r="AT571" s="1826"/>
      <c r="AU571" s="1140">
        <f t="shared" ref="AU571:AU576" si="1">O608</f>
        <v>0</v>
      </c>
      <c r="AV571" s="1141"/>
      <c r="AW571" s="1141"/>
      <c r="AX571" s="1141"/>
      <c r="AY571" s="1142"/>
      <c r="AZ571" s="1140">
        <f t="shared" ref="AZ571:AZ576" si="2">T608</f>
        <v>0</v>
      </c>
      <c r="BA571" s="1141"/>
      <c r="BB571" s="1141"/>
      <c r="BC571" s="1141"/>
      <c r="BD571" s="1142"/>
      <c r="BE571" s="1816">
        <f t="shared" ref="BE571:BE576" si="3">Y608</f>
        <v>0</v>
      </c>
      <c r="BF571" s="1817"/>
      <c r="BG571" s="1817"/>
      <c r="BH571" s="1817"/>
      <c r="BI571" s="1818"/>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1"/>
      <c r="J572" s="1512"/>
      <c r="K572" s="1512"/>
      <c r="L572" s="1512"/>
      <c r="M572" s="1512"/>
      <c r="N572" s="1513"/>
      <c r="O572" s="1677">
        <v>0.2</v>
      </c>
      <c r="P572" s="1678"/>
      <c r="Q572" s="1850"/>
      <c r="R572" s="1685"/>
      <c r="S572" s="1876" t="s">
        <v>1765</v>
      </c>
      <c r="T572" s="1876"/>
      <c r="U572" s="1651">
        <v>10</v>
      </c>
      <c r="V572" s="1651"/>
      <c r="W572" s="1651">
        <v>15</v>
      </c>
      <c r="X572" s="1651"/>
      <c r="Y572" s="1651">
        <v>20</v>
      </c>
      <c r="Z572" s="1651"/>
      <c r="AA572" s="1651">
        <v>25</v>
      </c>
      <c r="AB572" s="1651"/>
      <c r="AC572" s="1651">
        <v>30</v>
      </c>
      <c r="AD572" s="1651"/>
      <c r="AE572" s="1728">
        <v>40</v>
      </c>
      <c r="AF572" s="1729"/>
      <c r="AN572" s="281"/>
      <c r="AP572" s="1824" t="str">
        <f t="shared" si="0"/>
        <v>4 BR</v>
      </c>
      <c r="AQ572" s="1825"/>
      <c r="AR572" s="1825"/>
      <c r="AS572" s="1825"/>
      <c r="AT572" s="1826"/>
      <c r="AU572" s="1140">
        <f t="shared" si="1"/>
        <v>0</v>
      </c>
      <c r="AV572" s="1141"/>
      <c r="AW572" s="1141"/>
      <c r="AX572" s="1141"/>
      <c r="AY572" s="1142"/>
      <c r="AZ572" s="1140">
        <f t="shared" si="2"/>
        <v>0</v>
      </c>
      <c r="BA572" s="1141"/>
      <c r="BB572" s="1141"/>
      <c r="BC572" s="1141"/>
      <c r="BD572" s="1142"/>
      <c r="BE572" s="1816">
        <f t="shared" si="3"/>
        <v>0</v>
      </c>
      <c r="BF572" s="1817"/>
      <c r="BG572" s="1817"/>
      <c r="BH572" s="1817"/>
      <c r="BI572" s="1818"/>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1"/>
      <c r="J573" s="1512"/>
      <c r="K573" s="1512"/>
      <c r="L573" s="1512"/>
      <c r="M573" s="1512"/>
      <c r="N573" s="1513"/>
      <c r="O573" s="1677">
        <v>0.15</v>
      </c>
      <c r="P573" s="1678"/>
      <c r="Q573" s="1850"/>
      <c r="R573" s="1685"/>
      <c r="S573" s="1650" t="s">
        <v>1763</v>
      </c>
      <c r="T573" s="1650"/>
      <c r="U573" s="1651">
        <v>7.5</v>
      </c>
      <c r="V573" s="1651"/>
      <c r="W573" s="1651">
        <v>11.3</v>
      </c>
      <c r="X573" s="1651"/>
      <c r="Y573" s="1651">
        <v>15</v>
      </c>
      <c r="Z573" s="1651"/>
      <c r="AA573" s="1651">
        <v>18.8</v>
      </c>
      <c r="AB573" s="1651"/>
      <c r="AC573" s="1651">
        <v>22.5</v>
      </c>
      <c r="AD573" s="1651"/>
      <c r="AE573" s="1728">
        <v>30</v>
      </c>
      <c r="AF573" s="1729"/>
      <c r="AN573" s="281"/>
      <c r="AP573" s="1824" t="str">
        <f t="shared" si="0"/>
        <v>3 BR</v>
      </c>
      <c r="AQ573" s="1825"/>
      <c r="AR573" s="1825"/>
      <c r="AS573" s="1825"/>
      <c r="AT573" s="1826"/>
      <c r="AU573" s="1140">
        <f t="shared" si="1"/>
        <v>18</v>
      </c>
      <c r="AV573" s="1141"/>
      <c r="AW573" s="1141"/>
      <c r="AX573" s="1141"/>
      <c r="AY573" s="1142"/>
      <c r="AZ573" s="1140">
        <f t="shared" si="2"/>
        <v>2</v>
      </c>
      <c r="BA573" s="1141"/>
      <c r="BB573" s="1141"/>
      <c r="BC573" s="1141"/>
      <c r="BD573" s="1142"/>
      <c r="BE573" s="1816">
        <f t="shared" si="3"/>
        <v>0.1111111111111111</v>
      </c>
      <c r="BF573" s="1817"/>
      <c r="BG573" s="1817"/>
      <c r="BH573" s="1817"/>
      <c r="BI573" s="1818"/>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4"/>
      <c r="J574" s="1515"/>
      <c r="K574" s="1515"/>
      <c r="L574" s="1515"/>
      <c r="M574" s="1515"/>
      <c r="N574" s="1516"/>
      <c r="O574" s="1677">
        <v>0.1</v>
      </c>
      <c r="P574" s="1678"/>
      <c r="Q574" s="1874"/>
      <c r="R574" s="1875"/>
      <c r="S574" s="1650" t="s">
        <v>1764</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4" t="str">
        <f t="shared" si="0"/>
        <v>2 BR</v>
      </c>
      <c r="AQ574" s="1825"/>
      <c r="AR574" s="1825"/>
      <c r="AS574" s="1825"/>
      <c r="AT574" s="1826"/>
      <c r="AU574" s="1140">
        <f t="shared" si="1"/>
        <v>21</v>
      </c>
      <c r="AV574" s="1141"/>
      <c r="AW574" s="1141"/>
      <c r="AX574" s="1141"/>
      <c r="AY574" s="1142"/>
      <c r="AZ574" s="1140">
        <f t="shared" si="2"/>
        <v>4</v>
      </c>
      <c r="BA574" s="1141"/>
      <c r="BB574" s="1141"/>
      <c r="BC574" s="1141"/>
      <c r="BD574" s="1142"/>
      <c r="BE574" s="1816">
        <f t="shared" si="3"/>
        <v>0.19047619047619047</v>
      </c>
      <c r="BF574" s="1817"/>
      <c r="BG574" s="1817"/>
      <c r="BH574" s="1817"/>
      <c r="BI574" s="1818"/>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1" t="s">
        <v>937</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4" t="str">
        <f t="shared" si="0"/>
        <v>1 BR</v>
      </c>
      <c r="AQ575" s="1825"/>
      <c r="AR575" s="1825"/>
      <c r="AS575" s="1825"/>
      <c r="AT575" s="1826"/>
      <c r="AU575" s="1140">
        <f t="shared" si="1"/>
        <v>32</v>
      </c>
      <c r="AV575" s="1141"/>
      <c r="AW575" s="1141"/>
      <c r="AX575" s="1141"/>
      <c r="AY575" s="1142"/>
      <c r="AZ575" s="1140">
        <f t="shared" si="2"/>
        <v>5</v>
      </c>
      <c r="BA575" s="1141"/>
      <c r="BB575" s="1141"/>
      <c r="BC575" s="1141"/>
      <c r="BD575" s="1142"/>
      <c r="BE575" s="1816">
        <f t="shared" si="3"/>
        <v>0.15625</v>
      </c>
      <c r="BF575" s="1817"/>
      <c r="BG575" s="1817"/>
      <c r="BH575" s="1817"/>
      <c r="BI575" s="1818"/>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2"/>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3"/>
      <c r="AN576" s="281"/>
      <c r="AP576" s="1824" t="str">
        <f t="shared" si="0"/>
        <v>SRO</v>
      </c>
      <c r="AQ576" s="1825"/>
      <c r="AR576" s="1825"/>
      <c r="AS576" s="1825"/>
      <c r="AT576" s="1826"/>
      <c r="AU576" s="1140">
        <f t="shared" si="1"/>
        <v>0</v>
      </c>
      <c r="AV576" s="1141"/>
      <c r="AW576" s="1141"/>
      <c r="AX576" s="1141"/>
      <c r="AY576" s="1142"/>
      <c r="AZ576" s="1140">
        <f t="shared" si="2"/>
        <v>0</v>
      </c>
      <c r="BA576" s="1141"/>
      <c r="BB576" s="1141"/>
      <c r="BC576" s="1141"/>
      <c r="BD576" s="1142"/>
      <c r="BE576" s="1816">
        <f t="shared" si="3"/>
        <v>0</v>
      </c>
      <c r="BF576" s="1817"/>
      <c r="BG576" s="1817"/>
      <c r="BH576" s="1817"/>
      <c r="BI576" s="1818"/>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8" t="s">
        <v>1506</v>
      </c>
      <c r="F577" s="1659"/>
      <c r="G577" s="1659"/>
      <c r="H577" s="1659"/>
      <c r="I577" s="1659"/>
      <c r="J577" s="1660"/>
      <c r="K577" s="1658" t="s">
        <v>1756</v>
      </c>
      <c r="L577" s="1659"/>
      <c r="M577" s="1659"/>
      <c r="N577" s="1659"/>
      <c r="O577" s="1659"/>
      <c r="P577" s="1660"/>
      <c r="Q577" s="1508" t="s">
        <v>1502</v>
      </c>
      <c r="R577" s="1509"/>
      <c r="S577" s="1509"/>
      <c r="T577" s="1509"/>
      <c r="U577" s="1509"/>
      <c r="V577" s="1510"/>
      <c r="W577" s="1508" t="str">
        <f>I566</f>
        <v>Percent of Low-Income Units (exclusive of manager’s units)</v>
      </c>
      <c r="X577" s="1509"/>
      <c r="Y577" s="1509"/>
      <c r="Z577" s="1509"/>
      <c r="AA577" s="1509"/>
      <c r="AB577" s="1510"/>
      <c r="AC577" s="1508" t="s">
        <v>1505</v>
      </c>
      <c r="AD577" s="1509"/>
      <c r="AE577" s="1509"/>
      <c r="AF577" s="1509"/>
      <c r="AG577" s="1509"/>
      <c r="AH577" s="1510"/>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1"/>
      <c r="F578" s="1662"/>
      <c r="G578" s="1662"/>
      <c r="H578" s="1662"/>
      <c r="I578" s="1662"/>
      <c r="J578" s="1663"/>
      <c r="K578" s="1661"/>
      <c r="L578" s="1662"/>
      <c r="M578" s="1662"/>
      <c r="N578" s="1662"/>
      <c r="O578" s="1662"/>
      <c r="P578" s="1663"/>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1"/>
      <c r="F579" s="1662"/>
      <c r="G579" s="1662"/>
      <c r="H579" s="1662"/>
      <c r="I579" s="1662"/>
      <c r="J579" s="1663"/>
      <c r="K579" s="1661"/>
      <c r="L579" s="1662"/>
      <c r="M579" s="1662"/>
      <c r="N579" s="1662"/>
      <c r="O579" s="1662"/>
      <c r="P579" s="1663"/>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1"/>
      <c r="F580" s="1662"/>
      <c r="G580" s="1662"/>
      <c r="H580" s="1662"/>
      <c r="I580" s="1662"/>
      <c r="J580" s="1663"/>
      <c r="K580" s="1661"/>
      <c r="L580" s="1662"/>
      <c r="M580" s="1662"/>
      <c r="N580" s="1662"/>
      <c r="O580" s="1662"/>
      <c r="P580" s="1663"/>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1125</v>
      </c>
      <c r="BH580" s="3" t="s">
        <v>1126</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792</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11</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15.492957746478872</v>
      </c>
      <c r="R582" s="1725"/>
      <c r="S582" s="1725"/>
      <c r="T582" s="1725"/>
      <c r="U582" s="1725"/>
      <c r="V582" s="1726"/>
      <c r="W582" s="1664">
        <f>IF(FLOOR(Q582,5)&gt;80,80,FLOOR(Q582,5))</f>
        <v>15</v>
      </c>
      <c r="X582" s="1665"/>
      <c r="Y582" s="1665"/>
      <c r="Z582" s="1665"/>
      <c r="AA582" s="1665"/>
      <c r="AB582" s="1666"/>
      <c r="AC582" s="1664">
        <f t="shared" si="4"/>
        <v>22.5</v>
      </c>
      <c r="AD582" s="1665"/>
      <c r="AE582" s="1665"/>
      <c r="AF582" s="1665"/>
      <c r="AG582" s="1665"/>
      <c r="AH582" s="1666"/>
      <c r="AN582" s="281"/>
      <c r="AO582" s="4">
        <v>4</v>
      </c>
      <c r="AP582" s="1655">
        <f t="shared" si="5"/>
        <v>0</v>
      </c>
      <c r="AQ582" s="1656"/>
      <c r="AR582" s="1656"/>
      <c r="AS582" s="1656"/>
      <c r="AT582" s="1657"/>
      <c r="AX582" s="1776" t="s">
        <v>614</v>
      </c>
      <c r="AY582" s="1777"/>
      <c r="AZ582" s="1271" t="s">
        <v>614</v>
      </c>
      <c r="BA582" s="1273"/>
      <c r="BB582" s="1776" t="s">
        <v>264</v>
      </c>
      <c r="BC582" s="1777"/>
      <c r="BD582" s="1705" t="s">
        <v>264</v>
      </c>
      <c r="BE582" s="1707"/>
      <c r="BF582" s="1776" t="s">
        <v>263</v>
      </c>
      <c r="BG582" s="1777"/>
      <c r="BH582" s="1705" t="s">
        <v>263</v>
      </c>
      <c r="BI582" s="1707"/>
      <c r="BJ582" s="1776" t="s">
        <v>262</v>
      </c>
      <c r="BK582" s="1777"/>
      <c r="BL582" s="1705" t="s">
        <v>262</v>
      </c>
      <c r="BM582" s="1707"/>
      <c r="BN582" s="1776" t="s">
        <v>613</v>
      </c>
      <c r="BO582" s="1777"/>
      <c r="BP582" s="1705" t="s">
        <v>613</v>
      </c>
      <c r="BQ582" s="1707"/>
    </row>
    <row r="583" spans="5:96" s="4" customFormat="1" ht="12.75" customHeight="1">
      <c r="E583" s="1652"/>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0</v>
      </c>
      <c r="R583" s="1725"/>
      <c r="S583" s="1725"/>
      <c r="T583" s="1725"/>
      <c r="U583" s="1725"/>
      <c r="V583" s="1726"/>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2"/>
      <c r="BC583" s="1823"/>
      <c r="BD583" s="1705">
        <f>IF(AND(T609&gt;0,AP533&gt;0),1,0)</f>
        <v>0</v>
      </c>
      <c r="BE583" s="1707"/>
      <c r="BF583" s="1822"/>
      <c r="BG583" s="1823"/>
      <c r="BH583" s="1705">
        <f>IF(AND(T609&gt;0,AP533&gt;0),1,0)</f>
        <v>0</v>
      </c>
      <c r="BI583" s="1707"/>
      <c r="BJ583" s="1822"/>
      <c r="BK583" s="1823"/>
      <c r="BL583" s="1705">
        <f>IF(AND(T609&gt;0,AP533&gt;0),1,0)</f>
        <v>0</v>
      </c>
      <c r="BM583" s="1707"/>
      <c r="BN583" s="1822"/>
      <c r="BO583" s="1823"/>
      <c r="BP583" s="1705">
        <f>IF(AND(T609&gt;0,AP533&gt;0),1,0)</f>
        <v>0</v>
      </c>
      <c r="BQ583" s="1707"/>
    </row>
    <row r="584" spans="5:96" s="4" customFormat="1" ht="12.75" customHeight="1">
      <c r="E584" s="1652">
        <v>11</v>
      </c>
      <c r="F584" s="1653"/>
      <c r="G584" s="1653"/>
      <c r="H584" s="1653"/>
      <c r="I584" s="1653"/>
      <c r="J584" s="1654"/>
      <c r="K584" s="1655">
        <v>40</v>
      </c>
      <c r="L584" s="1656"/>
      <c r="M584" s="1656"/>
      <c r="N584" s="1656"/>
      <c r="O584" s="1656"/>
      <c r="P584" s="1657"/>
      <c r="Q584" s="1724">
        <f t="shared" si="6"/>
        <v>15.492957746478872</v>
      </c>
      <c r="R584" s="1725"/>
      <c r="S584" s="1725"/>
      <c r="T584" s="1725"/>
      <c r="U584" s="1725"/>
      <c r="V584" s="1726"/>
      <c r="W584" s="1664">
        <f t="shared" si="7"/>
        <v>15</v>
      </c>
      <c r="X584" s="1665"/>
      <c r="Y584" s="1665"/>
      <c r="Z584" s="1665"/>
      <c r="AA584" s="1665"/>
      <c r="AB584" s="1666"/>
      <c r="AC584" s="1664">
        <f t="shared" si="4"/>
        <v>15</v>
      </c>
      <c r="AD584" s="1665"/>
      <c r="AE584" s="1665"/>
      <c r="AF584" s="1665"/>
      <c r="AG584" s="1665"/>
      <c r="AH584" s="1666"/>
      <c r="AN584" s="281"/>
      <c r="AO584" s="4">
        <v>2</v>
      </c>
      <c r="AP584" s="1655">
        <f t="shared" si="5"/>
        <v>0</v>
      </c>
      <c r="AQ584" s="1656"/>
      <c r="AR584" s="1656"/>
      <c r="AS584" s="1656"/>
      <c r="AT584" s="1657"/>
      <c r="AX584" s="1822"/>
      <c r="AY584" s="1823"/>
      <c r="AZ584" s="1695"/>
      <c r="BA584" s="1697"/>
      <c r="BB584" s="1776">
        <f>IF(AP534=1,1,0)</f>
        <v>0</v>
      </c>
      <c r="BC584" s="1777"/>
      <c r="BD584" s="1695"/>
      <c r="BE584" s="1697"/>
      <c r="BF584" s="1822"/>
      <c r="BG584" s="1823"/>
      <c r="BH584" s="1705">
        <f>IF(AND(T610&gt;0,AP534&gt;0),1,0)</f>
        <v>1</v>
      </c>
      <c r="BI584" s="1707"/>
      <c r="BJ584" s="1822"/>
      <c r="BK584" s="1823"/>
      <c r="BL584" s="1705">
        <f>IF(AND(T610&gt;0,AP534&gt;0),1,0)</f>
        <v>1</v>
      </c>
      <c r="BM584" s="1707"/>
      <c r="BN584" s="1822"/>
      <c r="BO584" s="1823"/>
      <c r="BP584" s="1705">
        <f>IF(AND(T610&gt;0,AP534&gt;0),1,0)</f>
        <v>1</v>
      </c>
      <c r="BQ584" s="1707"/>
    </row>
    <row r="585" spans="5:96" s="4" customFormat="1" ht="12.75" customHeight="1">
      <c r="E585" s="1652"/>
      <c r="F585" s="1653"/>
      <c r="G585" s="1653"/>
      <c r="H585" s="1653"/>
      <c r="I585" s="1653"/>
      <c r="J585" s="1654"/>
      <c r="K585" s="1655">
        <v>45</v>
      </c>
      <c r="L585" s="1656"/>
      <c r="M585" s="1656"/>
      <c r="N585" s="1656"/>
      <c r="O585" s="1656"/>
      <c r="P585" s="1657"/>
      <c r="Q585" s="1724">
        <f t="shared" si="6"/>
        <v>0</v>
      </c>
      <c r="R585" s="1725"/>
      <c r="S585" s="1725"/>
      <c r="T585" s="1725"/>
      <c r="U585" s="1725"/>
      <c r="V585" s="1726"/>
      <c r="W585" s="1664">
        <f>IF(FLOOR(Q585,5)&gt;65,65,FLOOR(Q585,5))</f>
        <v>0</v>
      </c>
      <c r="X585" s="1665"/>
      <c r="Y585" s="1665"/>
      <c r="Z585" s="1665"/>
      <c r="AA585" s="1665"/>
      <c r="AB585" s="1666"/>
      <c r="AC585" s="1664">
        <f t="shared" si="4"/>
        <v>0</v>
      </c>
      <c r="AD585" s="1665"/>
      <c r="AE585" s="1665"/>
      <c r="AF585" s="1665"/>
      <c r="AG585" s="1665"/>
      <c r="AH585" s="1666"/>
      <c r="AN585" s="281"/>
      <c r="AO585" s="4">
        <v>1</v>
      </c>
      <c r="AP585" s="1655">
        <f t="shared" si="5"/>
        <v>0</v>
      </c>
      <c r="AQ585" s="1656"/>
      <c r="AR585" s="1656"/>
      <c r="AS585" s="1656"/>
      <c r="AT585" s="1657"/>
      <c r="AX585" s="1822"/>
      <c r="AY585" s="1823"/>
      <c r="AZ585" s="1695"/>
      <c r="BA585" s="1697"/>
      <c r="BB585" s="1822"/>
      <c r="BC585" s="1823"/>
      <c r="BD585" s="1695"/>
      <c r="BE585" s="1697"/>
      <c r="BF585" s="1776">
        <f>IF(AP535=1,1,0)</f>
        <v>0</v>
      </c>
      <c r="BG585" s="1777"/>
      <c r="BH585" s="1695"/>
      <c r="BI585" s="1697"/>
      <c r="BJ585" s="1822"/>
      <c r="BK585" s="1823"/>
      <c r="BL585" s="1705">
        <f>IF(AND(T611&gt;0,AP535&gt;0),1,0)</f>
        <v>1</v>
      </c>
      <c r="BM585" s="1707"/>
      <c r="BN585" s="1822"/>
      <c r="BO585" s="1823"/>
      <c r="BP585" s="1705">
        <f>IF(AND(T611&gt;0,AP535&gt;0),1,0)</f>
        <v>1</v>
      </c>
      <c r="BQ585" s="1707"/>
    </row>
    <row r="586" spans="5:96" s="4" customFormat="1" ht="12.75" customHeight="1">
      <c r="E586" s="1652"/>
      <c r="F586" s="1653"/>
      <c r="G586" s="1653"/>
      <c r="H586" s="1653"/>
      <c r="I586" s="1653"/>
      <c r="J586" s="1654"/>
      <c r="K586" s="1655" t="str">
        <f>IF(OR(Application!D211="Rural",Application!D211="Rural apportionment (Section 514)",Application!D211="Rural apportionment (Section 515)",Application!D211="Rural apportionment (CDBG-DR)",Application!D211="Rural apportionment (HOME)",Application!D211="Rural (Native American apportionment)"),"",50)</f>
        <v/>
      </c>
      <c r="L586" s="1656"/>
      <c r="M586" s="1656"/>
      <c r="N586" s="1656"/>
      <c r="O586" s="1656"/>
      <c r="P586" s="1657"/>
      <c r="Q586" s="1724">
        <f t="shared" si="6"/>
        <v>0</v>
      </c>
      <c r="R586" s="1725"/>
      <c r="S586" s="1725"/>
      <c r="T586" s="1725"/>
      <c r="U586" s="1725"/>
      <c r="V586" s="1726"/>
      <c r="W586" s="1664">
        <f>IF(FLOOR(Q586,5)&gt;40,40,FLOOR(Q586,5))</f>
        <v>0</v>
      </c>
      <c r="X586" s="1665"/>
      <c r="Y586" s="1665"/>
      <c r="Z586" s="1665"/>
      <c r="AA586" s="1665"/>
      <c r="AB586" s="1666"/>
      <c r="AC586" s="1664">
        <f t="shared" si="4"/>
        <v>0</v>
      </c>
      <c r="AD586" s="1665"/>
      <c r="AE586" s="1665"/>
      <c r="AF586" s="1665"/>
      <c r="AG586" s="1665"/>
      <c r="AH586" s="1666"/>
      <c r="AN586" s="281"/>
      <c r="AO586" s="4">
        <v>0</v>
      </c>
      <c r="AP586" s="1655">
        <f t="shared" si="5"/>
        <v>0</v>
      </c>
      <c r="AQ586" s="1656"/>
      <c r="AR586" s="1656"/>
      <c r="AS586" s="1656"/>
      <c r="AT586" s="1657"/>
      <c r="AX586" s="1822"/>
      <c r="AY586" s="1823"/>
      <c r="AZ586" s="1695"/>
      <c r="BA586" s="1697"/>
      <c r="BB586" s="1822"/>
      <c r="BC586" s="1823"/>
      <c r="BD586" s="1695"/>
      <c r="BE586" s="1697"/>
      <c r="BF586" s="1822"/>
      <c r="BG586" s="1823"/>
      <c r="BH586" s="1695"/>
      <c r="BI586" s="1697"/>
      <c r="BJ586" s="1776">
        <f>IF(AP536=1,1,0)</f>
        <v>1</v>
      </c>
      <c r="BK586" s="1777"/>
      <c r="BL586" s="1822"/>
      <c r="BM586" s="1823"/>
      <c r="BN586" s="1822"/>
      <c r="BO586" s="1823"/>
      <c r="BP586" s="1705">
        <f>IF(AND(T612&gt;0,AP536&gt;0),1,0)</f>
        <v>1</v>
      </c>
      <c r="BQ586" s="1707"/>
    </row>
    <row r="587" spans="5:96" s="4" customFormat="1" ht="12.75" customHeight="1">
      <c r="E587" s="1750">
        <v>35</v>
      </c>
      <c r="F587" s="1751"/>
      <c r="G587" s="1751"/>
      <c r="H587" s="1751"/>
      <c r="I587" s="1751"/>
      <c r="J587" s="1752"/>
      <c r="K587" s="1858">
        <f>IF(OR(Application!D211="Rural",Application!D211="Rural apportionment (Section 514)",Application!D211="Rural apportionment (Section 515)",Application!D211="Rural apportionment (HOME)",Application!D211="Rural apportionment (CDBG-DR)",Application!D211="Rural (Native American apportionment)"),50,"")</f>
        <v>50</v>
      </c>
      <c r="L587" s="1859"/>
      <c r="M587" s="1860" t="s">
        <v>2310</v>
      </c>
      <c r="N587" s="1860"/>
      <c r="O587" s="1860"/>
      <c r="P587" s="1861"/>
      <c r="Q587" s="1724">
        <f t="shared" si="6"/>
        <v>49.295774647887328</v>
      </c>
      <c r="R587" s="1725"/>
      <c r="S587" s="1725"/>
      <c r="T587" s="1725"/>
      <c r="U587" s="1725"/>
      <c r="V587" s="1726"/>
      <c r="W587" s="1664">
        <f>IF(FLOOR(Q587,5)&gt;50,50,FLOOR(Q587,5))</f>
        <v>45</v>
      </c>
      <c r="X587" s="1665"/>
      <c r="Y587" s="1665"/>
      <c r="Z587" s="1665"/>
      <c r="AA587" s="1665"/>
      <c r="AB587" s="1666"/>
      <c r="AC587" s="1664">
        <f>IFERROR(IF(W587&gt;0,INDEX($AT$507:$BA$521,MATCH(W587,$AS$507:$AS$521,0),MATCH(K587,$AT$506:$BA$506,0)),0),0)</f>
        <v>22.5</v>
      </c>
      <c r="AD587" s="1665"/>
      <c r="AE587" s="1665"/>
      <c r="AF587" s="1665"/>
      <c r="AG587" s="1665"/>
      <c r="AH587" s="1666"/>
      <c r="AN587" s="281"/>
      <c r="AP587" s="1655"/>
      <c r="AQ587" s="1656"/>
      <c r="AR587" s="1656"/>
      <c r="AS587" s="1656"/>
      <c r="AT587" s="1657"/>
      <c r="AX587" s="1822"/>
      <c r="AY587" s="1823"/>
      <c r="AZ587" s="1695"/>
      <c r="BA587" s="1697"/>
      <c r="BB587" s="1822"/>
      <c r="BC587" s="1823"/>
      <c r="BD587" s="1695"/>
      <c r="BE587" s="1697"/>
      <c r="BF587" s="1822"/>
      <c r="BG587" s="1823"/>
      <c r="BH587" s="1695"/>
      <c r="BI587" s="1697"/>
      <c r="BJ587" s="1822"/>
      <c r="BK587" s="1823"/>
      <c r="BL587" s="1822"/>
      <c r="BM587" s="1823"/>
      <c r="BN587" s="1776">
        <f>IF(AP537=1,1,0)</f>
        <v>0</v>
      </c>
      <c r="BO587" s="1777"/>
      <c r="BP587" s="1695"/>
      <c r="BQ587" s="1697"/>
    </row>
    <row r="588" spans="5:96" s="4" customFormat="1" ht="12.75" customHeight="1">
      <c r="E588" s="1750"/>
      <c r="F588" s="1751"/>
      <c r="G588" s="1751"/>
      <c r="H588" s="1751"/>
      <c r="I588" s="1751"/>
      <c r="J588" s="1752"/>
      <c r="K588" s="1858">
        <f>IF(OR(Application!D211="Rural",Application!D211="Rural apportionment (Section 514)",Application!D211="Rural apportionment (Section 515)",Application!D211="Rural apportionment (HOME)",Application!D211="Rural apportionment (CDBG-DR)",Application!D211="Rural (Native American apportionment)"),55,"")</f>
        <v>55</v>
      </c>
      <c r="L588" s="1859"/>
      <c r="M588" s="1860" t="s">
        <v>2310</v>
      </c>
      <c r="N588" s="1860"/>
      <c r="O588" s="1860"/>
      <c r="P588" s="1861"/>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0</v>
      </c>
      <c r="BC588" s="1777"/>
      <c r="BD588" s="1705">
        <f>SUM(BD583:BE587)</f>
        <v>0</v>
      </c>
      <c r="BE588" s="1707"/>
      <c r="BF588" s="1776">
        <f>SUM(BF585:BG587)</f>
        <v>0</v>
      </c>
      <c r="BG588" s="1777"/>
      <c r="BH588" s="1705">
        <f>SUM(BH583:BI587)</f>
        <v>1</v>
      </c>
      <c r="BI588" s="1707"/>
      <c r="BJ588" s="1776">
        <f>SUM(BJ583:BK587)</f>
        <v>1</v>
      </c>
      <c r="BK588" s="1777"/>
      <c r="BL588" s="1705">
        <f>SUM(BL583:BM587)</f>
        <v>2</v>
      </c>
      <c r="BM588" s="1707"/>
      <c r="BN588" s="1776">
        <f>SUM(BN583:BO587)</f>
        <v>0</v>
      </c>
      <c r="BO588" s="1777"/>
      <c r="BP588" s="1705">
        <f>SUM(BP583:BQ587)</f>
        <v>3</v>
      </c>
      <c r="BQ588" s="1707"/>
    </row>
    <row r="589" spans="5:96" s="4" customFormat="1" ht="12.75" customHeight="1">
      <c r="E589" s="1652">
        <v>14</v>
      </c>
      <c r="F589" s="1653"/>
      <c r="G589" s="1653"/>
      <c r="H589" s="1653"/>
      <c r="I589" s="1653"/>
      <c r="J589" s="1654"/>
      <c r="K589" s="1655" t="s">
        <v>2126</v>
      </c>
      <c r="L589" s="1656"/>
      <c r="M589" s="1656"/>
      <c r="N589" s="1656"/>
      <c r="O589" s="1656"/>
      <c r="P589" s="1657"/>
      <c r="Q589" s="1724">
        <f t="shared" si="6"/>
        <v>19.718309859154928</v>
      </c>
      <c r="R589" s="1725"/>
      <c r="S589" s="1725"/>
      <c r="T589" s="1725"/>
      <c r="U589" s="1725"/>
      <c r="V589" s="1726"/>
      <c r="W589" s="1664">
        <f t="shared" si="7"/>
        <v>15</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1</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2127</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608</v>
      </c>
      <c r="BJ590" s="1790">
        <f>AX589+BB589+BF589+BJ589+BN589</f>
        <v>1</v>
      </c>
      <c r="BK590" s="1791"/>
      <c r="BL590" s="1791"/>
      <c r="BM590" s="1792"/>
      <c r="BN590"/>
      <c r="BO590"/>
      <c r="BP590"/>
      <c r="BQ590"/>
    </row>
    <row r="591" spans="5:96" s="4" customFormat="1" ht="12.75" customHeight="1">
      <c r="E591" s="1652"/>
      <c r="F591" s="1653"/>
      <c r="G591" s="1653"/>
      <c r="H591" s="1653"/>
      <c r="I591" s="1653"/>
      <c r="J591" s="1654"/>
      <c r="K591" s="1655" t="s">
        <v>2128</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607</v>
      </c>
      <c r="BK591"/>
      <c r="BL591"/>
      <c r="BM591"/>
      <c r="BN591"/>
      <c r="BO591"/>
      <c r="BP591"/>
      <c r="BQ591"/>
    </row>
    <row r="592" spans="5:96" s="4" customFormat="1" ht="12.75" customHeight="1">
      <c r="E592" s="1747">
        <f>SUM(E581:J591)</f>
        <v>71</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603</v>
      </c>
      <c r="AC592" s="1744">
        <f>IF(SUM(AC581:AH591)&gt;0,SUM(AC581:AH591),0)</f>
        <v>60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2229</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1943</v>
      </c>
      <c r="AG596" s="1708" t="s">
        <v>102</v>
      </c>
      <c r="AH596" s="1708"/>
      <c r="AI596" s="1708"/>
      <c r="AJ596" s="1708"/>
      <c r="AK596" s="5"/>
      <c r="AL596" s="5"/>
      <c r="AM596" s="5"/>
      <c r="AN596" s="281"/>
    </row>
    <row r="597" spans="1:64" s="4" customFormat="1" ht="12.75" customHeight="1">
      <c r="B597" s="1670" t="s">
        <v>2116</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8"/>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793</v>
      </c>
      <c r="K604" s="1802"/>
      <c r="L604" s="1802"/>
      <c r="M604" s="1802"/>
      <c r="N604" s="1803"/>
      <c r="O604" s="1508" t="s">
        <v>1503</v>
      </c>
      <c r="P604" s="1509"/>
      <c r="Q604" s="1509"/>
      <c r="R604" s="1509"/>
      <c r="S604" s="1510"/>
      <c r="T604" s="1508" t="s">
        <v>1766</v>
      </c>
      <c r="U604" s="1509"/>
      <c r="V604" s="1509"/>
      <c r="W604" s="1509"/>
      <c r="X604" s="1510"/>
      <c r="Y604" s="1508" t="s">
        <v>1504</v>
      </c>
      <c r="Z604" s="1509"/>
      <c r="AA604" s="1509"/>
      <c r="AB604" s="1509"/>
      <c r="AC604" s="1510"/>
      <c r="AF604"/>
      <c r="AG604"/>
      <c r="AH604"/>
      <c r="AI604"/>
      <c r="AJ604"/>
    </row>
    <row r="605" spans="1:64">
      <c r="D605"/>
      <c r="E605"/>
      <c r="F605"/>
      <c r="G605"/>
      <c r="H605"/>
      <c r="I605"/>
      <c r="J605" s="1701"/>
      <c r="K605" s="1702"/>
      <c r="L605" s="1702"/>
      <c r="M605" s="1702"/>
      <c r="N605" s="1804"/>
      <c r="O605" s="1511"/>
      <c r="P605" s="1512"/>
      <c r="Q605" s="1512"/>
      <c r="R605" s="1512"/>
      <c r="S605" s="1513"/>
      <c r="T605" s="1511"/>
      <c r="U605" s="1512"/>
      <c r="V605" s="1512"/>
      <c r="W605" s="1512"/>
      <c r="X605" s="1513"/>
      <c r="Y605" s="1511"/>
      <c r="Z605" s="1512"/>
      <c r="AA605" s="1512"/>
      <c r="AB605" s="1512"/>
      <c r="AC605" s="1513"/>
      <c r="AF605"/>
      <c r="AG605"/>
      <c r="AH605"/>
      <c r="AI605"/>
      <c r="AJ605"/>
      <c r="AO605" s="38" t="s">
        <v>2225</v>
      </c>
      <c r="AR605" s="21" t="b">
        <f>$Y$614&gt;=10%</f>
        <v>1</v>
      </c>
    </row>
    <row r="606" spans="1:64">
      <c r="I606"/>
      <c r="J606" s="1701"/>
      <c r="K606" s="1702"/>
      <c r="L606" s="1702"/>
      <c r="M606" s="1702"/>
      <c r="N606" s="1804"/>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2226</v>
      </c>
      <c r="AR606" s="954">
        <f>ROUNDUP(($O$614*10%),0)</f>
        <v>8</v>
      </c>
    </row>
    <row r="607" spans="1:64">
      <c r="D607"/>
      <c r="E607"/>
      <c r="F607"/>
      <c r="G607"/>
      <c r="H607"/>
      <c r="I607"/>
      <c r="J607" s="1701"/>
      <c r="K607" s="1702"/>
      <c r="L607" s="1702"/>
      <c r="M607" s="1702"/>
      <c r="N607" s="1804"/>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2227</v>
      </c>
      <c r="AR607" s="21" t="s">
        <v>2228</v>
      </c>
    </row>
    <row r="608" spans="1:64">
      <c r="D608"/>
      <c r="E608"/>
      <c r="F608"/>
      <c r="G608"/>
      <c r="H608"/>
      <c r="I608"/>
      <c r="J608" s="1732" t="s">
        <v>224</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4">
        <f>ROUNDUP((O608*10%),0)</f>
        <v>0</v>
      </c>
      <c r="AP608" s="206"/>
      <c r="AR608" s="955"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4">
        <f t="shared" ref="AO609:AO613" si="9">ROUNDUP((O609*10%),0)</f>
        <v>0</v>
      </c>
      <c r="AP609" s="206"/>
      <c r="AR609" s="955" t="b">
        <f>OR(SUM($T$608:T609)&gt;=$AR$606,T609&gt;=AO609)</f>
        <v>1</v>
      </c>
    </row>
    <row r="610" spans="1:60">
      <c r="D610"/>
      <c r="E610"/>
      <c r="F610"/>
      <c r="G610"/>
      <c r="H610"/>
      <c r="I610"/>
      <c r="J610" s="1732" t="s">
        <v>264</v>
      </c>
      <c r="K610" s="1733"/>
      <c r="L610" s="1733"/>
      <c r="M610" s="1733"/>
      <c r="N610" s="1734"/>
      <c r="O610" s="1655">
        <f>Application!CC626</f>
        <v>18</v>
      </c>
      <c r="P610" s="1656"/>
      <c r="Q610" s="1656"/>
      <c r="R610" s="1656"/>
      <c r="S610" s="1657"/>
      <c r="T610" s="1655">
        <f>Application!DH627</f>
        <v>2</v>
      </c>
      <c r="U610" s="1656"/>
      <c r="V610" s="1656"/>
      <c r="W610" s="1656"/>
      <c r="X610" s="1657"/>
      <c r="Y610" s="1739">
        <f t="shared" si="8"/>
        <v>0.1111111111111111</v>
      </c>
      <c r="Z610" s="1740"/>
      <c r="AA610" s="1740"/>
      <c r="AB610" s="1740"/>
      <c r="AC610" s="1741"/>
      <c r="AD610"/>
      <c r="AF610"/>
      <c r="AG610"/>
      <c r="AH610"/>
      <c r="AI610"/>
      <c r="AJ610"/>
      <c r="AO610" s="954">
        <f t="shared" si="9"/>
        <v>2</v>
      </c>
      <c r="AP610" s="206"/>
      <c r="AR610" s="955" t="b">
        <f>OR(SUM($T$608:T610)&gt;=$AR$606,T610&gt;=AO610)</f>
        <v>1</v>
      </c>
    </row>
    <row r="611" spans="1:60">
      <c r="D611"/>
      <c r="E611"/>
      <c r="F611"/>
      <c r="G611"/>
      <c r="H611"/>
      <c r="I611"/>
      <c r="J611" s="1732" t="s">
        <v>263</v>
      </c>
      <c r="K611" s="1733"/>
      <c r="L611" s="1733"/>
      <c r="M611" s="1733"/>
      <c r="N611" s="1734"/>
      <c r="O611" s="1655">
        <f>Application!BX626</f>
        <v>21</v>
      </c>
      <c r="P611" s="1656"/>
      <c r="Q611" s="1656"/>
      <c r="R611" s="1656"/>
      <c r="S611" s="1657"/>
      <c r="T611" s="1655">
        <f>Application!DC627</f>
        <v>4</v>
      </c>
      <c r="U611" s="1656"/>
      <c r="V611" s="1656"/>
      <c r="W611" s="1656"/>
      <c r="X611" s="1657"/>
      <c r="Y611" s="1739">
        <f t="shared" si="8"/>
        <v>0.19047619047619047</v>
      </c>
      <c r="Z611" s="1740"/>
      <c r="AA611" s="1740"/>
      <c r="AB611" s="1740"/>
      <c r="AC611" s="1741"/>
      <c r="AD611"/>
      <c r="AF611"/>
      <c r="AG611"/>
      <c r="AH611"/>
      <c r="AI611"/>
      <c r="AJ611"/>
      <c r="AO611" s="954">
        <f t="shared" si="9"/>
        <v>3</v>
      </c>
      <c r="AP611" s="206"/>
      <c r="AR611" s="955" t="b">
        <f>OR(SUM($T$608:T611)&gt;=$AR$606,T611&gt;=AO611)</f>
        <v>1</v>
      </c>
    </row>
    <row r="612" spans="1:60">
      <c r="D612"/>
      <c r="E612"/>
      <c r="F612"/>
      <c r="G612"/>
      <c r="H612"/>
      <c r="I612"/>
      <c r="J612" s="1732" t="s">
        <v>262</v>
      </c>
      <c r="K612" s="1733"/>
      <c r="L612" s="1733"/>
      <c r="M612" s="1733"/>
      <c r="N612" s="1734"/>
      <c r="O612" s="1655">
        <f>Application!BS626</f>
        <v>32</v>
      </c>
      <c r="P612" s="1656"/>
      <c r="Q612" s="1656"/>
      <c r="R612" s="1656"/>
      <c r="S612" s="1657"/>
      <c r="T612" s="1655">
        <f>Application!CX627</f>
        <v>5</v>
      </c>
      <c r="U612" s="1656"/>
      <c r="V612" s="1656"/>
      <c r="W612" s="1656"/>
      <c r="X612" s="1657"/>
      <c r="Y612" s="1739">
        <f t="shared" si="8"/>
        <v>0.15625</v>
      </c>
      <c r="Z612" s="1740"/>
      <c r="AA612" s="1740"/>
      <c r="AB612" s="1740"/>
      <c r="AC612" s="1741"/>
      <c r="AD612"/>
      <c r="AF612"/>
      <c r="AG612"/>
      <c r="AH612"/>
      <c r="AI612"/>
      <c r="AJ612"/>
      <c r="AO612" s="954">
        <f t="shared" si="9"/>
        <v>4</v>
      </c>
      <c r="AP612" s="206"/>
      <c r="AR612" s="955" t="b">
        <f>OR(SUM($T$608:T612)&gt;=$AR$606,T612&gt;=AO612)</f>
        <v>1</v>
      </c>
    </row>
    <row r="613" spans="1:60">
      <c r="D613"/>
      <c r="E613"/>
      <c r="F613"/>
      <c r="G613"/>
      <c r="H613"/>
      <c r="I613"/>
      <c r="J613" s="1732" t="s">
        <v>613</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4">
        <f t="shared" si="9"/>
        <v>0</v>
      </c>
      <c r="AP613" s="206"/>
      <c r="AR613" s="955" t="b">
        <f>OR(SUM($T$608:T613)&gt;=$AR$606,T613&gt;=AO613)</f>
        <v>1</v>
      </c>
    </row>
    <row r="614" spans="1:60">
      <c r="D614"/>
      <c r="E614"/>
      <c r="F614"/>
      <c r="G614"/>
      <c r="H614"/>
      <c r="I614"/>
      <c r="J614" s="1153" t="s">
        <v>874</v>
      </c>
      <c r="K614" s="1154"/>
      <c r="L614" s="1154"/>
      <c r="M614" s="1154"/>
      <c r="N614" s="1155"/>
      <c r="O614" s="1721">
        <f>SUM(O608:S613)</f>
        <v>71</v>
      </c>
      <c r="P614" s="1722"/>
      <c r="Q614" s="1722"/>
      <c r="R614" s="1722"/>
      <c r="S614" s="1723"/>
      <c r="T614" s="1721">
        <f>SUM(T608:X613)</f>
        <v>11</v>
      </c>
      <c r="U614" s="1722"/>
      <c r="V614" s="1722"/>
      <c r="W614" s="1722"/>
      <c r="X614" s="1723"/>
      <c r="Y614" s="1798">
        <f>IF(T614&gt;0,T614/O614,0)</f>
        <v>0.15492957746478872</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1507</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179</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5">
        <f>IF($E$592=Application!G730,$AC$592+$AJ$617,0)</f>
        <v>62</v>
      </c>
      <c r="AL619" s="1266"/>
      <c r="AM619" s="1267"/>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63" t="s">
        <v>1944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72" t="s">
        <v>1508</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9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9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107</v>
      </c>
      <c r="D627" s="1098"/>
      <c r="E627" s="185"/>
      <c r="F627" s="1881" t="s">
        <v>2218</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5" t="s">
        <v>936</v>
      </c>
      <c r="AH627" s="1035"/>
      <c r="AI627" s="1035"/>
      <c r="AJ627" s="1035"/>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95"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9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95" customHeight="1">
      <c r="A631" s="4"/>
      <c r="B631" s="1672" t="s">
        <v>2223</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9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9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9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9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9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9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3" customFormat="1" ht="12.45"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7"/>
      <c r="BD642" s="645"/>
      <c r="BE642" s="645"/>
      <c r="BF642" s="645"/>
      <c r="BG642" s="645"/>
      <c r="BH642" s="645"/>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5">
        <f>IF($C$627="yes",10,0)</f>
        <v>10</v>
      </c>
      <c r="AL645" s="1266"/>
      <c r="AM645" s="1267"/>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1"/>
      <c r="AR647"/>
      <c r="AS647"/>
      <c r="AT647"/>
      <c r="AU647"/>
      <c r="AV647" s="40"/>
      <c r="AW647" s="40"/>
    </row>
    <row r="648" spans="1:60">
      <c r="A648" s="128" t="s">
        <v>1945</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1"/>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107</v>
      </c>
      <c r="D650" s="1098"/>
      <c r="E650" s="185" t="s">
        <v>579</v>
      </c>
      <c r="F650" s="19" t="s">
        <v>1770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123</v>
      </c>
      <c r="D655" s="1098"/>
      <c r="E655" s="185"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4"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123</v>
      </c>
      <c r="D659" s="1098"/>
      <c r="E659" s="185" t="s">
        <v>888</v>
      </c>
      <c r="F659" s="501"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123</v>
      </c>
      <c r="D663" s="1098"/>
      <c r="E663" s="185"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123</v>
      </c>
      <c r="D665" s="1098"/>
      <c r="E665" s="185"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2"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2"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123</v>
      </c>
      <c r="D670" s="1098"/>
      <c r="E670" s="185"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123</v>
      </c>
      <c r="D673" s="1098"/>
      <c r="E673" s="185" t="s">
        <v>280</v>
      </c>
      <c r="F673" s="1672" t="s">
        <v>2210</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102</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720</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2">
        <f>SUM(AO694:AO695)</f>
        <v>25</v>
      </c>
      <c r="AQ693" s="206"/>
    </row>
    <row r="694" spans="1:43">
      <c r="A694" s="1169" t="s">
        <v>1939</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1940</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233</v>
      </c>
      <c r="U696" s="1549"/>
      <c r="V696" s="1549"/>
      <c r="W696" s="1549"/>
      <c r="X696" s="1549"/>
      <c r="Y696" s="1550"/>
      <c r="Z696" s="1551" t="s">
        <v>232</v>
      </c>
      <c r="AA696" s="1549"/>
      <c r="AB696" s="1549"/>
      <c r="AC696" s="1549"/>
      <c r="AD696" s="1549"/>
      <c r="AE696" s="1550"/>
      <c r="AF696" s="1551" t="s">
        <v>234</v>
      </c>
      <c r="AG696" s="1549"/>
      <c r="AH696" s="1549"/>
      <c r="AI696" s="1549"/>
      <c r="AJ696" s="1549"/>
      <c r="AK696" s="1550"/>
      <c r="AL696" s="777"/>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7"/>
      <c r="AM697" s="20"/>
    </row>
    <row r="698" spans="1:43">
      <c r="A698" s="593" t="s">
        <v>651</v>
      </c>
      <c r="B698" s="1765" t="s">
        <v>269</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8">
        <v>10</v>
      </c>
      <c r="AA698" s="1498"/>
      <c r="AB698" s="1498"/>
      <c r="AC698" s="1498"/>
      <c r="AD698" s="1498"/>
      <c r="AE698" s="1498"/>
      <c r="AF698" s="1498">
        <f>IF(T698&gt;Z698,Z698,T698)</f>
        <v>10</v>
      </c>
      <c r="AG698" s="1498"/>
      <c r="AH698" s="1498"/>
      <c r="AI698" s="1498"/>
      <c r="AJ698" s="1498"/>
      <c r="AK698" s="1498"/>
      <c r="AL698" s="777"/>
      <c r="AM698" s="20"/>
      <c r="AO698" s="4">
        <f>IF(T707&gt;50,50,T707)</f>
        <v>50</v>
      </c>
    </row>
    <row r="699" spans="1:43">
      <c r="A699" s="613"/>
      <c r="B699" s="614"/>
      <c r="C699" s="619"/>
      <c r="D699" s="306" t="s">
        <v>209</v>
      </c>
      <c r="E699" s="1768" t="s">
        <v>235</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7"/>
      <c r="AM699" s="20"/>
    </row>
    <row r="700" spans="1:43">
      <c r="A700" s="615"/>
      <c r="B700" s="614"/>
      <c r="C700" s="614"/>
      <c r="D700" s="306" t="s">
        <v>427</v>
      </c>
      <c r="E700" s="1768" t="s">
        <v>236</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7"/>
      <c r="AM700" s="20"/>
    </row>
    <row r="701" spans="1:43">
      <c r="A701" s="593" t="s">
        <v>8</v>
      </c>
      <c r="B701" s="1765" t="s">
        <v>270</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8">
        <v>10</v>
      </c>
      <c r="AA701" s="1498"/>
      <c r="AB701" s="1498"/>
      <c r="AC701" s="1498"/>
      <c r="AD701" s="1498"/>
      <c r="AE701" s="1498"/>
      <c r="AF701" s="1498">
        <f>IF(T701&gt;Z701,Z701,T701)</f>
        <v>10</v>
      </c>
      <c r="AG701" s="1498"/>
      <c r="AH701" s="1498"/>
      <c r="AI701" s="1498"/>
      <c r="AJ701" s="1498"/>
      <c r="AK701" s="1498"/>
      <c r="AL701" s="777"/>
      <c r="AM701" s="20"/>
    </row>
    <row r="702" spans="1:43">
      <c r="A702" s="593" t="s">
        <v>118</v>
      </c>
      <c r="B702" s="1765" t="s">
        <v>271</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7"/>
      <c r="AM702" s="20"/>
    </row>
    <row r="703" spans="1:43">
      <c r="A703" s="593"/>
      <c r="B703" s="614"/>
      <c r="C703" s="614"/>
      <c r="D703" s="306" t="s">
        <v>1466</v>
      </c>
      <c r="E703" s="1768" t="s">
        <v>293</v>
      </c>
      <c r="F703" s="1768"/>
      <c r="G703" s="1768"/>
      <c r="H703" s="1768"/>
      <c r="I703" s="1768"/>
      <c r="J703" s="1768"/>
      <c r="K703" s="1768"/>
      <c r="L703" s="1768"/>
      <c r="M703" s="1768"/>
      <c r="N703" s="1768"/>
      <c r="O703" s="1768"/>
      <c r="P703" s="1768"/>
      <c r="Q703" s="1768"/>
      <c r="R703" s="1768"/>
      <c r="S703" s="1769"/>
      <c r="T703" s="1767">
        <f>AK283</f>
        <v>21</v>
      </c>
      <c r="U703" s="1767"/>
      <c r="V703" s="1767"/>
      <c r="W703" s="1767"/>
      <c r="X703" s="1767"/>
      <c r="Y703" s="1767"/>
      <c r="Z703" s="1667">
        <v>15</v>
      </c>
      <c r="AA703" s="1667"/>
      <c r="AB703" s="1667"/>
      <c r="AC703" s="1667"/>
      <c r="AD703" s="1667"/>
      <c r="AE703" s="1667"/>
      <c r="AF703" s="1780"/>
      <c r="AG703" s="1780"/>
      <c r="AH703" s="1780"/>
      <c r="AI703" s="1780"/>
      <c r="AJ703" s="1780"/>
      <c r="AK703" s="1780"/>
      <c r="AL703" s="777"/>
      <c r="AM703" s="20"/>
    </row>
    <row r="704" spans="1:43">
      <c r="A704" s="616"/>
      <c r="B704" s="90"/>
      <c r="C704" s="90"/>
      <c r="D704" s="617" t="s">
        <v>1467</v>
      </c>
      <c r="E704" s="1768" t="s">
        <v>294</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7"/>
      <c r="AM704" s="20"/>
    </row>
    <row r="705" spans="1:39" hidden="1">
      <c r="A705" s="593" t="s">
        <v>121</v>
      </c>
      <c r="B705" s="1765" t="s">
        <v>539</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8"/>
      <c r="AA705" s="1498"/>
      <c r="AB705" s="1498"/>
      <c r="AC705" s="1498"/>
      <c r="AD705" s="1498"/>
      <c r="AE705" s="1498"/>
      <c r="AF705" s="1498"/>
      <c r="AG705" s="1498"/>
      <c r="AH705" s="1498"/>
      <c r="AI705" s="1498"/>
      <c r="AJ705" s="1498"/>
      <c r="AK705" s="1498"/>
      <c r="AL705" s="777"/>
      <c r="AM705" s="20"/>
    </row>
    <row r="706" spans="1:39">
      <c r="A706" s="593" t="s">
        <v>121</v>
      </c>
      <c r="B706" s="1765" t="s">
        <v>540</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7"/>
      <c r="AM706" s="20"/>
    </row>
    <row r="707" spans="1:39">
      <c r="A707" s="618"/>
      <c r="B707" s="620"/>
      <c r="C707" s="620"/>
      <c r="D707" s="621" t="s">
        <v>2215</v>
      </c>
      <c r="E707" s="1768" t="s">
        <v>182</v>
      </c>
      <c r="F707" s="1768"/>
      <c r="G707" s="1768"/>
      <c r="H707" s="1768"/>
      <c r="I707" s="1768"/>
      <c r="J707" s="1768"/>
      <c r="K707" s="1768"/>
      <c r="L707" s="1768"/>
      <c r="M707" s="1768"/>
      <c r="N707" s="1768"/>
      <c r="O707" s="1768"/>
      <c r="P707" s="1768"/>
      <c r="Q707" s="1768"/>
      <c r="R707" s="1768"/>
      <c r="S707" s="1769"/>
      <c r="T707" s="1761">
        <f>AC592</f>
        <v>60</v>
      </c>
      <c r="U707" s="1762"/>
      <c r="V707" s="1762"/>
      <c r="W707" s="1762"/>
      <c r="X707" s="1762"/>
      <c r="Y707" s="1763"/>
      <c r="Z707" s="1761">
        <v>50</v>
      </c>
      <c r="AA707" s="1762"/>
      <c r="AB707" s="1762"/>
      <c r="AC707" s="1762"/>
      <c r="AD707" s="1762"/>
      <c r="AE707" s="1763"/>
      <c r="AF707" s="1793"/>
      <c r="AG707" s="1794"/>
      <c r="AH707" s="1794"/>
      <c r="AI707" s="1794"/>
      <c r="AJ707" s="1794"/>
      <c r="AK707" s="1795"/>
      <c r="AL707" s="777"/>
      <c r="AM707" s="4"/>
    </row>
    <row r="708" spans="1:39">
      <c r="A708" s="622"/>
      <c r="B708" s="614"/>
      <c r="C708" s="614"/>
      <c r="D708" s="306" t="s">
        <v>2216</v>
      </c>
      <c r="E708" s="1768" t="s">
        <v>268</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5">
        <v>2</v>
      </c>
      <c r="AA708" s="1266"/>
      <c r="AB708" s="1266"/>
      <c r="AC708" s="1266"/>
      <c r="AD708" s="1266"/>
      <c r="AE708" s="1267"/>
      <c r="AF708" s="1783"/>
      <c r="AG708" s="1784"/>
      <c r="AH708" s="1784"/>
      <c r="AI708" s="1784"/>
      <c r="AJ708" s="1784"/>
      <c r="AK708" s="1785"/>
      <c r="AL708" s="777"/>
      <c r="AM708" s="4"/>
    </row>
    <row r="709" spans="1:39">
      <c r="A709" s="618" t="s">
        <v>122</v>
      </c>
      <c r="B709" s="1765" t="s">
        <v>541</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8">
        <v>10</v>
      </c>
      <c r="AA709" s="1498"/>
      <c r="AB709" s="1498"/>
      <c r="AC709" s="1498"/>
      <c r="AD709" s="1498"/>
      <c r="AE709" s="1498"/>
      <c r="AF709" s="1347">
        <f>IF(T709&gt;Z709,Z709,T709)</f>
        <v>10</v>
      </c>
      <c r="AG709" s="1348"/>
      <c r="AH709" s="1348"/>
      <c r="AI709" s="1348"/>
      <c r="AJ709" s="1348"/>
      <c r="AK709" s="1367"/>
      <c r="AL709" s="777"/>
      <c r="AM709" s="20"/>
    </row>
    <row r="710" spans="1:39">
      <c r="A710" s="618" t="s">
        <v>124</v>
      </c>
      <c r="B710" s="1765" t="s">
        <v>983</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7">
        <v>2</v>
      </c>
      <c r="AA710" s="1348"/>
      <c r="AB710" s="1348"/>
      <c r="AC710" s="1348"/>
      <c r="AD710" s="1348"/>
      <c r="AE710" s="1367"/>
      <c r="AF710" s="1347">
        <f>IF(T710&gt;Z710,Z710,T710)</f>
        <v>2</v>
      </c>
      <c r="AG710" s="1781"/>
      <c r="AH710" s="1781"/>
      <c r="AI710" s="1781"/>
      <c r="AJ710" s="1781"/>
      <c r="AK710" s="1782"/>
      <c r="AL710" s="3"/>
      <c r="AM710" s="20"/>
    </row>
    <row r="711" spans="1:39">
      <c r="A711" s="1862" t="s">
        <v>296</v>
      </c>
      <c r="B711" s="1765"/>
      <c r="C711" s="1765"/>
      <c r="D711" s="1765"/>
      <c r="E711" s="1765"/>
      <c r="F711" s="1765"/>
      <c r="G711" s="1765"/>
      <c r="H711" s="1765"/>
      <c r="I711" s="1765"/>
      <c r="J711" s="1765"/>
      <c r="K711" s="1765"/>
      <c r="L711" s="1765"/>
      <c r="M711" s="1765"/>
      <c r="N711" s="1765"/>
      <c r="O711" s="1765"/>
      <c r="P711" s="1765"/>
      <c r="Q711" s="1765"/>
      <c r="R711" s="1765"/>
      <c r="S711" s="1766"/>
      <c r="T711" s="1091"/>
      <c r="U711" s="1091"/>
      <c r="V711" s="1091"/>
      <c r="W711" s="1091"/>
      <c r="X711" s="1091"/>
      <c r="Y711" s="1091"/>
      <c r="Z711" s="1667" t="s">
        <v>295</v>
      </c>
      <c r="AA711" s="1667"/>
      <c r="AB711" s="1667"/>
      <c r="AC711" s="1667"/>
      <c r="AD711" s="1667"/>
      <c r="AE711" s="1667"/>
      <c r="AF711" s="1347">
        <f>IF(T711&gt;0,T711,0)</f>
        <v>0</v>
      </c>
      <c r="AG711" s="1348"/>
      <c r="AH711" s="1348"/>
      <c r="AI711" s="1348"/>
      <c r="AJ711" s="1348"/>
      <c r="AK711" s="1367"/>
      <c r="AL711" s="18"/>
      <c r="AM711" s="20"/>
    </row>
    <row r="712" spans="1:39" ht="15.6">
      <c r="A712" s="1852" t="s">
        <v>719</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0">
        <f>SUM(AF698:AK710)-AF711</f>
        <v>109</v>
      </c>
      <c r="AG712" s="1771"/>
      <c r="AH712" s="1771"/>
      <c r="AI712" s="1771"/>
      <c r="AJ712" s="1771"/>
      <c r="AK712" s="1772"/>
      <c r="AL712" s="778"/>
      <c r="AM712" s="4"/>
    </row>
    <row r="713" spans="1:39" ht="12.45"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3"/>
      <c r="AG713" s="1774"/>
      <c r="AH713" s="1774"/>
      <c r="AI713" s="1774"/>
      <c r="AJ713" s="1774"/>
      <c r="AK713" s="1775"/>
      <c r="AL713" s="778"/>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9"/>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9"/>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9"/>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9"/>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9"/>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5" customWidth="1"/>
    <col min="11" max="11" width="2.44140625" style="896" customWidth="1"/>
    <col min="12" max="43" width="2.44140625" style="895" customWidth="1"/>
    <col min="44" max="47" width="2.44140625" style="895" hidden="1" customWidth="1"/>
    <col min="48" max="16384" width="9.21875" style="895" hidden="1"/>
  </cols>
  <sheetData>
    <row r="1" spans="1:57" ht="15" customHeight="1">
      <c r="A1" s="1907" t="s">
        <v>2032</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7"/>
      <c r="B3" s="897"/>
      <c r="I3" s="898"/>
      <c r="K3" s="899"/>
    </row>
    <row r="4" spans="1:57" ht="14.25" customHeight="1">
      <c r="A4" s="1896" t="s">
        <v>2033</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7"/>
      <c r="B5" s="897"/>
      <c r="I5" s="898"/>
      <c r="K5" s="899"/>
    </row>
    <row r="6" spans="1:57">
      <c r="A6" s="897"/>
      <c r="B6" s="897"/>
      <c r="D6" s="895" t="s">
        <v>2036</v>
      </c>
      <c r="I6" s="898"/>
      <c r="K6" s="899"/>
      <c r="U6" s="1906"/>
      <c r="V6" s="1906"/>
      <c r="W6" s="1906"/>
      <c r="BC6" s="895" t="s">
        <v>2034</v>
      </c>
    </row>
    <row r="7" spans="1:57">
      <c r="A7" s="897"/>
      <c r="B7" s="897"/>
      <c r="D7" s="500" t="s">
        <v>2037</v>
      </c>
      <c r="I7" s="898"/>
      <c r="K7" s="899"/>
      <c r="BC7" s="895" t="s">
        <v>2035</v>
      </c>
    </row>
    <row r="8" spans="1:57">
      <c r="A8" s="897"/>
      <c r="B8" s="897"/>
      <c r="D8" s="500"/>
      <c r="E8" s="895" t="s">
        <v>2049</v>
      </c>
      <c r="BC8" s="895" t="s">
        <v>2038</v>
      </c>
    </row>
    <row r="9" spans="1:57">
      <c r="A9" s="897"/>
      <c r="B9" s="897"/>
      <c r="E9" s="895" t="s">
        <v>2048</v>
      </c>
      <c r="I9" s="898"/>
      <c r="K9" s="899"/>
      <c r="P9" s="1897"/>
      <c r="Q9" s="1897"/>
      <c r="R9" s="1897"/>
      <c r="S9" s="1897"/>
      <c r="T9" s="1897"/>
    </row>
    <row r="10" spans="1:57">
      <c r="A10" s="897"/>
      <c r="B10" s="897"/>
      <c r="I10" s="898"/>
      <c r="K10" s="899"/>
    </row>
    <row r="11" spans="1:57">
      <c r="A11" s="1896" t="s">
        <v>2039</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5" t="s">
        <v>107</v>
      </c>
    </row>
    <row r="12" spans="1:57">
      <c r="A12" s="897"/>
      <c r="B12" s="897"/>
      <c r="I12" s="898"/>
      <c r="K12" s="899"/>
      <c r="BC12" s="895" t="s">
        <v>481</v>
      </c>
    </row>
    <row r="13" spans="1:57">
      <c r="A13" s="897"/>
      <c r="B13" s="897"/>
      <c r="D13" s="895" t="s">
        <v>2040</v>
      </c>
      <c r="I13" s="898"/>
      <c r="K13" s="899"/>
      <c r="T13" s="1906"/>
      <c r="U13" s="1906"/>
      <c r="V13" s="1906"/>
    </row>
    <row r="14" spans="1:57">
      <c r="A14" s="897"/>
      <c r="B14" s="897"/>
      <c r="E14" s="895" t="s">
        <v>2047</v>
      </c>
      <c r="I14" s="898"/>
      <c r="K14" s="899"/>
      <c r="N14" s="1894"/>
      <c r="O14" s="1894"/>
      <c r="P14" s="1894"/>
      <c r="Q14" s="1894"/>
      <c r="R14" s="1894"/>
      <c r="S14" s="1894"/>
      <c r="T14" s="1894"/>
      <c r="U14" s="1894"/>
      <c r="V14" s="1894"/>
      <c r="W14" s="1894"/>
      <c r="X14" s="1894"/>
      <c r="Y14" s="1894"/>
      <c r="Z14" s="1894"/>
      <c r="AA14" s="1894"/>
      <c r="AB14" s="1894"/>
      <c r="AC14" s="1894"/>
      <c r="AD14" s="1894"/>
      <c r="AE14" s="1894"/>
    </row>
    <row r="15" spans="1:57">
      <c r="A15" s="897"/>
      <c r="B15" s="897"/>
      <c r="E15" s="895" t="s">
        <v>2041</v>
      </c>
      <c r="I15" s="898"/>
      <c r="K15" s="899"/>
      <c r="N15" s="916"/>
      <c r="O15" s="916"/>
      <c r="P15" s="916"/>
      <c r="Q15" s="916"/>
      <c r="R15" s="916"/>
      <c r="S15" s="916"/>
      <c r="T15" s="916"/>
      <c r="U15" s="916"/>
      <c r="V15" s="916"/>
      <c r="W15" s="916"/>
      <c r="X15" s="916"/>
      <c r="Y15" s="916"/>
      <c r="Z15" s="916"/>
      <c r="AA15" s="916"/>
      <c r="AB15" s="916"/>
      <c r="AC15" s="916"/>
      <c r="AD15" s="916"/>
      <c r="AE15" s="916"/>
      <c r="BC15" s="895" t="s">
        <v>2050</v>
      </c>
      <c r="BE15" s="895">
        <f>'Basis &amp; Credits'!AB55</f>
        <v>2500000</v>
      </c>
    </row>
    <row r="16" spans="1:57">
      <c r="A16" s="897"/>
      <c r="B16" s="897"/>
      <c r="BC16" s="895" t="s">
        <v>2051</v>
      </c>
      <c r="BE16" s="895">
        <f>'Basis &amp; Credits'!T11+'Basis &amp; Credits'!AD11</f>
        <v>50271829</v>
      </c>
    </row>
    <row r="17" spans="1:43">
      <c r="A17" s="897"/>
      <c r="B17" s="897"/>
      <c r="D17" s="895" t="s">
        <v>2042</v>
      </c>
      <c r="I17" s="898"/>
      <c r="K17" s="899"/>
      <c r="U17" s="1895" t="str">
        <f>IF(T13="yes",(BE15/BE16)," ")</f>
        <v xml:space="preserve"> </v>
      </c>
      <c r="V17" s="1895"/>
      <c r="W17" s="1895"/>
      <c r="X17" s="1895"/>
      <c r="Y17" s="1895"/>
    </row>
    <row r="18" spans="1:43">
      <c r="A18" s="897"/>
      <c r="B18" s="897"/>
      <c r="I18" s="898"/>
      <c r="K18" s="899"/>
    </row>
    <row r="19" spans="1:43">
      <c r="A19" s="1896" t="s">
        <v>2044</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7"/>
      <c r="D20" s="897"/>
      <c r="K20" s="898"/>
      <c r="M20" s="899"/>
    </row>
    <row r="21" spans="1:43">
      <c r="C21" s="897"/>
      <c r="D21" s="897"/>
      <c r="K21" s="898"/>
      <c r="M21" s="899"/>
    </row>
    <row r="22" spans="1:43">
      <c r="C22" s="900" t="s">
        <v>726</v>
      </c>
      <c r="D22" s="900"/>
      <c r="E22" s="895" t="s">
        <v>2045</v>
      </c>
      <c r="H22" s="901"/>
      <c r="K22" s="895"/>
      <c r="Q22" s="1898">
        <f>ROUND('Basis &amp; Credits'!AB55,0)</f>
        <v>2500000</v>
      </c>
      <c r="R22" s="1898"/>
      <c r="S22" s="1898"/>
      <c r="T22" s="1898"/>
      <c r="U22" s="1898"/>
      <c r="V22" s="1898"/>
      <c r="W22" s="1898"/>
      <c r="X22" s="1898"/>
      <c r="Y22" s="915"/>
    </row>
    <row r="23" spans="1:43">
      <c r="C23" s="897"/>
      <c r="D23" s="897"/>
      <c r="G23" s="902"/>
      <c r="H23" s="902"/>
      <c r="I23" s="903"/>
      <c r="J23" s="903"/>
      <c r="K23" s="902"/>
      <c r="M23" s="896"/>
    </row>
    <row r="24" spans="1:43">
      <c r="C24" s="904"/>
      <c r="D24" s="904"/>
      <c r="E24" s="905"/>
      <c r="J24" s="903"/>
      <c r="K24" s="895"/>
      <c r="L24" s="1905" t="s">
        <v>2022</v>
      </c>
      <c r="M24" s="1905"/>
      <c r="N24" s="1905"/>
      <c r="P24" s="1901" t="s">
        <v>2023</v>
      </c>
      <c r="Q24" s="1901"/>
      <c r="R24" s="1901"/>
      <c r="S24" s="1901"/>
      <c r="T24" s="1901"/>
      <c r="V24" s="1901" t="s">
        <v>2024</v>
      </c>
      <c r="W24" s="1901"/>
      <c r="X24" s="1901"/>
    </row>
    <row r="25" spans="1:43">
      <c r="C25" s="900" t="s">
        <v>189</v>
      </c>
      <c r="D25" s="900"/>
      <c r="E25" s="895" t="s">
        <v>984</v>
      </c>
      <c r="J25" s="903"/>
      <c r="L25" s="1902" t="s">
        <v>2025</v>
      </c>
      <c r="M25" s="1902"/>
      <c r="N25" s="1902"/>
      <c r="P25" s="1902" t="s">
        <v>2026</v>
      </c>
      <c r="Q25" s="1902"/>
      <c r="R25" s="1902"/>
      <c r="S25" s="1902"/>
      <c r="T25" s="1902"/>
      <c r="V25" s="1902" t="s">
        <v>2025</v>
      </c>
      <c r="W25" s="1902"/>
      <c r="X25" s="1902"/>
    </row>
    <row r="26" spans="1:43">
      <c r="C26" s="897"/>
      <c r="D26" s="897"/>
      <c r="E26" s="906" t="s">
        <v>2027</v>
      </c>
      <c r="F26" s="906"/>
      <c r="J26" s="907"/>
      <c r="L26" s="1899">
        <f>Application!BN626</f>
        <v>0</v>
      </c>
      <c r="M26" s="1899"/>
      <c r="N26" s="1899"/>
      <c r="P26" s="1903">
        <v>0.9</v>
      </c>
      <c r="Q26" s="1903"/>
      <c r="R26" s="1903"/>
      <c r="S26" s="1903"/>
      <c r="T26" s="1903"/>
      <c r="V26" s="1903">
        <f>L26*P26</f>
        <v>0</v>
      </c>
      <c r="W26" s="1903"/>
      <c r="X26" s="1903"/>
    </row>
    <row r="27" spans="1:43">
      <c r="C27" s="897"/>
      <c r="D27" s="897"/>
      <c r="E27" s="895" t="s">
        <v>2028</v>
      </c>
      <c r="J27" s="907"/>
      <c r="L27" s="1908">
        <f>Application!BS626</f>
        <v>32</v>
      </c>
      <c r="M27" s="1908">
        <f>Application!BS634+Application!BS643+Application!CX657</f>
        <v>0</v>
      </c>
      <c r="N27" s="1908"/>
      <c r="P27" s="1904">
        <v>1</v>
      </c>
      <c r="Q27" s="1904"/>
      <c r="R27" s="1904"/>
      <c r="S27" s="1904"/>
      <c r="T27" s="1904"/>
      <c r="V27" s="1904">
        <f>L27*P27</f>
        <v>32</v>
      </c>
      <c r="W27" s="1904"/>
      <c r="X27" s="1904"/>
    </row>
    <row r="28" spans="1:43">
      <c r="C28" s="897"/>
      <c r="D28" s="897"/>
      <c r="E28" s="895" t="s">
        <v>2029</v>
      </c>
      <c r="J28" s="907"/>
      <c r="L28" s="1908">
        <f>Application!BX626</f>
        <v>21</v>
      </c>
      <c r="M28" s="1908">
        <f>Application!BX634+Application!BX643+Application!DC657</f>
        <v>0</v>
      </c>
      <c r="N28" s="1908"/>
      <c r="P28" s="1904">
        <v>1.25</v>
      </c>
      <c r="Q28" s="1904"/>
      <c r="R28" s="1904"/>
      <c r="S28" s="1904"/>
      <c r="T28" s="1904"/>
      <c r="V28" s="1904">
        <f>L28*P28</f>
        <v>26.25</v>
      </c>
      <c r="W28" s="1904"/>
      <c r="X28" s="1904"/>
    </row>
    <row r="29" spans="1:43">
      <c r="C29" s="897"/>
      <c r="D29" s="897"/>
      <c r="E29" s="895" t="s">
        <v>2030</v>
      </c>
      <c r="J29" s="907"/>
      <c r="L29" s="1908">
        <f>Application!CC626</f>
        <v>18</v>
      </c>
      <c r="M29" s="1908">
        <f>Application!CC634+Application!CC643+Application!DH657</f>
        <v>0</v>
      </c>
      <c r="N29" s="1908"/>
      <c r="P29" s="1904">
        <v>1.5</v>
      </c>
      <c r="Q29" s="1904"/>
      <c r="R29" s="1904"/>
      <c r="S29" s="1904"/>
      <c r="T29" s="1904"/>
      <c r="V29" s="1904">
        <f>L29*P29</f>
        <v>27</v>
      </c>
      <c r="W29" s="1904"/>
      <c r="X29" s="1904"/>
    </row>
    <row r="30" spans="1:43">
      <c r="C30" s="897"/>
      <c r="D30" s="897"/>
      <c r="E30" s="895" t="s">
        <v>2031</v>
      </c>
      <c r="J30" s="907"/>
      <c r="L30" s="1909">
        <f>Application!CH626+Application!CM626</f>
        <v>0</v>
      </c>
      <c r="M30" s="1909"/>
      <c r="N30" s="1909"/>
      <c r="P30" s="1904">
        <v>1.75</v>
      </c>
      <c r="Q30" s="1904"/>
      <c r="R30" s="1904">
        <f>1.75+0.25*0</f>
        <v>1.75</v>
      </c>
      <c r="S30" s="1904"/>
      <c r="T30" s="1904"/>
      <c r="V30" s="1913">
        <f>L30*P30</f>
        <v>0</v>
      </c>
      <c r="W30" s="1913"/>
      <c r="X30" s="1913"/>
    </row>
    <row r="31" spans="1:43">
      <c r="C31" s="897"/>
      <c r="D31" s="897"/>
      <c r="L31" s="1899">
        <f>SUM(L26:N30)</f>
        <v>71</v>
      </c>
      <c r="M31" s="1900"/>
      <c r="N31" s="1900"/>
      <c r="V31" s="1903">
        <f>SUM(V26:X30)</f>
        <v>85.25</v>
      </c>
      <c r="W31" s="1903"/>
      <c r="X31" s="1903"/>
    </row>
    <row r="32" spans="1:43">
      <c r="C32" s="897"/>
      <c r="D32" s="897"/>
      <c r="K32" s="908"/>
    </row>
    <row r="33" spans="1:27">
      <c r="C33" s="900" t="s">
        <v>190</v>
      </c>
      <c r="D33" s="900"/>
      <c r="E33" s="897" t="s">
        <v>2046</v>
      </c>
      <c r="H33" s="909"/>
      <c r="I33" s="910"/>
      <c r="J33" s="911"/>
      <c r="K33" s="908"/>
      <c r="M33" s="896"/>
      <c r="V33" s="1910">
        <f>IF(V31&gt;0,V31/Q22," ")</f>
        <v>3.4100000000000002E-5</v>
      </c>
      <c r="W33" s="1911"/>
      <c r="X33" s="1911"/>
      <c r="Y33" s="1911"/>
      <c r="Z33" s="1911"/>
      <c r="AA33" s="1912"/>
    </row>
    <row r="34" spans="1:27">
      <c r="K34" s="895"/>
      <c r="M34" s="896"/>
    </row>
    <row r="35" spans="1:27">
      <c r="E35" s="897" t="s">
        <v>2052</v>
      </c>
      <c r="F35" s="897"/>
      <c r="G35" s="897"/>
      <c r="H35" s="897"/>
      <c r="I35" s="897"/>
      <c r="J35" s="897"/>
      <c r="K35" s="897"/>
      <c r="L35" s="897"/>
      <c r="M35" s="917"/>
      <c r="N35" s="897"/>
      <c r="O35" s="897"/>
      <c r="P35" s="897"/>
      <c r="Q35" s="897"/>
      <c r="R35" s="897"/>
      <c r="V35" s="1891">
        <f>IF(V31&gt;0,1/V33," ")</f>
        <v>29325.513196480937</v>
      </c>
      <c r="W35" s="1892"/>
      <c r="X35" s="1892"/>
      <c r="Y35" s="1892"/>
      <c r="Z35" s="1892"/>
      <c r="AA35" s="1893"/>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4fda9b2-2cad-47eb-b40a-0f9136b371a5" xsi:nil="true"/>
    <lcf76f155ced4ddcb4097134ff3c332f xmlns="2e73f5c8-de0e-4f97-8e9c-e3711d87687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DEBC55D83582841B9F855AA1A46D266" ma:contentTypeVersion="13" ma:contentTypeDescription="Create a new document." ma:contentTypeScope="" ma:versionID="c8542be9e5f80bce8f915a78f79365a7">
  <xsd:schema xmlns:xsd="http://www.w3.org/2001/XMLSchema" xmlns:xs="http://www.w3.org/2001/XMLSchema" xmlns:p="http://schemas.microsoft.com/office/2006/metadata/properties" xmlns:ns2="f4fda9b2-2cad-47eb-b40a-0f9136b371a5" xmlns:ns3="2e73f5c8-de0e-4f97-8e9c-e3711d87687b" targetNamespace="http://schemas.microsoft.com/office/2006/metadata/properties" ma:root="true" ma:fieldsID="593570acab004522e54048c27325c50e" ns2:_="" ns3:_="">
    <xsd:import namespace="f4fda9b2-2cad-47eb-b40a-0f9136b371a5"/>
    <xsd:import namespace="2e73f5c8-de0e-4f97-8e9c-e3711d87687b"/>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ObjectDetectorVersion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73f5c8-de0e-4f97-8e9c-e3711d87687b"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89EDCE-5168-4374-A132-6C7F28E0B932}">
  <ds:schemaRefs>
    <ds:schemaRef ds:uri="http://schemas.microsoft.com/office/2006/metadata/properties"/>
    <ds:schemaRef ds:uri="http://schemas.microsoft.com/office/infopath/2007/PartnerControls"/>
    <ds:schemaRef ds:uri="f4fda9b2-2cad-47eb-b40a-0f9136b371a5"/>
    <ds:schemaRef ds:uri="2e73f5c8-de0e-4f97-8e9c-e3711d87687b"/>
  </ds:schemaRefs>
</ds:datastoreItem>
</file>

<file path=customXml/itemProps2.xml><?xml version="1.0" encoding="utf-8"?>
<ds:datastoreItem xmlns:ds="http://schemas.openxmlformats.org/officeDocument/2006/customXml" ds:itemID="{77983801-AE1D-4208-926E-9A5A6CEF2C81}">
  <ds:schemaRefs>
    <ds:schemaRef ds:uri="http://schemas.microsoft.com/sharepoint/v3/contenttype/forms"/>
  </ds:schemaRefs>
</ds:datastoreItem>
</file>

<file path=customXml/itemProps3.xml><?xml version="1.0" encoding="utf-8"?>
<ds:datastoreItem xmlns:ds="http://schemas.openxmlformats.org/officeDocument/2006/customXml" ds:itemID="{C2C96F7D-F53C-4135-AFFD-7BFFDF595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fda9b2-2cad-47eb-b40a-0f9136b371a5"/>
    <ds:schemaRef ds:uri="2e73f5c8-de0e-4f97-8e9c-e3711d8768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Jeffrey Summerville</cp:lastModifiedBy>
  <cp:lastPrinted>2024-06-06T18:41:21Z</cp:lastPrinted>
  <dcterms:created xsi:type="dcterms:W3CDTF">2007-12-27T18:26:28Z</dcterms:created>
  <dcterms:modified xsi:type="dcterms:W3CDTF">2024-06-28T20:48:15Z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0x010100DDEBC55D83582841B9F855AA1A46D266</vt:lpwstr>
  </property>
  <property fmtid="{D5CDD505-2E9C-101B-9397-08002B2CF9AE}" pid="3" name="MediaServiceImageTags">
    <vt:lpwstr/>
  </property>
</Properties>
</file>