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0CD931D-9961-4BF0-8E9C-3317CAC8B9D8}" xr6:coauthVersionLast="47" xr6:coauthVersionMax="47" xr10:uidLastSave="{00000000-0000-0000-0000-000000000000}"/>
  <bookViews>
    <workbookView xWindow="-26460" yWindow="1155" windowWidth="17280" windowHeight="8970" tabRatio="821" activeTab="9"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8" i="3" l="1"/>
  <c r="AB49" i="5"/>
  <c r="AA925" i="3" l="1"/>
  <c r="AA924" i="3"/>
  <c r="AC865" i="3"/>
  <c r="Q624" i="3"/>
  <c r="H642" i="3"/>
  <c r="H568" i="3"/>
  <c r="H608" i="3"/>
  <c r="AA600" i="3"/>
  <c r="H666" i="3"/>
  <c r="H592" i="3"/>
  <c r="AO634" i="3" l="1"/>
  <c r="E41" i="9" l="1"/>
  <c r="A41" i="9"/>
  <c r="AC868" i="3"/>
  <c r="S52" i="4"/>
  <c r="E92" i="4"/>
  <c r="C92" i="4"/>
  <c r="F92" i="4"/>
  <c r="K88" i="4"/>
  <c r="H88" i="4"/>
  <c r="H46" i="4"/>
  <c r="K57" i="4"/>
  <c r="S45" i="4"/>
  <c r="C45" i="4"/>
  <c r="H82" i="4"/>
  <c r="S64" i="4"/>
  <c r="S46" i="4"/>
  <c r="C46" i="4"/>
  <c r="C30" i="4"/>
  <c r="AM557" i="3"/>
  <c r="I31" i="4" l="1"/>
  <c r="F30" i="4"/>
  <c r="K84" i="4"/>
  <c r="G93" i="4"/>
  <c r="H52" i="4"/>
  <c r="E52" i="4" s="1"/>
  <c r="H93" i="4"/>
  <c r="E93" i="4" s="1"/>
  <c r="J92" i="4"/>
  <c r="S36" i="4"/>
  <c r="E43" i="4"/>
  <c r="S34" i="4"/>
  <c r="S35" i="4"/>
  <c r="S32" i="4"/>
  <c r="S33" i="4"/>
  <c r="E102" i="4"/>
  <c r="E101" i="4"/>
  <c r="E100" i="4"/>
  <c r="E99" i="4"/>
  <c r="E98" i="4"/>
  <c r="E94" i="4"/>
  <c r="E91" i="4"/>
  <c r="E90" i="4"/>
  <c r="E89" i="4"/>
  <c r="E88" i="4"/>
  <c r="E87" i="4"/>
  <c r="E86" i="4"/>
  <c r="E85" i="4"/>
  <c r="E84" i="4"/>
  <c r="E83" i="4"/>
  <c r="E78" i="4"/>
  <c r="E73" i="4"/>
  <c r="E72" i="4"/>
  <c r="E71" i="4"/>
  <c r="E68" i="4"/>
  <c r="E67" i="4"/>
  <c r="E66" i="4"/>
  <c r="E65" i="4"/>
  <c r="E64" i="4"/>
  <c r="E60" i="4"/>
  <c r="E59" i="4"/>
  <c r="E58" i="4"/>
  <c r="E56" i="4"/>
  <c r="E51" i="4"/>
  <c r="E50" i="4"/>
  <c r="E49" i="4"/>
  <c r="E48" i="4"/>
  <c r="E47" i="4"/>
  <c r="E41" i="4"/>
  <c r="E40" i="4"/>
  <c r="E37" i="4"/>
  <c r="E36" i="4"/>
  <c r="E35" i="4"/>
  <c r="E34" i="4"/>
  <c r="E33" i="4"/>
  <c r="E32" i="4"/>
  <c r="E31" i="4"/>
  <c r="E13" i="4"/>
  <c r="E10" i="4"/>
  <c r="E9" i="4"/>
  <c r="E7" i="4"/>
  <c r="E6" i="4"/>
  <c r="E5" i="4"/>
  <c r="E4" i="4"/>
  <c r="R4" i="4" s="1"/>
  <c r="E29" i="4"/>
  <c r="C93" i="4"/>
  <c r="C52" i="4"/>
  <c r="C64" i="4"/>
  <c r="C33" i="4"/>
  <c r="C32" i="4"/>
  <c r="AC869" i="3"/>
  <c r="W838" i="3"/>
  <c r="W836" i="3"/>
  <c r="W825" i="3"/>
  <c r="Z787" i="3"/>
  <c r="O699" i="3" l="1"/>
  <c r="O698" i="3"/>
  <c r="O697" i="3"/>
  <c r="O696" i="3"/>
  <c r="O695" i="3"/>
  <c r="T621" i="3"/>
  <c r="Q621" i="3"/>
  <c r="AM553" i="3"/>
  <c r="L937" i="3" l="1"/>
  <c r="AO626" i="3"/>
  <c r="AO625" i="3"/>
  <c r="AO624" i="3"/>
  <c r="AO623" i="3"/>
  <c r="I385" i="3" l="1"/>
  <c r="AB278" i="3"/>
  <c r="V278" i="3"/>
  <c r="L278" i="3"/>
  <c r="L277" i="3"/>
  <c r="AC247" i="3"/>
  <c r="W247" i="3"/>
  <c r="M247" i="3"/>
  <c r="M246"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T22" i="5"/>
  <c r="BF699" i="3" l="1"/>
  <c r="BF698" i="3"/>
  <c r="AZ72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E43" i="9" s="1"/>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0" i="4"/>
  <c r="R11" i="4" s="1"/>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E88" i="15" s="1"/>
  <c r="D88" i="15"/>
  <c r="B89" i="15"/>
  <c r="C89" i="15"/>
  <c r="D89" i="15"/>
  <c r="B90" i="15"/>
  <c r="C90" i="15"/>
  <c r="D90" i="15"/>
  <c r="B91" i="15"/>
  <c r="C91" i="15"/>
  <c r="D91" i="15"/>
  <c r="B92" i="15"/>
  <c r="C92" i="15"/>
  <c r="E92" i="15" s="1"/>
  <c r="D92" i="15"/>
  <c r="B93" i="15"/>
  <c r="C93" i="15"/>
  <c r="E93" i="15" s="1"/>
  <c r="D93" i="15"/>
  <c r="B94" i="15"/>
  <c r="C94" i="15"/>
  <c r="E94" i="15"/>
  <c r="D94" i="15"/>
  <c r="B95" i="15"/>
  <c r="C95" i="15"/>
  <c r="E95" i="15" s="1"/>
  <c r="D95"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E56" i="15" s="1"/>
  <c r="B56" i="15"/>
  <c r="B47" i="15"/>
  <c r="C47" i="15"/>
  <c r="E47" i="15" s="1"/>
  <c r="D47" i="15"/>
  <c r="B48" i="15"/>
  <c r="C48" i="15"/>
  <c r="D48" i="15"/>
  <c r="B49" i="15"/>
  <c r="C49" i="15"/>
  <c r="E49" i="15"/>
  <c r="D49" i="15"/>
  <c r="B50" i="15"/>
  <c r="E50" i="15" s="1"/>
  <c r="C50" i="15"/>
  <c r="D50" i="15"/>
  <c r="B51" i="15"/>
  <c r="C51" i="15"/>
  <c r="D51" i="15"/>
  <c r="B52" i="15"/>
  <c r="C52" i="15"/>
  <c r="D52" i="15"/>
  <c r="B53" i="15"/>
  <c r="E53" i="15" s="1"/>
  <c r="C53" i="15"/>
  <c r="D53" i="15"/>
  <c r="D46" i="15"/>
  <c r="C46" i="15"/>
  <c r="B46" i="15"/>
  <c r="B44" i="15"/>
  <c r="C44" i="15"/>
  <c r="E44" i="15" s="1"/>
  <c r="D44" i="15"/>
  <c r="B42" i="15"/>
  <c r="C42" i="15"/>
  <c r="E42" i="15" s="1"/>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C11" i="15"/>
  <c r="C12" i="15" s="1"/>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73" i="15"/>
  <c r="E22" i="15"/>
  <c r="E91" i="15"/>
  <c r="E87" i="15"/>
  <c r="E67" i="15"/>
  <c r="E90" i="15"/>
  <c r="E89" i="15"/>
  <c r="E16" i="15"/>
  <c r="E7" i="15"/>
  <c r="E31" i="15"/>
  <c r="E51" i="15"/>
  <c r="E61" i="15"/>
  <c r="E57" i="15"/>
  <c r="E84" i="15"/>
  <c r="E21" i="15"/>
  <c r="B9" i="15"/>
  <c r="E28" i="15"/>
  <c r="E8" i="15"/>
  <c r="E52" i="15"/>
  <c r="E48" i="15"/>
  <c r="E19" i="15"/>
  <c r="E72" i="15"/>
  <c r="E99" i="15"/>
  <c r="E6" i="15"/>
  <c r="E23" i="15"/>
  <c r="E41" i="15"/>
  <c r="C9" i="15"/>
  <c r="E11" i="15"/>
  <c r="E5" i="15"/>
  <c r="E35" i="15"/>
  <c r="E83"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24" i="9"/>
  <c r="I24" i="9"/>
  <c r="K24" i="9"/>
  <c r="M24" i="9"/>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18" s="1"/>
  <c r="C26" i="4"/>
  <c r="C38" i="4"/>
  <c r="B37" i="18" s="1"/>
  <c r="C42" i="4"/>
  <c r="B41" i="18" s="1"/>
  <c r="C53" i="4"/>
  <c r="B53" i="4" s="1"/>
  <c r="C61" i="4"/>
  <c r="C62" i="15" s="1"/>
  <c r="C69" i="4"/>
  <c r="B68" i="18" s="1"/>
  <c r="C76" i="4"/>
  <c r="B75" i="18" s="1"/>
  <c r="C80" i="4"/>
  <c r="B79" i="18" s="1"/>
  <c r="C95" i="4"/>
  <c r="D96" i="15" s="1"/>
  <c r="C103" i="4"/>
  <c r="C104" i="15" s="1"/>
  <c r="C66" i="25"/>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62" i="4" s="1"/>
  <c r="J96" i="4" s="1"/>
  <c r="J104" i="4" s="1"/>
  <c r="J53" i="4"/>
  <c r="J61" i="4"/>
  <c r="J69" i="4"/>
  <c r="J76" i="4"/>
  <c r="J95" i="4"/>
  <c r="K8" i="4"/>
  <c r="K11" i="4"/>
  <c r="K26" i="4"/>
  <c r="K38" i="4"/>
  <c r="K42" i="4"/>
  <c r="K53" i="4"/>
  <c r="K61" i="4"/>
  <c r="K62" i="4" s="1"/>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6" i="4" s="1"/>
  <c r="N104" i="4" s="1"/>
  <c r="N95" i="4"/>
  <c r="O8" i="4"/>
  <c r="O11" i="4"/>
  <c r="O26" i="4"/>
  <c r="O38" i="4"/>
  <c r="O42" i="4"/>
  <c r="O53" i="4"/>
  <c r="O61" i="4"/>
  <c r="O69" i="4"/>
  <c r="O76" i="4"/>
  <c r="O80" i="4"/>
  <c r="O95" i="4"/>
  <c r="O96" i="4" s="1"/>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B78" i="18"/>
  <c r="H78" i="18"/>
  <c r="B79" i="4"/>
  <c r="E79" i="4" s="1"/>
  <c r="R79" i="4" s="1"/>
  <c r="S79" i="4" s="1"/>
  <c r="B78" i="4"/>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0" i="18"/>
  <c r="E89" i="18"/>
  <c r="E88" i="18"/>
  <c r="E85" i="18"/>
  <c r="E82" i="18"/>
  <c r="E77" i="18"/>
  <c r="E67" i="18"/>
  <c r="E63" i="18"/>
  <c r="E51" i="18"/>
  <c r="E50" i="18"/>
  <c r="E49" i="18"/>
  <c r="E48" i="18"/>
  <c r="E47" i="18"/>
  <c r="E46" i="18"/>
  <c r="E45" i="18"/>
  <c r="E44" i="18"/>
  <c r="E39" i="18"/>
  <c r="E36" i="18"/>
  <c r="E34" i="18"/>
  <c r="E33" i="18"/>
  <c r="E32"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4" i="4"/>
  <c r="S84" i="4" s="1"/>
  <c r="E83" i="18" s="1"/>
  <c r="R85" i="4"/>
  <c r="S85" i="4" s="1"/>
  <c r="E84" i="18" s="1"/>
  <c r="R86" i="4"/>
  <c r="R87" i="4"/>
  <c r="R88" i="4"/>
  <c r="S88" i="4" s="1"/>
  <c r="E87" i="18" s="1"/>
  <c r="R89" i="4"/>
  <c r="R90" i="4"/>
  <c r="R91" i="4"/>
  <c r="R92" i="4"/>
  <c r="S92" i="4" s="1"/>
  <c r="E91" i="18" s="1"/>
  <c r="R93" i="4"/>
  <c r="R60" i="4"/>
  <c r="R59" i="4"/>
  <c r="R58" i="4"/>
  <c r="R57" i="4"/>
  <c r="R56" i="4"/>
  <c r="R52" i="4"/>
  <c r="R51" i="4"/>
  <c r="S51" i="4" s="1"/>
  <c r="R50" i="4"/>
  <c r="S50" i="4" s="1"/>
  <c r="R49" i="4"/>
  <c r="S49" i="4" s="1"/>
  <c r="R48" i="4"/>
  <c r="S48" i="4" s="1"/>
  <c r="R47" i="4"/>
  <c r="R45" i="4"/>
  <c r="R43" i="4"/>
  <c r="S43" i="4" s="1"/>
  <c r="E42" i="18" s="1"/>
  <c r="R41" i="4"/>
  <c r="R40" i="4"/>
  <c r="S40" i="4" s="1"/>
  <c r="R37" i="4"/>
  <c r="R35" i="4"/>
  <c r="R34" i="4"/>
  <c r="R33" i="4"/>
  <c r="R32" i="4"/>
  <c r="R31" i="4"/>
  <c r="S31" i="4" s="1"/>
  <c r="E30" i="18" s="1"/>
  <c r="R29" i="4"/>
  <c r="R27" i="4"/>
  <c r="R25" i="4"/>
  <c r="R23" i="4"/>
  <c r="R22" i="4"/>
  <c r="R21" i="4"/>
  <c r="R20" i="4"/>
  <c r="R19" i="4"/>
  <c r="R18" i="4"/>
  <c r="R17" i="4"/>
  <c r="R15" i="4"/>
  <c r="R14" i="4"/>
  <c r="R13" i="4"/>
  <c r="R7" i="4"/>
  <c r="R6" i="4"/>
  <c r="D5" i="15"/>
  <c r="D6" i="15"/>
  <c r="D7" i="15"/>
  <c r="D8" i="15"/>
  <c r="D10" i="15"/>
  <c r="D11" i="15"/>
  <c r="D12" i="15" s="1"/>
  <c r="D14" i="15"/>
  <c r="D15" i="15"/>
  <c r="D16" i="15"/>
  <c r="D18" i="15"/>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E30" i="4" s="1"/>
  <c r="E38" i="4" s="1"/>
  <c r="B31" i="4"/>
  <c r="B32" i="4"/>
  <c r="B33" i="4"/>
  <c r="B34" i="4"/>
  <c r="B35" i="4"/>
  <c r="B37" i="4"/>
  <c r="F38" i="4"/>
  <c r="F62" i="4" s="1"/>
  <c r="G38" i="4"/>
  <c r="H38" i="4"/>
  <c r="O103" i="4"/>
  <c r="B40" i="4"/>
  <c r="B41" i="4"/>
  <c r="E42" i="4"/>
  <c r="F42" i="4"/>
  <c r="G42" i="4"/>
  <c r="H42" i="4"/>
  <c r="B43" i="4"/>
  <c r="B45" i="4"/>
  <c r="E45" i="4" s="1"/>
  <c r="B46" i="4"/>
  <c r="E46" i="4" s="1"/>
  <c r="R46" i="4" s="1"/>
  <c r="B47" i="4"/>
  <c r="B48" i="4"/>
  <c r="B49" i="4"/>
  <c r="B50" i="4"/>
  <c r="B51" i="4"/>
  <c r="B52" i="4"/>
  <c r="F53" i="4"/>
  <c r="F61" i="4"/>
  <c r="F95" i="4"/>
  <c r="F69" i="4"/>
  <c r="F103" i="4"/>
  <c r="G53" i="4"/>
  <c r="H53" i="4"/>
  <c r="B55" i="4"/>
  <c r="E55" i="4" s="1"/>
  <c r="R55" i="4" s="1"/>
  <c r="B56" i="4"/>
  <c r="B57" i="4"/>
  <c r="E57" i="4" s="1"/>
  <c r="B58" i="4"/>
  <c r="B59" i="4"/>
  <c r="B60" i="4"/>
  <c r="G61" i="4"/>
  <c r="H61" i="4"/>
  <c r="B64" i="4"/>
  <c r="R64" i="4"/>
  <c r="R69" i="4" s="1"/>
  <c r="B68" i="4"/>
  <c r="R68" i="4"/>
  <c r="E69" i="4"/>
  <c r="G69" i="4"/>
  <c r="H69" i="4"/>
  <c r="B71" i="4"/>
  <c r="B72" i="4"/>
  <c r="B73" i="4"/>
  <c r="B74" i="4"/>
  <c r="E74" i="4" s="1"/>
  <c r="B75" i="4"/>
  <c r="E75" i="4" s="1"/>
  <c r="H76" i="4"/>
  <c r="B82" i="4"/>
  <c r="E82" i="4" s="1"/>
  <c r="R82" i="4" s="1"/>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H600" i="3" s="1"/>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11" i="4"/>
  <c r="T62" i="4"/>
  <c r="G52" i="25"/>
  <c r="AB47" i="26"/>
  <c r="I61" i="18"/>
  <c r="I95" i="18"/>
  <c r="I103" i="18"/>
  <c r="I105" i="18"/>
  <c r="J61" i="18"/>
  <c r="J95" i="18"/>
  <c r="J103" i="18"/>
  <c r="J105" i="18"/>
  <c r="K12" i="4"/>
  <c r="J12" i="4"/>
  <c r="G62" i="4"/>
  <c r="G96" i="4" s="1"/>
  <c r="G104" i="4" s="1"/>
  <c r="C61" i="18"/>
  <c r="C95" i="18"/>
  <c r="C103" i="18"/>
  <c r="C12" i="18"/>
  <c r="M62" i="4"/>
  <c r="M96" i="4"/>
  <c r="M104" i="4"/>
  <c r="O62" i="4"/>
  <c r="N62" i="4"/>
  <c r="D62" i="4"/>
  <c r="D96" i="4"/>
  <c r="D104" i="4"/>
  <c r="R26" i="4"/>
  <c r="L62" i="4"/>
  <c r="L96" i="4" s="1"/>
  <c r="L104" i="4" s="1"/>
  <c r="H11" i="18"/>
  <c r="Q62" i="4"/>
  <c r="Q96" i="4"/>
  <c r="Q104" i="4"/>
  <c r="T96" i="4"/>
  <c r="H61" i="18"/>
  <c r="M12" i="4"/>
  <c r="D12" i="18"/>
  <c r="P62" i="4"/>
  <c r="P96" i="4"/>
  <c r="P104" i="4"/>
  <c r="G61" i="18"/>
  <c r="G95" i="18"/>
  <c r="G103" i="18"/>
  <c r="G105" i="18"/>
  <c r="F61" i="18"/>
  <c r="F95" i="18"/>
  <c r="F103" i="18"/>
  <c r="F105" i="18"/>
  <c r="D61" i="18"/>
  <c r="D95" i="18"/>
  <c r="D103" i="18"/>
  <c r="H95" i="18"/>
  <c r="T104" i="4"/>
  <c r="H103" i="18" s="1"/>
  <c r="T24" i="27"/>
  <c r="T24" i="26"/>
  <c r="T106" i="4" l="1"/>
  <c r="H105" i="18" s="1"/>
  <c r="S28" i="9"/>
  <c r="F96" i="4"/>
  <c r="F104" i="4" s="1"/>
  <c r="O104" i="4"/>
  <c r="S103" i="4"/>
  <c r="E102" i="18" s="1"/>
  <c r="E95" i="4"/>
  <c r="C96" i="15"/>
  <c r="E96" i="15" s="1"/>
  <c r="B96" i="15"/>
  <c r="B94" i="18"/>
  <c r="B95" i="4"/>
  <c r="S80" i="4"/>
  <c r="E79" i="18" s="1"/>
  <c r="E78" i="18"/>
  <c r="B81" i="15"/>
  <c r="R76" i="4"/>
  <c r="E76" i="4"/>
  <c r="D77" i="15"/>
  <c r="C77" i="15"/>
  <c r="B77" i="15"/>
  <c r="B76" i="4"/>
  <c r="B60" i="18"/>
  <c r="E61" i="4"/>
  <c r="B61" i="4"/>
  <c r="E53" i="4"/>
  <c r="R30" i="4"/>
  <c r="S30" i="4" s="1"/>
  <c r="E29" i="18" s="1"/>
  <c r="I62" i="4"/>
  <c r="K96" i="4"/>
  <c r="K104" i="4" s="1"/>
  <c r="S53" i="4"/>
  <c r="E52" i="18" s="1"/>
  <c r="S29" i="4"/>
  <c r="E28" i="18" s="1"/>
  <c r="R53" i="4"/>
  <c r="R61" i="4"/>
  <c r="R80" i="4"/>
  <c r="H62" i="4"/>
  <c r="H96" i="4" s="1"/>
  <c r="H104" i="4" s="1"/>
  <c r="R8" i="4"/>
  <c r="H12" i="4"/>
  <c r="I96" i="4"/>
  <c r="I104" i="4" s="1"/>
  <c r="S95" i="4"/>
  <c r="E94" i="18" s="1"/>
  <c r="R95" i="4"/>
  <c r="R42" i="4"/>
  <c r="S41" i="4"/>
  <c r="R103" i="4"/>
  <c r="D81" i="15"/>
  <c r="B80" i="4"/>
  <c r="C81" i="15"/>
  <c r="E81" i="15" s="1"/>
  <c r="E46" i="15"/>
  <c r="B69" i="4"/>
  <c r="D70" i="15"/>
  <c r="C70" i="15"/>
  <c r="B70" i="15"/>
  <c r="B62" i="15"/>
  <c r="E62" i="15" s="1"/>
  <c r="D62" i="15"/>
  <c r="B52" i="18"/>
  <c r="D54" i="15"/>
  <c r="C54" i="15"/>
  <c r="B54" i="15"/>
  <c r="B42" i="4"/>
  <c r="D43" i="15"/>
  <c r="B43" i="15"/>
  <c r="C43" i="15"/>
  <c r="B39" i="15"/>
  <c r="D39" i="15"/>
  <c r="C39" i="15"/>
  <c r="B38" i="4"/>
  <c r="E12" i="15"/>
  <c r="B13" i="15"/>
  <c r="D9" i="15"/>
  <c r="D13" i="15" s="1"/>
  <c r="E9" i="15"/>
  <c r="C13" i="15"/>
  <c r="E13" i="15" s="1"/>
  <c r="C62" i="4"/>
  <c r="C96" i="4" s="1"/>
  <c r="B95" i="18" s="1"/>
  <c r="B8" i="4"/>
  <c r="B12" i="4" s="1"/>
  <c r="C12" i="4"/>
  <c r="B12" i="18" s="1"/>
  <c r="R12" i="4"/>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I40" i="10"/>
  <c r="Z788" i="3" s="1"/>
  <c r="I16" i="9"/>
  <c r="T699" i="6"/>
  <c r="G8" i="9"/>
  <c r="E9" i="9"/>
  <c r="AD23" i="26" l="1"/>
  <c r="AD26" i="26" s="1"/>
  <c r="AI11" i="27"/>
  <c r="AI23" i="27" s="1"/>
  <c r="AI26" i="27" s="1"/>
  <c r="AD11" i="27"/>
  <c r="AD23" i="27" s="1"/>
  <c r="AD26" i="27" s="1"/>
  <c r="AD11" i="5"/>
  <c r="AD23" i="5" s="1"/>
  <c r="AD26" i="5" s="1"/>
  <c r="AI11" i="26"/>
  <c r="AI23" i="26" s="1"/>
  <c r="AI26" i="26" s="1"/>
  <c r="AD11" i="26"/>
  <c r="E62" i="4"/>
  <c r="E96" i="4" s="1"/>
  <c r="E104" i="4" s="1"/>
  <c r="E77" i="15"/>
  <c r="E39" i="15"/>
  <c r="R38" i="4"/>
  <c r="R62" i="4" s="1"/>
  <c r="R96" i="4" s="1"/>
  <c r="R104" i="4" s="1"/>
  <c r="S38" i="4"/>
  <c r="E40" i="18"/>
  <c r="S42" i="4"/>
  <c r="E41" i="18" s="1"/>
  <c r="E70" i="15"/>
  <c r="E54" i="15"/>
  <c r="E43" i="15"/>
  <c r="D63" i="15"/>
  <c r="B97" i="15"/>
  <c r="B62" i="4"/>
  <c r="B61" i="18"/>
  <c r="B96" i="4"/>
  <c r="C97" i="15"/>
  <c r="E97" i="15" s="1"/>
  <c r="C104" i="4"/>
  <c r="AC448" i="3" s="1"/>
  <c r="C63" i="15"/>
  <c r="D97" i="15"/>
  <c r="B63" i="15"/>
  <c r="AS355" i="6"/>
  <c r="Y112" i="6"/>
  <c r="BA203" i="6"/>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AI28" i="26" l="1"/>
  <c r="AD63" i="26" s="1"/>
  <c r="AI28" i="27"/>
  <c r="AD63" i="27" s="1"/>
  <c r="AD28" i="27"/>
  <c r="AD28" i="5"/>
  <c r="S62" i="4"/>
  <c r="S96" i="4" s="1"/>
  <c r="E37" i="18"/>
  <c r="B103" i="18"/>
  <c r="B104" i="4"/>
  <c r="AC447" i="3" s="1"/>
  <c r="F450" i="3" s="1"/>
  <c r="B105" i="15"/>
  <c r="C105" i="15"/>
  <c r="D105" i="15"/>
  <c r="E63" i="15"/>
  <c r="AO197" i="6"/>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61" i="18" l="1"/>
  <c r="E95" i="18"/>
  <c r="S104" i="4"/>
  <c r="AB46" i="5"/>
  <c r="AB48" i="5" s="1"/>
  <c r="AB53" i="5" s="1"/>
  <c r="AB54" i="5" s="1"/>
  <c r="AB46" i="27"/>
  <c r="AB48" i="27" s="1"/>
  <c r="AB53" i="27" s="1"/>
  <c r="AB54" i="27" s="1"/>
  <c r="E105" i="15"/>
  <c r="J58" i="25"/>
  <c r="G71" i="25" s="1"/>
  <c r="G72" i="25" s="1"/>
  <c r="B75" i="25" s="1"/>
  <c r="AB46" i="26"/>
  <c r="AB48" i="26" s="1"/>
  <c r="AB53" i="26" s="1"/>
  <c r="AB54" i="26" s="1"/>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48" i="9" l="1"/>
  <c r="E103" i="18"/>
  <c r="S106" i="4"/>
  <c r="B76" i="25"/>
  <c r="O76" i="25" s="1"/>
  <c r="AJ982" i="3"/>
  <c r="AJ1004" i="3"/>
  <c r="AJ991" i="3"/>
  <c r="Q4" i="9"/>
  <c r="Q5" i="9" s="1"/>
  <c r="K5" i="9"/>
  <c r="G11" i="9"/>
  <c r="G37" i="9" s="1"/>
  <c r="G49" i="9" s="1"/>
  <c r="M5" i="9"/>
  <c r="E47" i="9"/>
  <c r="AJ617" i="6"/>
  <c r="E49" i="9"/>
  <c r="BO572" i="6"/>
  <c r="BO577" i="6" s="1"/>
  <c r="AO698" i="6"/>
  <c r="CC534" i="6"/>
  <c r="CC537" i="6" s="1"/>
  <c r="BY537" i="6"/>
  <c r="BU537" i="6"/>
  <c r="BJ590" i="6"/>
  <c r="AV554" i="6" s="1"/>
  <c r="K6" i="9"/>
  <c r="I7" i="9"/>
  <c r="I11" i="9" s="1"/>
  <c r="I37" i="9" s="1"/>
  <c r="Q16" i="9"/>
  <c r="O22" i="9"/>
  <c r="O35" i="9" s="1"/>
  <c r="Y15" i="9"/>
  <c r="BM550" i="6"/>
  <c r="BQ548" i="6"/>
  <c r="S32" i="9"/>
  <c r="M9" i="9"/>
  <c r="O8" i="9"/>
  <c r="AC449" i="3" l="1"/>
  <c r="E105" i="18"/>
  <c r="X1024" i="3"/>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T11" i="27" l="1"/>
  <c r="T23" i="27" s="1"/>
  <c r="T11" i="5"/>
  <c r="Y11" i="26"/>
  <c r="Y23" i="26" s="1"/>
  <c r="Y26" i="26" s="1"/>
  <c r="Y28" i="26" s="1"/>
  <c r="Y63" i="26" s="1"/>
  <c r="Y67" i="26" s="1"/>
  <c r="T11" i="26"/>
  <c r="T23" i="26" s="1"/>
  <c r="Y11" i="27"/>
  <c r="Y23" i="27" s="1"/>
  <c r="Y26" i="27" s="1"/>
  <c r="Y28" i="27" s="1"/>
  <c r="Y63" i="27" s="1"/>
  <c r="Y67" i="27" s="1"/>
  <c r="U4" i="9"/>
  <c r="U5" i="9" s="1"/>
  <c r="G48" i="9"/>
  <c r="T24" i="5"/>
  <c r="X1025" i="3"/>
  <c r="AF706" i="6"/>
  <c r="AF712" i="6" s="1"/>
  <c r="BT577" i="6"/>
  <c r="BY574" i="6"/>
  <c r="CC550" i="6"/>
  <c r="K37" i="9"/>
  <c r="K49" i="9" s="1"/>
  <c r="U16" i="9"/>
  <c r="S22" i="9"/>
  <c r="S35" i="9" s="1"/>
  <c r="AC15" i="9"/>
  <c r="I47" i="9"/>
  <c r="I48" i="9"/>
  <c r="O6" i="9"/>
  <c r="M7" i="9"/>
  <c r="M11" i="9" s="1"/>
  <c r="M37" i="9" s="1"/>
  <c r="W32" i="9"/>
  <c r="S8" i="9"/>
  <c r="Q9" i="9"/>
  <c r="Y38" i="26" l="1"/>
  <c r="Y40" i="26" s="1"/>
  <c r="AD38" i="26"/>
  <c r="AD40" i="26" s="1"/>
  <c r="T26" i="26"/>
  <c r="T28" i="26" s="1"/>
  <c r="T29" i="26" s="1"/>
  <c r="T23" i="5"/>
  <c r="AD38" i="5" s="1"/>
  <c r="AD40" i="5" s="1"/>
  <c r="BE16" i="28"/>
  <c r="Y38" i="27"/>
  <c r="Y40" i="27" s="1"/>
  <c r="AD38" i="27"/>
  <c r="AD40" i="27" s="1"/>
  <c r="T26" i="27"/>
  <c r="T28" i="27" s="1"/>
  <c r="T29" i="27" s="1"/>
  <c r="W4" i="9"/>
  <c r="Y4" i="9" s="1"/>
  <c r="D1026" i="3"/>
  <c r="CD575" i="6"/>
  <c r="BY577" i="6"/>
  <c r="K45" i="9"/>
  <c r="Q6" i="9"/>
  <c r="O7" i="9"/>
  <c r="O11" i="9" s="1"/>
  <c r="O37" i="9" s="1"/>
  <c r="AE15" i="9"/>
  <c r="M45" i="9"/>
  <c r="M49" i="9"/>
  <c r="W16" i="9"/>
  <c r="U22" i="9"/>
  <c r="U35" i="9" s="1"/>
  <c r="Y32" i="9"/>
  <c r="U8" i="9"/>
  <c r="S9" i="9"/>
  <c r="Y41" i="27" l="1"/>
  <c r="AB55" i="27" s="1"/>
  <c r="AB56" i="27" s="1"/>
  <c r="AB58" i="27" s="1"/>
  <c r="AB75" i="27" s="1"/>
  <c r="AB76" i="27" s="1"/>
  <c r="AB77" i="27" s="1"/>
  <c r="AB79" i="27" s="1"/>
  <c r="J80" i="27" s="1"/>
  <c r="T26" i="5"/>
  <c r="T28" i="5" s="1"/>
  <c r="Q71" i="25"/>
  <c r="O75" i="25" s="1"/>
  <c r="R75" i="25" s="1"/>
  <c r="Y41" i="26"/>
  <c r="AB55" i="26" s="1"/>
  <c r="AB56" i="26" s="1"/>
  <c r="AB58" i="26" s="1"/>
  <c r="W5" i="9"/>
  <c r="CD577" i="6"/>
  <c r="CI576" i="6"/>
  <c r="CI577" i="6" s="1"/>
  <c r="K48" i="9"/>
  <c r="K47" i="9"/>
  <c r="M48" i="9"/>
  <c r="M47" i="9"/>
  <c r="O49" i="9"/>
  <c r="O45" i="9"/>
  <c r="AA4" i="9"/>
  <c r="Y5" i="9"/>
  <c r="AG15" i="9"/>
  <c r="Y16" i="9"/>
  <c r="W22" i="9"/>
  <c r="W35" i="9" s="1"/>
  <c r="S6" i="9"/>
  <c r="Q7" i="9"/>
  <c r="Q11" i="9" s="1"/>
  <c r="Q37" i="9" s="1"/>
  <c r="AA32" i="9"/>
  <c r="W8" i="9"/>
  <c r="U9" i="9"/>
  <c r="F59" i="27" l="1"/>
  <c r="AB75" i="26"/>
  <c r="AB76" i="26" s="1"/>
  <c r="AB77" i="26" s="1"/>
  <c r="AB79" i="26" s="1"/>
  <c r="J80" i="26" s="1"/>
  <c r="F59" i="26"/>
  <c r="Y63" i="5"/>
  <c r="Y67" i="5" s="1"/>
  <c r="T29" i="5"/>
  <c r="Y38" i="5"/>
  <c r="Y40" i="5" s="1"/>
  <c r="CN577" i="6"/>
  <c r="BD558" i="6" s="1"/>
  <c r="Q45" i="9"/>
  <c r="Q49" i="9"/>
  <c r="AC4" i="9"/>
  <c r="AA5" i="9"/>
  <c r="O48" i="9"/>
  <c r="O47" i="9"/>
  <c r="U6" i="9"/>
  <c r="S7" i="9"/>
  <c r="S11" i="9" s="1"/>
  <c r="S37" i="9" s="1"/>
  <c r="AA16" i="9"/>
  <c r="Y22" i="9"/>
  <c r="Y35" i="9" s="1"/>
  <c r="AC32" i="9"/>
  <c r="W9" i="9"/>
  <c r="Y8" i="9"/>
  <c r="AR42" i="5" l="1"/>
  <c r="Y41" i="5" s="1"/>
  <c r="AB55" i="5" s="1"/>
  <c r="AR43" i="5"/>
  <c r="AT560" i="6"/>
  <c r="AW562" i="6"/>
  <c r="W6" i="9"/>
  <c r="U7" i="9"/>
  <c r="U11" i="9" s="1"/>
  <c r="U37" i="9" s="1"/>
  <c r="AC16" i="9"/>
  <c r="AA22" i="9"/>
  <c r="AA35" i="9" s="1"/>
  <c r="S45" i="9"/>
  <c r="S49" i="9"/>
  <c r="AC5" i="9"/>
  <c r="AE4" i="9"/>
  <c r="Q48" i="9"/>
  <c r="Q47" i="9"/>
  <c r="AE32" i="9"/>
  <c r="Y9" i="9"/>
  <c r="AA8" i="9"/>
  <c r="BE15" i="28" l="1"/>
  <c r="Q22" i="28"/>
  <c r="V33" i="28" s="1"/>
  <c r="V35" i="28" s="1"/>
  <c r="M25" i="3"/>
  <c r="P203" i="3" s="1"/>
  <c r="AB56" i="5"/>
  <c r="AB58" i="5" s="1"/>
  <c r="AB75" i="5" s="1"/>
  <c r="AB76" i="5" s="1"/>
  <c r="AB77" i="5" s="1"/>
  <c r="AE5" i="9"/>
  <c r="AG4" i="9"/>
  <c r="S47" i="9"/>
  <c r="S48" i="9"/>
  <c r="W7" i="9"/>
  <c r="W11" i="9" s="1"/>
  <c r="W37" i="9" s="1"/>
  <c r="Y6" i="9"/>
  <c r="U49" i="9"/>
  <c r="U45" i="9"/>
  <c r="AE16" i="9"/>
  <c r="AC22" i="9"/>
  <c r="AC35" i="9" s="1"/>
  <c r="AG32" i="9"/>
  <c r="AA9" i="9"/>
  <c r="AC8" i="9"/>
  <c r="F59" i="5" l="1"/>
  <c r="M27" i="3"/>
  <c r="D203" i="3" s="1"/>
  <c r="AB79" i="5"/>
  <c r="J80" i="5" s="1"/>
  <c r="AG5" i="9"/>
  <c r="W45" i="9"/>
  <c r="W49" i="9"/>
  <c r="AG16" i="9"/>
  <c r="AG22" i="9" s="1"/>
  <c r="AG35" i="9" s="1"/>
  <c r="AE22" i="9"/>
  <c r="AE35" i="9" s="1"/>
  <c r="U48" i="9"/>
  <c r="U47" i="9"/>
  <c r="Y7" i="9"/>
  <c r="Y11" i="9" s="1"/>
  <c r="Y37" i="9" s="1"/>
  <c r="AA6" i="9"/>
  <c r="AC9" i="9"/>
  <c r="AE8" i="9"/>
  <c r="W203" i="3" l="1"/>
  <c r="Y45" i="9"/>
  <c r="Y49" i="9"/>
  <c r="AA7" i="9"/>
  <c r="AA11" i="9" s="1"/>
  <c r="AA37" i="9" s="1"/>
  <c r="AC6" i="9"/>
  <c r="W47" i="9"/>
  <c r="W48" i="9"/>
  <c r="AG8" i="9"/>
  <c r="AE9" i="9"/>
  <c r="AA49" i="9" l="1"/>
  <c r="AA45" i="9"/>
  <c r="AE6" i="9"/>
  <c r="AC7" i="9"/>
  <c r="AC11" i="9" s="1"/>
  <c r="AC37" i="9" s="1"/>
  <c r="Y48" i="9"/>
  <c r="Y47" i="9"/>
  <c r="AG9" i="9"/>
  <c r="AG6" i="9" l="1"/>
  <c r="AE7" i="9"/>
  <c r="AE11" i="9" s="1"/>
  <c r="AE37" i="9" s="1"/>
  <c r="AC49" i="9"/>
  <c r="AC45" i="9"/>
  <c r="AA47" i="9"/>
  <c r="AA48" i="9"/>
  <c r="AG7" i="9" l="1"/>
  <c r="AG11" i="9" s="1"/>
  <c r="AG37" i="9" s="1"/>
  <c r="AG49" i="9" s="1"/>
  <c r="AE49" i="9"/>
  <c r="AE45" i="9"/>
  <c r="AC48" i="9"/>
  <c r="AC47" i="9"/>
  <c r="AG45" i="9" l="1"/>
  <c r="AE47" i="9"/>
  <c r="AE48" i="9"/>
  <c r="AG47" i="9" l="1"/>
  <c r="AG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<sst xmlns="http://schemas.openxmlformats.org/spreadsheetml/2006/main" count="4778" uniqueCount="2501">
  <si>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</si>
  <si>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</si>
  <si>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</si>
  <si>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</si>
  <si>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</si>
  <si>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</si>
  <si>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</si>
  <si>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</si>
  <si>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</si>
  <si>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</si>
  <si>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</si>
  <si>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</si>
  <si>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</si>
  <si>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</si>
  <si>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</si>
  <si>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</si>
  <si>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</si>
  <si>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</si>
  <si>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</si>
  <si>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</si>
  <si>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</si>
  <si>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</si>
  <si>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</si>
  <si>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</si>
  <si>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</si>
  <si>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</si>
  <si>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</si>
  <si>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</si>
  <si>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</si>
  <si>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</si>
  <si>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</si>
  <si>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</si>
  <si>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</si>
  <si>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</si>
  <si>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</si>
  <si>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</si>
  <si>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</si>
  <si>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</si>
  <si>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</si>
  <si>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</si>
  <si>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</si>
  <si>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</si>
  <si>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</si>
  <si>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</si>
  <si>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</si>
  <si>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</si>
  <si>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</si>
  <si>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</si>
  <si>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</si>
  <si>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</si>
  <si>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</si>
  <si>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</si>
  <si>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</si>
  <si>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</si>
  <si>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</si>
  <si>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</si>
  <si>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</si>
  <si>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</si>
  <si>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</si>
  <si>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</si>
  <si>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</si>
  <si>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</si>
  <si>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</si>
  <si>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</si>
  <si>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</si>
  <si>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</si>
  <si>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</si>
  <si>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</si>
  <si>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</si>
  <si>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</si>
  <si>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</si>
  <si>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</si>
  <si>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</si>
  <si>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</si>
  <si>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</si>
  <si>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</si>
  <si>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</si>
  <si>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</si>
  <si>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</si>
  <si>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</si>
  <si>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</si>
  <si>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</si>
  <si>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</si>
  <si>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</si>
  <si>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</si>
  <si>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</si>
  <si>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</si>
  <si>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</si>
  <si>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</si>
  <si>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</si>
  <si>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</si>
  <si>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</si>
  <si>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</si>
  <si>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</si>
  <si>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</si>
  <si>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</si>
  <si>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</si>
  <si>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</si>
  <si>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</si>
  <si>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</si>
  <si>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</si>
  <si>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</si>
  <si>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</si>
  <si>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</si>
  <si>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</si>
  <si>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</si>
  <si>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</si>
  <si>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</si>
  <si>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</si>
  <si>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</si>
  <si>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</si>
  <si>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</si>
  <si>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</si>
  <si>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</si>
  <si>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</si>
  <si>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</si>
  <si>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</si>
  <si>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</si>
  <si>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</si>
  <si>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</si>
  <si>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</si>
  <si>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</si>
  <si>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</si>
  <si>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</si>
  <si>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</si>
  <si>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</si>
  <si>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</si>
  <si>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</si>
  <si>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</si>
  <si>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</si>
  <si>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</si>
  <si>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</si>
  <si>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</si>
  <si>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</si>
  <si>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</si>
  <si>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</si>
  <si>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</si>
  <si>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</si>
  <si>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</si>
  <si>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</si>
  <si>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</si>
  <si>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</si>
  <si>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</si>
  <si>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</si>
  <si>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</si>
  <si>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</si>
  <si>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</si>
  <si>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</si>
  <si>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</si>
  <si>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</si>
  <si>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</si>
  <si>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</si>
  <si>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</si>
  <si>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</si>
  <si>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</si>
  <si>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</si>
  <si>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</si>
  <si>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</si>
  <si>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</si>
  <si>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</si>
  <si>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</si>
  <si>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</si>
  <si>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</si>
  <si>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</si>
  <si>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</si>
  <si>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</si>
  <si>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</si>
  <si>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</si>
  <si>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</si>
  <si>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</si>
  <si>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</si>
  <si>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</si>
  <si>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</si>
  <si>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</si>
  <si>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</si>
  <si>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</si>
  <si>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</si>
  <si>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</si>
  <si>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</si>
  <si>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</si>
  <si>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</si>
  <si>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</si>
  <si>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</si>
  <si>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</si>
  <si>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</si>
  <si>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</si>
  <si>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</si>
  <si>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</si>
  <si>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</si>
  <si>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</si>
  <si>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</si>
  <si>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</si>
  <si>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</si>
  <si>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</si>
  <si>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</si>
  <si>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</si>
  <si>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</si>
  <si>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</si>
  <si>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</si>
  <si>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</si>
  <si>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</si>
  <si>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</si>
  <si>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</si>
  <si>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</si>
  <si>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</si>
  <si>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</si>
  <si>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</si>
  <si>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</si>
  <si>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</si>
  <si>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</si>
  <si>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</si>
  <si>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</si>
  <si>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</si>
  <si>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</si>
  <si>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</si>
  <si>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</si>
  <si>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</si>
  <si>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</si>
  <si>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</si>
  <si>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</si>
  <si>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</si>
  <si>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</si>
  <si>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</si>
  <si>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</si>
  <si>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</si>
  <si>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</si>
  <si>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</si>
  <si>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</si>
  <si>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</si>
  <si>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</si>
  <si>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</si>
  <si>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</si>
  <si>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</si>
  <si>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</si>
  <si>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</si>
  <si>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</si>
  <si>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</si>
  <si>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</si>
  <si>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</si>
  <si>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</si>
  <si>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</si>
  <si>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</si>
  <si>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</si>
  <si>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</si>
  <si>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</si>
  <si>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</si>
  <si>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</si>
  <si>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</si>
  <si>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</si>
  <si>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</si>
  <si>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</si>
  <si>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</si>
  <si>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</si>
  <si>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</si>
  <si>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</si>
  <si>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</si>
  <si>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</si>
  <si>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</si>
  <si>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</si>
  <si>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</si>
  <si>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</si>
  <si>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</si>
  <si>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</si>
  <si>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</si>
  <si>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</si>
  <si>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</si>
  <si>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</si>
  <si>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</si>
  <si>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</si>
  <si>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</si>
  <si>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</si>
  <si>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</si>
  <si>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</si>
  <si>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</si>
  <si>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</si>
  <si>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</si>
  <si>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</si>
  <si>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</si>
  <si>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</si>
  <si>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</si>
  <si>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</si>
  <si>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</si>
  <si>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</si>
  <si>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</si>
  <si>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</si>
  <si>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</si>
  <si>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</si>
  <si>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</si>
  <si>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</si>
  <si>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</si>
  <si>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</si>
  <si>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</si>
  <si>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</si>
  <si>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</si>
  <si>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</si>
  <si>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</si>
  <si>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</si>
  <si>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</si>
  <si>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</si>
  <si>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</si>
  <si>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</si>
  <si>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</si>
  <si>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</si>
  <si>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</si>
  <si>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</si>
  <si>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</si>
  <si>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</si>
  <si>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</si>
  <si>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</si>
  <si>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</si>
  <si>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</si>
  <si>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</si>
  <si>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</si>
  <si>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</si>
  <si>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</si>
  <si>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</si>
  <si>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</si>
  <si>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</si>
  <si>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</si>
  <si>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</si>
  <si>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</si>
  <si>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</si>
  <si>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</si>
  <si>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</si>
  <si>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</si>
  <si>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</si>
  <si>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</si>
  <si>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</si>
  <si>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</si>
  <si>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</si>
  <si>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</si>
  <si>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</si>
  <si>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</si>
  <si>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</si>
  <si>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</si>
  <si>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</si>
  <si>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</si>
  <si>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</si>
  <si>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</si>
  <si>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</si>
  <si>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</si>
  <si>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</si>
  <si>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</si>
  <si>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</si>
  <si>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</si>
  <si>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</si>
  <si>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</si>
  <si>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</si>
  <si>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</si>
  <si>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</si>
  <si>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</si>
  <si>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</si>
  <si>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</si>
  <si>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</si>
  <si>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</si>
  <si>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</si>
  <si>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</si>
  <si>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</si>
  <si>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</si>
  <si>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</si>
  <si>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</si>
  <si>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</si>
  <si>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</si>
  <si>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</si>
  <si>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</si>
  <si>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</si>
  <si>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</si>
  <si>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</si>
  <si>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</si>
  <si>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</si>
  <si>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</si>
  <si>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</si>
  <si>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</si>
  <si>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</si>
  <si>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</si>
  <si>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</si>
  <si>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</si>
  <si>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</si>
  <si>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</si>
  <si>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</si>
  <si>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</si>
  <si>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</si>
  <si>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</si>
  <si>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</si>
  <si>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</si>
  <si>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</si>
  <si>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</si>
  <si>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</si>
  <si>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</si>
  <si>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</si>
  <si>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</si>
  <si>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</si>
  <si>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</si>
  <si>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</si>
  <si>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</si>
  <si>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</si>
  <si>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</si>
  <si>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</si>
  <si>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</si>
  <si>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</si>
  <si>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</si>
  <si>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</si>
  <si>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</si>
  <si>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</si>
  <si>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</si>
  <si>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</si>
  <si>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</si>
  <si>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</si>
  <si>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</si>
  <si>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</si>
  <si>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</si>
  <si>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</si>
  <si>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</si>
  <si>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</si>
  <si>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</si>
  <si>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</si>
  <si>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</si>
  <si>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</si>
  <si>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</si>
  <si>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</si>
  <si>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</si>
  <si>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</si>
  <si>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</si>
  <si>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</si>
  <si>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</si>
  <si>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</si>
  <si>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</si>
  <si>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</si>
  <si>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</si>
  <si>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</si>
  <si>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</si>
  <si>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</si>
  <si>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</si>
  <si>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</si>
  <si>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</si>
  <si>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</si>
  <si>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</si>
  <si>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</si>
  <si>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</si>
  <si>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</si>
  <si>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</si>
  <si>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</si>
  <si>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</si>
  <si>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</si>
  <si>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</si>
  <si>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</si>
  <si>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</si>
  <si>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</si>
  <si>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</si>
  <si>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</si>
  <si>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</si>
  <si>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</si>
  <si>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</si>
  <si>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</si>
  <si>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</si>
  <si>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</si>
  <si>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</si>
  <si>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</si>
  <si>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</si>
  <si>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</si>
  <si>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</si>
  <si>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</si>
  <si>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</si>
  <si>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</si>
  <si>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</si>
  <si>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</si>
  <si>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</si>
  <si>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</si>
  <si>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</si>
  <si>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</si>
  <si>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</si>
  <si>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</si>
  <si>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</si>
  <si>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</si>
  <si>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</si>
  <si>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</si>
  <si>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</si>
  <si>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</si>
  <si>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</si>
  <si>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</si>
  <si>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</si>
  <si>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</si>
  <si>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</si>
  <si>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</si>
  <si>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</si>
  <si>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</si>
  <si>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</si>
  <si>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</si>
  <si>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</si>
  <si>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</si>
  <si>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</si>
  <si>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</si>
  <si>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</si>
  <si>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</si>
  <si>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</si>
  <si>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</si>
  <si>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</si>
  <si>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</si>
  <si>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</si>
  <si>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</si>
  <si>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</si>
  <si>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</si>
  <si>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</si>
  <si>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</si>
  <si>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</si>
  <si>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</si>
  <si>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</si>
  <si>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</si>
  <si>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</si>
  <si>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</si>
  <si>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</si>
  <si>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</si>
  <si>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</si>
  <si>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</si>
  <si>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</si>
  <si>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</si>
  <si>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</si>
  <si>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</si>
  <si>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</si>
  <si>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</si>
  <si>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</si>
  <si>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</si>
  <si>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</si>
  <si>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</si>
  <si>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</si>
  <si>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</si>
  <si>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</si>
  <si>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</si>
  <si>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</si>
  <si>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</si>
  <si>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</si>
  <si>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</si>
  <si>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</si>
  <si>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</si>
  <si>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</si>
  <si>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</si>
  <si>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</si>
  <si>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</si>
  <si>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</si>
  <si>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</si>
  <si>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</si>
  <si>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</si>
  <si>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</si>
  <si>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</si>
  <si>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</si>
  <si>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</si>
  <si>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</si>
  <si>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</si>
  <si>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</si>
  <si>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</si>
  <si>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</si>
  <si>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</si>
  <si>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</si>
  <si>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</si>
  <si>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</si>
  <si>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</si>
  <si>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</si>
  <si>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</si>
  <si>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</si>
  <si>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</si>
  <si>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</si>
  <si>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</si>
  <si>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</si>
  <si>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</si>
  <si>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</si>
  <si>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</si>
  <si>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</si>
  <si>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</si>
  <si>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</si>
  <si>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</si>
  <si>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</si>
  <si>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</si>
  <si>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</si>
  <si>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</si>
  <si>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</si>
  <si>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</si>
  <si>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</si>
  <si>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</si>
  <si>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</si>
  <si>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</si>
  <si>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</si>
  <si>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</si>
  <si>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</si>
  <si>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</si>
  <si>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</si>
  <si>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</si>
  <si>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</si>
  <si>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</si>
  <si>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</si>
  <si>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</si>
  <si>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</si>
  <si>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</si>
  <si>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</si>
  <si>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</si>
  <si>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</si>
  <si>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</si>
  <si>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</si>
  <si>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</si>
  <si>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</si>
  <si>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</si>
  <si>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</si>
  <si>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</si>
  <si>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</si>
  <si>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</si>
  <si>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</si>
  <si>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</si>
  <si>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</si>
  <si>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</si>
  <si>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</si>
  <si>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</si>
  <si>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</si>
  <si>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</si>
  <si>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</si>
  <si>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</si>
  <si>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</si>
  <si>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</si>
  <si>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</si>
  <si>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</si>
  <si>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</si>
  <si>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</si>
  <si>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</si>
  <si>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</si>
  <si>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</si>
  <si>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</si>
  <si>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</si>
  <si>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</si>
  <si>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</si>
  <si>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</si>
  <si>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</si>
  <si>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</si>
  <si>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</si>
  <si>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</si>
  <si>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</si>
  <si>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</si>
  <si>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</si>
  <si>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</si>
  <si>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</si>
  <si>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</si>
  <si>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</si>
  <si>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</si>
  <si>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</si>
  <si>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</si>
  <si>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</si>
  <si>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</si>
  <si>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</si>
  <si>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</si>
  <si>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</si>
  <si>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</si>
  <si>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</si>
  <si>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</si>
  <si>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</si>
  <si>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</si>
  <si>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</si>
  <si>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</si>
  <si>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</si>
  <si>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</si>
  <si>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</si>
  <si>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</si>
  <si>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</si>
  <si>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</si>
  <si>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</si>
  <si>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</si>
  <si>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</si>
  <si>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</si>
  <si>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</si>
  <si>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</si>
  <si>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</si>
  <si>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</si>
  <si>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</si>
  <si>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</si>
  <si>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</si>
  <si>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</si>
  <si>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</si>
  <si>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</si>
  <si>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</si>
  <si>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</si>
  <si>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</si>
  <si>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</si>
  <si>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</si>
  <si>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</si>
  <si>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</si>
  <si>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</si>
  <si>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</si>
  <si>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</si>
  <si>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</si>
  <si>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</si>
  <si>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</si>
  <si>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</si>
  <si>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</si>
  <si>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</si>
  <si>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</si>
  <si>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</si>
  <si>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</si>
  <si>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</si>
  <si>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</si>
  <si>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</si>
  <si>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</si>
  <si>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</si>
  <si>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</si>
  <si>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</si>
  <si>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</si>
  <si>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</si>
  <si>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</si>
  <si>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</si>
  <si>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</si>
  <si>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</si>
  <si>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</si>
  <si>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</si>
  <si>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</si>
  <si>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</si>
  <si>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</si>
  <si>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</si>
  <si>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</si>
  <si>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</si>
  <si>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</si>
  <si>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</si>
  <si>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</si>
  <si>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</si>
  <si>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</si>
  <si>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</si>
  <si>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</si>
  <si>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</si>
  <si>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</si>
  <si>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</si>
  <si>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</si>
  <si>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</si>
  <si>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</si>
  <si>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</si>
  <si>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</si>
  <si>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</si>
  <si>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</si>
  <si>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</si>
  <si>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</si>
  <si>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</si>
  <si>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</si>
  <si>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</si>
  <si>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</si>
  <si>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</si>
  <si>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</si>
  <si>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</si>
  <si>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</si>
  <si>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</si>
  <si>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</si>
  <si>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</si>
  <si>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</si>
  <si>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</si>
  <si>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</si>
  <si>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</si>
  <si>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</si>
  <si>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</si>
  <si>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</si>
  <si>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</si>
  <si>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</si>
  <si>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</si>
  <si>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</si>
  <si>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</si>
  <si>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</si>
  <si>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</si>
  <si>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</si>
  <si>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</si>
  <si>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</si>
  <si>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</si>
  <si>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</si>
  <si>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</si>
  <si>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</si>
  <si>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</si>
  <si>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</si>
  <si>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</si>
  <si>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</si>
  <si>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</si>
  <si>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</si>
  <si>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</si>
  <si>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</si>
  <si>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</si>
  <si>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</si>
  <si>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</si>
  <si>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</si>
  <si>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</si>
  <si>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</si>
  <si>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</si>
  <si>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</si>
  <si>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</si>
  <si>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</si>
  <si>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</si>
  <si>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</si>
  <si>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</si>
  <si>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</si>
  <si>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</si>
  <si>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</si>
  <si>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</si>
  <si>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</si>
  <si>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</si>
  <si>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</si>
  <si>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</si>
  <si>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</si>
  <si>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</si>
  <si>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</si>
  <si>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</si>
  <si>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</si>
  <si>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</si>
  <si>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</si>
  <si>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</si>
  <si>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</si>
  <si>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</si>
  <si>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</si>
  <si>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</si>
  <si>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</si>
  <si>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</si>
  <si>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</si>
  <si>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</si>
  <si>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</si>
  <si>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</si>
  <si>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</si>
  <si>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</si>
  <si>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</si>
  <si>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</si>
  <si>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</si>
  <si>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</si>
  <si>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</si>
  <si>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</si>
  <si>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</si>
  <si>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</si>
  <si>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</si>
  <si>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</si>
  <si>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</si>
  <si>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</si>
  <si>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</si>
  <si>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</si>
  <si>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</si>
  <si>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</si>
  <si>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</si>
  <si>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</si>
  <si>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</si>
  <si>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</si>
  <si>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</si>
  <si>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</si>
  <si>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</si>
  <si>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</si>
  <si>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</si>
  <si>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</si>
  <si>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</si>
  <si>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</si>
  <si>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</si>
  <si>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</si>
  <si>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</si>
  <si>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</si>
  <si>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</si>
  <si>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</si>
  <si>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</si>
  <si>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</si>
  <si>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</si>
  <si>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</si>
  <si>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</si>
  <si>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</si>
  <si>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</si>
  <si>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</si>
  <si>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</si>
  <si>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</si>
  <si>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</si>
  <si>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</si>
  <si>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</si>
  <si>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</si>
  <si>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</si>
  <si>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</si>
  <si>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</si>
  <si>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</si>
  <si>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</si>
  <si>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</si>
  <si>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</si>
  <si>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</si>
  <si>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</si>
  <si>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</si>
  <si>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</si>
  <si>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</si>
  <si>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</si>
  <si>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</si>
  <si>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</si>
  <si>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</si>
  <si>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</si>
  <si>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</si>
  <si>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</si>
  <si>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</si>
  <si>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</si>
  <si>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</si>
  <si>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</si>
  <si>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</si>
  <si>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</si>
  <si>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</si>
  <si>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</si>
  <si>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</si>
  <si>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</si>
  <si>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</si>
  <si>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</si>
  <si>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</si>
  <si>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</si>
  <si>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</si>
  <si>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</si>
  <si>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</si>
  <si>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</si>
  <si>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</si>
  <si>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</si>
  <si>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</si>
  <si>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</si>
  <si>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</si>
  <si>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</si>
  <si>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</si>
  <si>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</si>
  <si>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</si>
  <si>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</si>
  <si>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</si>
  <si>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</si>
  <si>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</si>
  <si>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</si>
  <si>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</si>
  <si>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</si>
  <si>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</si>
  <si>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</si>
  <si>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</si>
  <si>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</si>
  <si>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</si>
  <si>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</si>
  <si>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</si>
  <si>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</si>
  <si>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</si>
  <si>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</si>
  <si>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</si>
  <si>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</si>
  <si>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</si>
  <si>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</si>
  <si>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</si>
  <si>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</si>
  <si>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</si>
  <si>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</si>
  <si>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</si>
  <si>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</si>
  <si>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</si>
  <si>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</si>
  <si>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</si>
  <si>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</si>
  <si>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</si>
  <si>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</si>
  <si>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</si>
  <si>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</si>
  <si>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</si>
  <si>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</si>
  <si>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</si>
  <si>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</si>
  <si>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</si>
  <si>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</si>
  <si>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</si>
  <si>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</si>
  <si>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</si>
  <si>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</si>
  <si>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</si>
  <si>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</si>
  <si>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</si>
  <si>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</si>
  <si>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</si>
  <si>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</si>
  <si>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</si>
  <si>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</si>
  <si>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</si>
  <si>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</si>
  <si>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</si>
  <si>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</si>
  <si>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</si>
  <si>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</si>
  <si>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</si>
  <si>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</si>
  <si>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</si>
  <si>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</si>
  <si>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</si>
  <si>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</si>
  <si>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</si>
  <si>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</si>
  <si>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</si>
  <si>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</si>
  <si>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</si>
  <si>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</si>
  <si>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</si>
  <si>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</si>
  <si>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</si>
  <si>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</si>
  <si>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</si>
  <si>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</si>
  <si>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</si>
  <si>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</si>
  <si>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</si>
  <si>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</si>
  <si>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</si>
  <si>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</si>
  <si>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</si>
  <si>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</si>
  <si>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</si>
  <si>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</si>
  <si>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</si>
  <si>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</si>
  <si>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</si>
  <si>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</si>
  <si>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</si>
  <si>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</si>
  <si>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</si>
  <si>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</si>
  <si>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</si>
  <si>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</si>
  <si>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</si>
  <si>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</si>
  <si>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</si>
  <si>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</si>
  <si>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</si>
  <si>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</si>
  <si>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</si>
  <si>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</si>
  <si>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</si>
  <si>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</si>
  <si>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</si>
  <si>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</si>
  <si>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</si>
  <si>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</si>
  <si>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</si>
  <si>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</si>
  <si>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</si>
  <si>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</si>
  <si>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</si>
  <si>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</si>
  <si>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</si>
  <si>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</si>
  <si>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</si>
  <si>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</si>
  <si>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</si>
  <si>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</si>
  <si>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</si>
  <si>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</si>
  <si>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</si>
  <si>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</si>
  <si>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</si>
  <si>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</si>
  <si>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</si>
  <si>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</si>
  <si>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</si>
  <si>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</si>
  <si>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</si>
  <si>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</si>
  <si>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</si>
  <si>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</si>
  <si>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</si>
  <si>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</si>
  <si>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</si>
  <si>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</si>
  <si>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</si>
  <si>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</si>
  <si>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</si>
  <si>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</si>
  <si>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</si>
  <si>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</si>
  <si>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</si>
  <si>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</si>
  <si>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</si>
  <si>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</si>
  <si>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</si>
  <si>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</si>
  <si>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</si>
  <si>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</si>
  <si>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</si>
  <si>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</si>
  <si>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</si>
  <si>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</si>
  <si>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</si>
  <si>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</si>
  <si>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</si>
  <si>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</si>
  <si>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</si>
  <si>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</si>
  <si>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</si>
  <si>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</si>
  <si>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</si>
  <si>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</si>
  <si>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</si>
  <si>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</si>
  <si>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</si>
  <si>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</si>
  <si>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</si>
  <si>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</si>
  <si>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</si>
  <si>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</si>
  <si>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</si>
  <si>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</si>
  <si>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</si>
  <si>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</si>
  <si>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</si>
  <si>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</si>
  <si>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</si>
  <si>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</si>
  <si>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</si>
  <si>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</si>
  <si>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</si>
  <si>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</si>
  <si>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</si>
  <si>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</si>
  <si>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</si>
  <si>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</si>
  <si>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</si>
  <si>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</si>
  <si>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</si>
  <si>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</si>
  <si>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</si>
  <si>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</si>
  <si>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</si>
  <si>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</si>
  <si>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</si>
  <si>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</si>
  <si>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</si>
  <si>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</si>
  <si>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</si>
  <si>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</si>
  <si>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</si>
  <si>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</si>
  <si>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</si>
  <si>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</si>
  <si>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</si>
  <si>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</si>
  <si>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</si>
  <si>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</si>
  <si>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</si>
  <si>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</si>
  <si>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</si>
  <si>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</si>
  <si>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</si>
  <si>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</si>
  <si>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</si>
  <si>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</si>
  <si>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</si>
  <si>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</si>
  <si>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</si>
  <si>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</si>
  <si>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</si>
  <si>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</si>
  <si>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</si>
  <si>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</si>
  <si>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</si>
  <si>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</si>
  <si>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</si>
  <si>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</si>
  <si>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</si>
  <si>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</si>
  <si>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</si>
  <si>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</si>
  <si>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</si>
  <si>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</si>
  <si>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</si>
  <si>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</si>
  <si>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</si>
  <si>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</si>
  <si>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</si>
  <si>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</si>
  <si>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</si>
  <si>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</si>
  <si>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</si>
  <si>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</si>
  <si>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</si>
  <si>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</si>
  <si>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</si>
  <si>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</si>
  <si>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</si>
  <si>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</si>
  <si>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</si>
  <si>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</si>
  <si>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</si>
  <si>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</si>
  <si>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</si>
  <si>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</si>
  <si>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</si>
  <si>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</si>
  <si>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</si>
  <si>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</si>
  <si>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</si>
  <si>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</si>
  <si>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</si>
  <si>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</si>
  <si>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</si>
  <si>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</si>
  <si>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</si>
  <si>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</si>
  <si>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</si>
  <si>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</si>
  <si>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</si>
  <si>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</si>
  <si>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</si>
  <si>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</si>
  <si>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</si>
  <si>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</si>
  <si>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</si>
  <si>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</si>
  <si>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</si>
  <si>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</si>
  <si>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</si>
  <si>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</si>
  <si>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</si>
  <si>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</si>
  <si>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</si>
  <si>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</si>
  <si>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</si>
  <si>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</si>
  <si>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</si>
  <si>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</si>
  <si>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</si>
  <si>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</si>
  <si>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</si>
  <si>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</si>
  <si>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</si>
  <si>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</si>
  <si>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</si>
  <si>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</si>
  <si>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</si>
  <si>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</si>
  <si>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</si>
  <si>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</si>
  <si>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</si>
  <si>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</si>
  <si>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</si>
  <si>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</si>
  <si>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</si>
  <si>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</si>
  <si>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</si>
  <si>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</si>
  <si>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</si>
  <si>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</si>
  <si>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</si>
  <si>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</si>
  <si>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</si>
  <si>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</si>
  <si>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</si>
  <si>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</si>
  <si>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</si>
  <si>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</si>
  <si>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</si>
  <si>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</si>
  <si>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</si>
  <si>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</si>
  <si>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</si>
  <si>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</si>
  <si>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</si>
  <si>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</si>
  <si>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</si>
  <si>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</si>
  <si>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</si>
  <si>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</si>
  <si>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</si>
  <si>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</si>
  <si>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</si>
  <si>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</si>
  <si>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</si>
  <si>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</si>
  <si>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</si>
  <si>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</si>
  <si>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</si>
  <si>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</si>
  <si>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</si>
  <si>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</si>
  <si>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</si>
  <si>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</si>
  <si>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</si>
  <si>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</si>
  <si>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</si>
  <si>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</si>
  <si>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</si>
  <si>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</si>
  <si>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</si>
  <si>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</si>
  <si>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</si>
  <si>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</si>
  <si>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</si>
  <si>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</si>
  <si>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</si>
  <si>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</si>
  <si>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</si>
  <si>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</si>
  <si>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</si>
  <si>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</si>
  <si>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</si>
  <si>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</si>
  <si>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</si>
  <si>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</si>
  <si>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</si>
  <si>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</si>
  <si>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</si>
  <si>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</si>
  <si>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</si>
  <si>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</si>
  <si>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</si>
  <si>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</si>
  <si>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</si>
  <si>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</si>
  <si>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</si>
  <si>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</si>
  <si>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</si>
  <si>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</si>
  <si>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</si>
  <si>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</si>
  <si>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</si>
  <si>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</si>
  <si>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</si>
  <si>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</si>
  <si>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</si>
  <si>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</si>
  <si>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</si>
  <si>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</si>
  <si>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</si>
  <si>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</si>
  <si>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</si>
  <si>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</si>
  <si>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</si>
  <si>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</si>
  <si>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</si>
  <si>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</si>
  <si>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</si>
  <si>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</si>
  <si>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</si>
  <si>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</si>
  <si>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</si>
  <si>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</si>
  <si>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</si>
  <si>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</si>
  <si>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</si>
  <si>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</si>
  <si>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</si>
  <si>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</si>
  <si>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</si>
  <si>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</si>
  <si>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</si>
  <si>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</si>
  <si>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</si>
  <si>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</si>
  <si>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</si>
  <si>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</si>
  <si>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</si>
  <si>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</si>
  <si>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</si>
  <si>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</si>
  <si>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</si>
  <si>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</si>
  <si>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</si>
  <si>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</si>
  <si>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</si>
  <si>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</si>
  <si>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</si>
  <si>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</si>
  <si>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</si>
  <si>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</si>
  <si>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</si>
  <si>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</si>
  <si>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</si>
  <si>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</si>
  <si>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</si>
  <si>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</si>
  <si>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</si>
  <si>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</si>
  <si>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</si>
  <si>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</si>
  <si>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</si>
  <si>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</si>
  <si>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</si>
  <si>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</si>
  <si>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</si>
  <si>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</si>
  <si>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</si>
  <si>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</si>
  <si>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</si>
  <si>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</si>
  <si>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</si>
  <si>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</si>
  <si>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</si>
  <si>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</si>
  <si>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</si>
  <si>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</si>
  <si>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</si>
  <si>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</si>
  <si>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</si>
  <si>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</si>
  <si>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</si>
  <si>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</si>
  <si>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</si>
  <si>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</si>
  <si>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</si>
  <si>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</si>
  <si>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</si>
  <si>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</si>
  <si>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</si>
  <si>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</si>
  <si>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</si>
  <si>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</si>
  <si>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</si>
  <si>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</si>
  <si>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</si>
  <si>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</si>
  <si>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</si>
  <si>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</si>
  <si>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</si>
  <si>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</si>
  <si>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</si>
  <si>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</si>
  <si>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</si>
  <si>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</si>
  <si>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</si>
  <si>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</si>
  <si>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</si>
  <si>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</si>
  <si>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</si>
  <si>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</si>
  <si>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</si>
  <si>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</si>
  <si>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</si>
  <si>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</si>
  <si>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</si>
  <si>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</si>
  <si>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</si>
  <si>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</si>
  <si>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</si>
  <si>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</si>
  <si>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</si>
  <si>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</si>
  <si>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</si>
  <si>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</si>
  <si>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</si>
  <si>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</si>
  <si>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</si>
  <si>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</si>
  <si>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</si>
  <si>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</si>
  <si>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</si>
  <si>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</si>
  <si>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</si>
  <si>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</si>
  <si>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</si>
  <si>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</si>
  <si>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</si>
  <si>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</si>
  <si>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</si>
  <si>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</si>
  <si>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</si>
  <si>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</si>
  <si>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</si>
  <si>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</si>
  <si>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</si>
  <si>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</si>
  <si>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</si>
  <si>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</si>
  <si>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</si>
  <si>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</si>
  <si>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</si>
  <si>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</si>
  <si>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</si>
  <si>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</si>
  <si>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</si>
  <si>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</si>
  <si>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</si>
  <si>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</si>
  <si>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</si>
  <si>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</si>
  <si>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</si>
  <si>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</si>
  <si>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</si>
  <si>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</si>
  <si>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</si>
  <si>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</si>
  <si>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</si>
  <si>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</si>
  <si>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</si>
  <si>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</si>
  <si>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</si>
  <si>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</si>
  <si>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</si>
  <si>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</si>
  <si>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</si>
  <si>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</si>
  <si>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</si>
  <si>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</si>
  <si>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</si>
  <si>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</si>
  <si>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</si>
  <si>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</si>
  <si>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</si>
  <si>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</si>
  <si>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</si>
  <si>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</si>
  <si>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</si>
  <si>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</si>
  <si>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</si>
  <si>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</si>
  <si>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</si>
  <si>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</si>
  <si>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</si>
  <si>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</si>
  <si>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</si>
  <si>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</si>
  <si>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</si>
  <si>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</si>
  <si>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</si>
  <si>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</si>
  <si>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</si>
  <si>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</si>
  <si>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</si>
  <si>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</si>
  <si>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</si>
  <si>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</si>
  <si>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</si>
  <si>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</si>
  <si>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</si>
  <si>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</si>
  <si>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</si>
  <si>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</si>
  <si>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</si>
  <si>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</si>
  <si>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</si>
  <si>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</si>
  <si>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</si>
  <si>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</si>
  <si>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</si>
  <si>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</si>
  <si>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</si>
  <si>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</si>
  <si>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</si>
  <si>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</si>
  <si>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</si>
  <si>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</si>
  <si>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</si>
  <si>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</si>
  <si>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</si>
  <si>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</si>
  <si>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</si>
  <si>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</si>
  <si>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</si>
  <si>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</si>
  <si>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</si>
  <si>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</si>
  <si>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</si>
  <si>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</si>
  <si>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</si>
  <si>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</si>
  <si>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</si>
  <si>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</si>
  <si>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</si>
  <si>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</si>
  <si>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</si>
  <si>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</si>
  <si>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</si>
  <si>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</si>
  <si>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</si>
  <si>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</si>
  <si>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</si>
  <si>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</si>
  <si>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</si>
  <si>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</si>
  <si>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</si>
  <si>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</si>
  <si>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</si>
  <si>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</si>
  <si>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</si>
  <si>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</si>
  <si>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</si>
  <si>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</si>
  <si>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</si>
  <si>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</si>
  <si>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</si>
  <si>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</si>
  <si>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</si>
  <si>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</si>
  <si>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</si>
  <si>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</si>
  <si>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</si>
  <si>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</si>
  <si>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</si>
  <si>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</si>
  <si>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</si>
  <si>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</si>
  <si>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</si>
  <si>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</si>
  <si>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</si>
  <si>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</si>
  <si>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</si>
  <si>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</si>
  <si>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</si>
  <si>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</si>
  <si>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</si>
  <si>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</si>
  <si>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</si>
  <si>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</si>
  <si>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</si>
  <si>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</si>
  <si>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</si>
  <si>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</si>
  <si>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</si>
  <si>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</si>
  <si>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</si>
  <si>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</si>
  <si>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</si>
  <si>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</si>
  <si>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</si>
  <si>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</si>
  <si>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</si>
  <si>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</si>
  <si>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</si>
  <si>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</si>
  <si>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</si>
  <si>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</si>
  <si>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</si>
  <si>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</si>
  <si>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</si>
  <si>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</si>
  <si>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</si>
  <si>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</si>
  <si>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</si>
  <si>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</si>
  <si>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</si>
  <si>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</si>
  <si>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</si>
  <si>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</si>
  <si>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</si>
  <si>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</si>
  <si>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</si>
  <si>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</si>
  <si>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</si>
  <si>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</si>
  <si>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</si>
  <si>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</si>
  <si>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</si>
  <si>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</si>
  <si>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</si>
  <si>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</si>
  <si>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</si>
  <si>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</si>
  <si>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</si>
  <si>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</si>
  <si>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</si>
  <si>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</si>
  <si>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</si>
  <si>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</si>
  <si>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</si>
  <si>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</si>
  <si>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</si>
  <si>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</si>
  <si>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</si>
  <si>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</si>
  <si>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</si>
  <si>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</si>
  <si>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</si>
  <si>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</si>
  <si>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</si>
  <si>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</si>
  <si>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</si>
  <si>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</si>
  <si>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</si>
  <si>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</si>
  <si>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</si>
  <si>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</si>
  <si>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</si>
  <si>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</si>
  <si>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</si>
  <si>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</si>
  <si>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</si>
  <si>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</si>
  <si>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</si>
  <si>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</si>
  <si>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</si>
  <si>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</si>
  <si>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</si>
  <si>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</si>
  <si>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</si>
  <si>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</si>
  <si>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</si>
  <si>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</si>
  <si>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</si>
  <si>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</si>
  <si>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</si>
  <si>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</si>
  <si>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</si>
  <si>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</si>
  <si>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</si>
  <si>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</si>
  <si>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</si>
  <si>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</si>
  <si>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</si>
  <si>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</si>
  <si>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</si>
  <si>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</si>
  <si>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</si>
  <si>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</si>
  <si>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</si>
  <si>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</si>
  <si>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</si>
  <si>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</si>
  <si>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</si>
  <si>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</si>
  <si>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</si>
  <si>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</si>
  <si>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</si>
  <si>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</si>
  <si>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</si>
  <si>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</si>
  <si>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</si>
  <si>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</si>
  <si>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</si>
  <si>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</si>
  <si>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</si>
  <si>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</si>
  <si>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</si>
  <si>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</si>
  <si>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</si>
  <si>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</si>
  <si>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</si>
  <si>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</si>
  <si>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</si>
  <si>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</si>
  <si>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</si>
  <si>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</si>
  <si>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</si>
  <si>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</si>
  <si>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</si>
  <si>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</si>
  <si>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</si>
  <si>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</si>
  <si>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</si>
  <si>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</si>
  <si>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</si>
  <si>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</si>
  <si>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</si>
  <si>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</si>
  <si>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</si>
  <si>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</si>
  <si>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</si>
  <si>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</si>
  <si>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</si>
  <si>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</si>
  <si>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</si>
  <si>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</si>
  <si>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</si>
  <si>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</si>
  <si>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</si>
  <si>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</si>
  <si>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</si>
  <si>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</si>
  <si>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</si>
  <si>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</si>
  <si>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</si>
  <si>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</si>
  <si>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</si>
  <si>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</si>
  <si>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</si>
  <si>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</si>
  <si>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</si>
  <si>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</si>
  <si>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</si>
  <si>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</si>
  <si>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</si>
  <si>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</si>
  <si>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</si>
  <si>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</si>
  <si>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</si>
  <si>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</si>
  <si>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</si>
  <si>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</si>
  <si>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</si>
  <si>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</si>
  <si>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</si>
  <si>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</si>
  <si>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</si>
  <si>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</si>
  <si>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</si>
  <si>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</si>
  <si>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</si>
  <si>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</si>
  <si>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</si>
  <si>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</si>
  <si>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</si>
  <si>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</si>
  <si>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</si>
  <si>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</si>
  <si>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</si>
  <si>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</si>
  <si>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</si>
  <si>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</si>
  <si>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</si>
  <si>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</si>
  <si>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</si>
  <si>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</si>
  <si>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</si>
  <si>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</si>
  <si>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</si>
  <si>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</si>
  <si>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</si>
  <si>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</si>
  <si>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</si>
  <si>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</si>
  <si>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</si>
  <si>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</si>
  <si>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</si>
  <si>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</si>
  <si>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</si>
  <si>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</si>
  <si>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</si>
  <si>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</si>
  <si>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</si>
  <si>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</si>
  <si>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</si>
  <si>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</si>
  <si>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</si>
  <si>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</si>
  <si>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</si>
  <si>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</si>
  <si>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</si>
  <si>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</si>
  <si>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</si>
  <si>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</si>
  <si>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</si>
  <si>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</si>
  <si>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</si>
  <si>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</si>
  <si>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</si>
  <si>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</si>
  <si>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</si>
  <si>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</si>
  <si>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</si>
  <si>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</si>
  <si>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</si>
  <si>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</si>
  <si>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</si>
  <si>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</si>
  <si>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</si>
  <si>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</si>
  <si>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</si>
  <si>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</si>
  <si>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</si>
  <si>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</si>
  <si>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</si>
  <si>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</si>
  <si>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</si>
  <si>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</si>
  <si>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</si>
  <si>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</si>
  <si>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</si>
  <si>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</si>
  <si>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</si>
  <si>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</si>
  <si>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</si>
  <si>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</si>
  <si>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</si>
  <si>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</si>
  <si>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</si>
  <si>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</si>
  <si>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</si>
  <si>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</si>
  <si>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</si>
  <si>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</si>
  <si>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</si>
  <si>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</si>
  <si>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</si>
  <si>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</si>
  <si>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</si>
  <si>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</si>
  <si>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</si>
  <si>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</si>
  <si>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</si>
  <si>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</si>
  <si>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</si>
  <si>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</si>
  <si>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</si>
  <si>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</si>
  <si>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</si>
  <si>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</si>
  <si>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</si>
  <si>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</si>
  <si>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</si>
  <si>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</si>
  <si>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</si>
  <si>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</si>
  <si>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</si>
  <si>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</si>
  <si>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</si>
  <si>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</si>
  <si>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</si>
  <si>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</si>
  <si>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</si>
  <si>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</si>
  <si>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</si>
  <si>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</si>
  <si>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</si>
  <si>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</si>
  <si>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</si>
  <si>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</si>
  <si>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</si>
  <si>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</si>
  <si>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</si>
  <si>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</si>
  <si>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</si>
  <si>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</si>
  <si>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</si>
  <si>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</si>
  <si>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</si>
  <si>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</si>
  <si>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</si>
  <si>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</si>
  <si>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</si>
  <si>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</si>
  <si>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</si>
  <si>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</si>
  <si>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</si>
  <si>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</si>
  <si>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</si>
  <si>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</si>
  <si>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</si>
  <si>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</si>
  <si>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</si>
  <si>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</si>
  <si>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</si>
  <si>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</si>
  <si>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</si>
  <si>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</si>
  <si>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</si>
  <si>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</si>
  <si>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</si>
  <si>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</si>
  <si>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</si>
  <si>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</si>
  <si>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</si>
  <si>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</si>
  <si>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</si>
  <si>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</si>
  <si>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</si>
  <si>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</si>
  <si>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</si>
  <si>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</si>
  <si>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</si>
  <si>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</si>
  <si>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</si>
  <si>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</si>
  <si>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</si>
  <si>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</si>
  <si>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</si>
  <si>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</si>
  <si>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</si>
  <si>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</si>
  <si>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</si>
  <si>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</si>
  <si>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</si>
  <si>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</si>
  <si>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</si>
  <si>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</si>
  <si>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</si>
  <si>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</si>
  <si>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</si>
  <si>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</si>
  <si>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</si>
  <si>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</si>
  <si>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</si>
  <si>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</si>
  <si>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</si>
  <si>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</si>
  <si>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</si>
  <si>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</si>
  <si>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</si>
  <si>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</si>
  <si>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</si>
  <si>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</si>
  <si>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</si>
  <si>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</si>
  <si>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</si>
  <si>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</si>
  <si>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</si>
  <si>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</si>
  <si>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</si>
  <si>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</si>
  <si>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</si>
  <si>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</si>
  <si>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</si>
  <si>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</si>
  <si>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</si>
  <si>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</si>
  <si>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</si>
  <si>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</si>
  <si>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</si>
  <si>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</si>
  <si>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</si>
  <si>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</si>
  <si>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</si>
  <si>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</si>
  <si>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</si>
  <si>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</si>
  <si>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</si>
  <si>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</si>
  <si>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</si>
  <si>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</si>
  <si>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</si>
  <si>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</si>
  <si>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</si>
  <si>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</si>
  <si>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</si>
  <si>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</si>
  <si>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</si>
  <si>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</si>
  <si>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</si>
  <si>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</si>
  <si>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</si>
  <si>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</si>
  <si>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</si>
  <si>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</si>
  <si>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</si>
  <si>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</si>
  <si>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</si>
  <si>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</si>
  <si>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</si>
  <si>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</si>
  <si>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</si>
  <si>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</si>
  <si>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</si>
  <si>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</si>
  <si>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</si>
  <si>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</si>
  <si>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</si>
  <si>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</si>
  <si>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</si>
  <si>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</si>
  <si>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</si>
  <si>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</si>
  <si>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</si>
  <si>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</si>
  <si>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</si>
  <si>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</si>
  <si>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</si>
  <si>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</si>
  <si>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</si>
  <si>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</si>
  <si>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</si>
  <si>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</si>
  <si>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</si>
  <si>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</si>
  <si>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</si>
  <si>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</si>
  <si>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</si>
  <si>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</si>
  <si>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</si>
  <si>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</si>
  <si>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</si>
  <si>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</si>
  <si>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</si>
  <si>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</si>
  <si>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</si>
  <si>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</si>
  <si>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</si>
  <si>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</si>
  <si>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</si>
  <si>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</si>
  <si>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</si>
  <si>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</si>
  <si>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</si>
  <si>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</si>
  <si>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</si>
  <si>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</si>
  <si>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</si>
  <si>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</si>
  <si>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</si>
  <si>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</si>
  <si>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</si>
  <si>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</si>
  <si>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</si>
  <si>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</si>
  <si>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</si>
  <si>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</si>
  <si>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</si>
  <si>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</si>
  <si>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</si>
  <si>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</si>
  <si>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</si>
  <si>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</si>
  <si>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</si>
  <si>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</si>
  <si>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</si>
  <si>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</si>
  <si>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</si>
  <si>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</si>
  <si>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</si>
  <si>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</si>
  <si>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</si>
  <si>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</si>
  <si>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</si>
  <si>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</si>
  <si>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</si>
  <si>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</si>
  <si>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</si>
  <si>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</si>
  <si>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</si>
  <si>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</si>
  <si>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</si>
  <si>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</si>
  <si>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</si>
  <si>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</si>
  <si>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</si>
  <si>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</si>
  <si>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</si>
  <si>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</si>
  <si>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</si>
  <si>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</si>
  <si>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</si>
  <si>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</si>
  <si>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</si>
  <si>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</si>
  <si>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</si>
  <si>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</si>
  <si>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</si>
  <si>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</si>
  <si>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</si>
  <si>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</si>
  <si>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</si>
  <si>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</si>
  <si>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</si>
  <si>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</si>
  <si>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</si>
  <si>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</si>
  <si>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</si>
  <si>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</si>
  <si>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</si>
  <si>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</si>
  <si>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</si>
  <si>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</si>
  <si>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</si>
  <si>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</si>
  <si>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</si>
  <si>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</si>
  <si>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</si>
  <si>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</si>
  <si>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</si>
  <si>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</si>
  <si>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</si>
  <si>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</si>
  <si>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</si>
  <si>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</si>
  <si>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</si>
  <si>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</si>
  <si>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</si>
  <si>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</si>
  <si>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</si>
  <si>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</si>
  <si>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</si>
  <si>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</si>
  <si>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</si>
  <si>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</si>
  <si>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</si>
  <si>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</si>
  <si>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</si>
  <si>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</si>
  <si>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</si>
  <si>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</si>
  <si>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</si>
  <si>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</si>
  <si>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</si>
  <si>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</si>
  <si>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</si>
  <si>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</si>
  <si>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</si>
  <si>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</si>
  <si>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</si>
  <si>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</si>
  <si>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</si>
  <si>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</si>
  <si>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</si>
  <si>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</si>
  <si>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</si>
  <si>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</si>
  <si>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</si>
  <si>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</si>
  <si>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</si>
  <si>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</si>
  <si>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</si>
  <si>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</si>
  <si>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</si>
  <si>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</si>
  <si>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</si>
  <si>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</si>
  <si>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</si>
  <si>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</si>
  <si>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</si>
  <si>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</si>
  <si>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</si>
  <si>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</si>
  <si>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</si>
  <si>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</si>
  <si>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</si>
  <si>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</si>
  <si>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</si>
  <si>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</si>
  <si>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</si>
  <si>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</si>
  <si>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</si>
  <si>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</si>
  <si>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</si>
  <si>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</si>
  <si>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</si>
  <si>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</si>
  <si>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</si>
  <si>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</si>
  <si>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</si>
  <si>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</si>
  <si>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</si>
  <si>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</si>
  <si>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</si>
  <si>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</si>
  <si>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</si>
  <si>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</si>
  <si>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</si>
  <si>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</si>
  <si>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</si>
  <si>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</si>
  <si>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</si>
  <si>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</si>
  <si>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</si>
  <si>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</si>
  <si>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</si>
  <si>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</si>
  <si>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</si>
  <si>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</si>
  <si>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</si>
  <si>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</si>
  <si>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</si>
  <si>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</si>
  <si>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</si>
  <si>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</si>
  <si>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</si>
  <si>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</si>
  <si>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</si>
  <si>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</si>
  <si>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</si>
  <si>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</si>
  <si>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</si>
  <si>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</si>
  <si>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</si>
  <si>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</si>
  <si>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</si>
  <si>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</si>
  <si>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</si>
  <si>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</si>
  <si>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</si>
  <si>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</si>
  <si>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</si>
  <si>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</si>
  <si>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</si>
  <si>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</si>
  <si>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</si>
  <si>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</si>
  <si>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</si>
  <si>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</si>
  <si>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</si>
  <si>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</si>
  <si>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</si>
  <si>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</si>
  <si>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</si>
  <si>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</si>
  <si>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</si>
  <si>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</si>
  <si>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</si>
  <si>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</si>
  <si>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</si>
  <si>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</si>
  <si>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</si>
  <si>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</si>
  <si>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</si>
  <si>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</si>
  <si>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</si>
  <si>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</si>
  <si>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</si>
  <si>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</si>
  <si>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</si>
  <si>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</si>
  <si>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</si>
  <si>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</si>
  <si>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</si>
  <si>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</si>
  <si>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</si>
  <si>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</si>
  <si>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</si>
  <si>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</si>
  <si>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</si>
  <si>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</si>
  <si>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</si>
  <si>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</si>
  <si>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</si>
  <si>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</si>
  <si>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</si>
  <si>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</si>
  <si>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</si>
  <si>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</si>
  <si>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</si>
  <si>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</si>
  <si>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</si>
  <si>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</si>
  <si>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</si>
  <si>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</si>
  <si>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</si>
  <si>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</si>
  <si>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</si>
  <si>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</si>
  <si>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</si>
  <si>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</si>
  <si>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</si>
  <si>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</si>
  <si>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</si>
  <si>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</si>
  <si>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</si>
  <si>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</si>
  <si>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</si>
  <si>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</si>
  <si>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</si>
  <si>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</si>
  <si>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3590 Elm Avenue</t>
  </si>
  <si>
    <t>Long Beach</t>
  </si>
  <si>
    <t>CA</t>
  </si>
  <si>
    <t>Linc Housing Corporation (as Sole Member of LINC-Hill Street LLC, the Managing General Partner of LINC-Hill Street, L.P.)</t>
  </si>
  <si>
    <t>Hill Street</t>
  </si>
  <si>
    <t>July</t>
  </si>
  <si>
    <t>Cecilia Ngo</t>
  </si>
  <si>
    <t>VP of Housing Development</t>
  </si>
  <si>
    <t>City of Belmont</t>
  </si>
  <si>
    <t>Afshin Oskoui, P.E.</t>
  </si>
  <si>
    <t>One Twin Pines Lane, Suite 340</t>
  </si>
  <si>
    <t>Belmont</t>
  </si>
  <si>
    <t>(650) 595-7408</t>
  </si>
  <si>
    <t>(650) 593-8394</t>
  </si>
  <si>
    <t>aoskoui@belmont.gov</t>
  </si>
  <si>
    <t>876, 884, 898, and 900 El Camino Real</t>
  </si>
  <si>
    <t>045-162-070, 045-162-080, 045-162-090, 045-163-070</t>
  </si>
  <si>
    <t>40%/60% Average Income</t>
  </si>
  <si>
    <t>cngo@linchousing.org</t>
  </si>
  <si>
    <t>LINC-Hill Street, LLC</t>
  </si>
  <si>
    <t>Managing GP</t>
  </si>
  <si>
    <t>Linc Housing Corporation</t>
  </si>
  <si>
    <t>No other partners</t>
  </si>
  <si>
    <t>Sheena Rodriguez</t>
  </si>
  <si>
    <t>(562)684-1121</t>
  </si>
  <si>
    <t>(562)564-1134</t>
  </si>
  <si>
    <t>srodriguez@linchousing.org</t>
  </si>
  <si>
    <t>Developer, General Partner</t>
  </si>
  <si>
    <t>Long Beach, CA 90807</t>
  </si>
  <si>
    <t>TBD</t>
  </si>
  <si>
    <t>Carle, Mackie, Power &amp; Ross LLP</t>
  </si>
  <si>
    <t>100 B Street, Suite 400</t>
  </si>
  <si>
    <t>Santa Rosa, CA 95401</t>
  </si>
  <si>
    <t>Stephen-Bela Cooper</t>
  </si>
  <si>
    <t>scooper@cmprlaw.com</t>
  </si>
  <si>
    <t>(707)526-4200</t>
  </si>
  <si>
    <t>(707)526-4707</t>
  </si>
  <si>
    <t>Torti Gallas + Partners</t>
  </si>
  <si>
    <t>601 West 5th Street, Suite 600</t>
  </si>
  <si>
    <t>Los Angeles, CA 90071</t>
  </si>
  <si>
    <t>Neal I. Payton</t>
  </si>
  <si>
    <t>(213)607-0053</t>
  </si>
  <si>
    <t>npayton@tortigallas.com</t>
  </si>
  <si>
    <t>Holthouse Carlin &amp; Van Trigt LLP</t>
  </si>
  <si>
    <t>400 W Ventura Blvd., Suite #250</t>
  </si>
  <si>
    <t>Camarillo, CA 93010</t>
  </si>
  <si>
    <t>David Bierhorst</t>
  </si>
  <si>
    <t>daveb@hcvt.com</t>
  </si>
  <si>
    <t>(805)374-8555</t>
  </si>
  <si>
    <t>(805)413-1749</t>
  </si>
  <si>
    <t>California Housing Partnership Corporation</t>
  </si>
  <si>
    <t>600 Wilshire Blvd, Suite 890</t>
  </si>
  <si>
    <t>Los Angeles, CA 90012</t>
  </si>
  <si>
    <t>Nicole Norori</t>
  </si>
  <si>
    <t>nnorori@chpc.net</t>
  </si>
  <si>
    <t>(213)892-8775</t>
  </si>
  <si>
    <t>(213)832-8775</t>
  </si>
  <si>
    <t>Kinetic Valuation Group</t>
  </si>
  <si>
    <t>11060 Oak Street, Suite 6</t>
  </si>
  <si>
    <t>Omaha, NE 68144</t>
  </si>
  <si>
    <t>Jay A. Wortmann, MAI</t>
  </si>
  <si>
    <t>jay@kvgteam.com</t>
  </si>
  <si>
    <t>Buss-Shelger Associates</t>
  </si>
  <si>
    <t>970 W. 190th St., Suite 350</t>
  </si>
  <si>
    <t>Torrance, CA 90502</t>
  </si>
  <si>
    <t>Ronald L. Buss</t>
  </si>
  <si>
    <t>bussshelger@pacbell.net</t>
  </si>
  <si>
    <t>(402)202-0771</t>
  </si>
  <si>
    <t>(213)388-7272</t>
  </si>
  <si>
    <t>(213)254-9032</t>
  </si>
  <si>
    <t>Not Applicable</t>
  </si>
  <si>
    <t>Afshin Oskoui</t>
  </si>
  <si>
    <t>One Twin Pines Lane, Suite 340, Belmont, CA 94002</t>
  </si>
  <si>
    <t>Inner City Infill Site</t>
  </si>
  <si>
    <t>Commercial Residential</t>
  </si>
  <si>
    <t>C2 and C3, 2.0 Base FAR, 3.23 with Density Bonus</t>
  </si>
  <si>
    <t>N/A - Zoning is in place</t>
  </si>
  <si>
    <t>Density Bonus, 15 bonus units and SB-35 eliminates parking requirements since development is within one-half mile of public transit.</t>
  </si>
  <si>
    <t>50' per code, 63' with Density Bonus</t>
  </si>
  <si>
    <t>Entitlements</t>
  </si>
  <si>
    <t>County of San Mateo AHF R.6 Loan</t>
  </si>
  <si>
    <t>County of San Mateo AHF R.7 Loan</t>
  </si>
  <si>
    <t>Construction Loan - Wells Fargo</t>
  </si>
  <si>
    <t>City of Belmont Residual Receipts Loan</t>
  </si>
  <si>
    <t>City of Belmont Land Donation Value</t>
  </si>
  <si>
    <t>Tax Credit Equity</t>
  </si>
  <si>
    <t>Costs Deferred Until Completion</t>
  </si>
  <si>
    <t>GP Capital - Sponsor</t>
  </si>
  <si>
    <t>Variable</t>
  </si>
  <si>
    <t>Fixed</t>
  </si>
  <si>
    <t>333 S. Grand Avenue, 9th Floor</t>
  </si>
  <si>
    <t>Jessica Gonzalez</t>
  </si>
  <si>
    <t>(747)260-4646</t>
  </si>
  <si>
    <t>75 E Santa Clara Street, Suite 1350</t>
  </si>
  <si>
    <t>San Jose</t>
  </si>
  <si>
    <t>Stephaney Kipple</t>
  </si>
  <si>
    <t xml:space="preserve">(408)703-3816  </t>
  </si>
  <si>
    <t>264 Harbor Boulevard, Bldg. A</t>
  </si>
  <si>
    <t>Jan Stokley</t>
  </si>
  <si>
    <t>(650)802-3397</t>
  </si>
  <si>
    <t>Residual Receipts Loan</t>
  </si>
  <si>
    <t>3590 Elm Ave</t>
  </si>
  <si>
    <t>GP Equity</t>
  </si>
  <si>
    <t>Air Conditioning</t>
  </si>
  <si>
    <t>Housing Authority of the County of San Mateo</t>
  </si>
  <si>
    <t>Misc. Admin/Telephone, Cable/Internet</t>
  </si>
  <si>
    <t>Processing/Travel/Taxes/Benefits/Workers Comp.</t>
  </si>
  <si>
    <t>Supplies/Misc.</t>
  </si>
  <si>
    <t>Franchise Tax Board</t>
  </si>
  <si>
    <t>Housing Authority of the County of San Mateo (HACSM)</t>
  </si>
  <si>
    <t>Project-based vouchers (PBVs)</t>
  </si>
  <si>
    <t>Low-income families and individuals</t>
  </si>
  <si>
    <t>City of Belmont - Land and Loan</t>
  </si>
  <si>
    <t>Apple Loan - HTSV</t>
  </si>
  <si>
    <t>County of San Mateo HOME Loan</t>
  </si>
  <si>
    <t>County of San Mateo AHF R.12 Loan</t>
  </si>
  <si>
    <t>Deferred Developer Fee</t>
  </si>
  <si>
    <t>(562) 564-1134</t>
  </si>
  <si>
    <t>California Community Reinvestment Corporation (Perm)</t>
  </si>
  <si>
    <t>County of San Mateo (AHF R.12)</t>
  </si>
  <si>
    <t>County of San Mateo (HOME)</t>
  </si>
  <si>
    <t>City of Belmont Loan</t>
  </si>
  <si>
    <t>City of Belmont Land Donation</t>
  </si>
  <si>
    <t>100 West Broadway, Suite 1000</t>
  </si>
  <si>
    <t>Glendale, CA 91210</t>
  </si>
  <si>
    <t>Aaron Smith</t>
  </si>
  <si>
    <t>(818) 550-9811</t>
  </si>
  <si>
    <t>(650) 802-3397</t>
  </si>
  <si>
    <t>San Jose, CA</t>
  </si>
  <si>
    <t>Belmont, CA</t>
  </si>
  <si>
    <t>County of San Mateo - AHF 6,7,12</t>
  </si>
  <si>
    <t>Linc Housing Corporation, sole member and manager of LINC-HILL STREET LLC, general partner</t>
  </si>
  <si>
    <t>SamTrans Bus Stop #342053</t>
  </si>
  <si>
    <t>El Camino Real at Ralston Avenue</t>
  </si>
  <si>
    <t>Belmont, 94002</t>
  </si>
  <si>
    <t>Administrative Officer</t>
  </si>
  <si>
    <t>650-508-200</t>
  </si>
  <si>
    <t>https://www.samtrans.com/</t>
  </si>
  <si>
    <t>Twin Pines Park</t>
  </si>
  <si>
    <t xml:space="preserve">1 Twin Pines Place </t>
  </si>
  <si>
    <t>Brigitte Shearer, Dir. Parks and Recreation</t>
  </si>
  <si>
    <t>650-595-7441</t>
  </si>
  <si>
    <t>https://www.belmont.gov/Home/Components/FacilityDirectory/Facility
Directory/208/702</t>
  </si>
  <si>
    <t>Safeway Grocery Store</t>
  </si>
  <si>
    <t>1100 El Camino Real</t>
  </si>
  <si>
    <t>Store Manager</t>
  </si>
  <si>
    <t>650-596-1730</t>
  </si>
  <si>
    <t>https://local.safeway.com/safeway/ca/belmont/1100-el-camino.html</t>
  </si>
  <si>
    <t>Safeway Pharmacy</t>
  </si>
  <si>
    <t>Pharmacist</t>
  </si>
  <si>
    <t>https://local.pharmacy.safeway.com/safeway/ca/belmont/1100-elcamino.
Html</t>
  </si>
  <si>
    <t>Highest Resource Area</t>
  </si>
  <si>
    <t>900 El Camino Real</t>
  </si>
  <si>
    <t>Cynthia Compton</t>
  </si>
  <si>
    <t>916-651-0570</t>
  </si>
  <si>
    <t>https://belonging.berkeley.edu/2023-ctcac-hcd-opportunity-map</t>
  </si>
  <si>
    <t>Enterprise</t>
  </si>
  <si>
    <t>11000 Broken Land Parkway</t>
  </si>
  <si>
    <t>Columbia, MD 21044</t>
  </si>
  <si>
    <t>Reagan Maechling</t>
  </si>
  <si>
    <t>(213)787-8238</t>
  </si>
  <si>
    <t>rmaechling@enterprisecommunity.com</t>
  </si>
  <si>
    <t>2499 W Shaw Ave, Suite #103</t>
  </si>
  <si>
    <t>Fresno, CA 93711</t>
  </si>
  <si>
    <t>Oke Johnson</t>
  </si>
  <si>
    <t>(571)237-2044</t>
  </si>
  <si>
    <t>okejohnson@winnco.com</t>
  </si>
  <si>
    <t>County of San Mateo AHF R.6 &amp; 7 Loan</t>
  </si>
  <si>
    <t>333 Bush Street, Suite 2700</t>
  </si>
  <si>
    <t>Sara Perez</t>
  </si>
  <si>
    <t>(415)616-2597</t>
  </si>
  <si>
    <t>Columbia</t>
  </si>
  <si>
    <t>County of San Mateo (AHF R.6 &amp; R.7)</t>
  </si>
  <si>
    <t>Apple - Housing Trust of Silicon Valley</t>
  </si>
  <si>
    <t>County of San Mateo - HOME/CDBG</t>
  </si>
  <si>
    <t>Other: Lender Expenses</t>
  </si>
  <si>
    <t>Other: Other Consultants &amp; Security</t>
  </si>
  <si>
    <t>Other: Environmental Remediation</t>
  </si>
  <si>
    <t>Other: Utility Fees, Lease-up and Resident Services Fees, Title/Recording/Escrow-Acquisition</t>
  </si>
  <si>
    <t>County of San Mateo AHF Round 6 RR Loan</t>
  </si>
  <si>
    <t>County of San Mateo AHF Round 7 RR Loan</t>
  </si>
  <si>
    <t>County of San Mateo AHF Round 12 RR Loan</t>
  </si>
  <si>
    <t>County HOME funds</t>
  </si>
  <si>
    <t>AHP Funds</t>
  </si>
  <si>
    <t>1 bedroom</t>
  </si>
  <si>
    <t>Other: 6-month Operating Reserve</t>
  </si>
  <si>
    <t>WinnResidential</t>
  </si>
  <si>
    <t>Below Market Construction Loan</t>
  </si>
  <si>
    <t>Below Market Permanent Loan</t>
  </si>
  <si>
    <t>Housing Authority of the County of San Mateo (HACSM) Project-Based Vouchers;  City of Belmont Development and Land Loan; County of San Mateo - HOME/CDBG; SB35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</si>
</sst>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vertic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2" workbookViewId="0">
      <selection sqref="A1:AL2"/>
    </sheetView>
  </sheetViews>
  <sheetFormatPr defaultColWidth="0" defaultRowHeight="13.2" zeroHeight="1"/>
  <cols>
    <col min="1" max="38" width="2.44140625" customWidth="1"/>
    <col min="39" max="16384" width="8.88671875" hidden="1"/>
  </cols>
  <sheetData>
    <row r="1" spans="1:38">
      <c r="A1" s="980" t="s">
        <v>1861</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0" t="s">
        <v>2144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65" customHeight="1">
      <c r="A19" s="5"/>
      <c r="C19" s="3"/>
      <c r="D19" s="970" t="s">
        <v>2304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2293</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2294</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2005</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1277</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1134</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1677</v>
      </c>
      <c r="F36" s="970" t="s">
        <v>1678</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2145</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0" t="s">
        <v>2146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9" t="s">
        <v>2147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196</v>
      </c>
      <c r="G51" s="979" t="s">
        <v>2148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0" t="s">
        <v>1681</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196</v>
      </c>
      <c r="G61" s="970" t="s">
        <v>1680</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0" t="s">
        <v>1682</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196</v>
      </c>
      <c r="G67" s="970" t="s">
        <v>1683</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1696</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1697</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0" t="s">
        <v>1684</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1685</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0" t="s">
        <v>1689</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1690</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1691</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1692</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0" t="s">
        <v>1693</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0" t="s">
        <v>1694</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8" t="s">
        <v>1695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1862</v>
      </c>
      <c r="H117" s="3"/>
      <c r="I117" s="3"/>
      <c r="K117" s="3"/>
    </row>
    <row r="118" spans="1:38">
      <c r="B118" s="3"/>
      <c r="C118" s="3"/>
      <c r="D118" s="3" t="s">
        <v>818</v>
      </c>
      <c r="E118" s="3" t="s">
        <v>1862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1171</v>
      </c>
    </row>
    <row r="128" spans="1:38">
      <c r="E128" s="5"/>
      <c r="F128" s="5" t="s">
        <v>1197</v>
      </c>
    </row>
    <row r="129" spans="2:14"/>
    <row r="130" spans="2:14">
      <c r="E130" t="s">
        <v>430</v>
      </c>
      <c r="F130" s="269" t="s">
        <v>1172</v>
      </c>
    </row>
    <row r="131" spans="2:14">
      <c r="F131" s="5" t="s">
        <v>1048</v>
      </c>
      <c r="G131" s="5"/>
    </row>
    <row r="132" spans="2:14">
      <c r="F132" s="659" t="s">
        <v>1863</v>
      </c>
      <c r="G132" s="659"/>
    </row>
    <row r="133" spans="2:14">
      <c r="G133" s="659"/>
    </row>
    <row r="134" spans="2:14">
      <c r="E134" s="5" t="s">
        <v>170</v>
      </c>
      <c r="F134" s="269" t="s">
        <v>509</v>
      </c>
    </row>
    <row r="135" spans="2:14">
      <c r="E135" s="5"/>
      <c r="F135" s="5" t="s">
        <v>1297</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1173</v>
      </c>
      <c r="F139" s="5"/>
    </row>
    <row r="140" spans="2:14"/>
    <row r="141" spans="2:14">
      <c r="D141" s="3" t="s">
        <v>464</v>
      </c>
      <c r="E141" s="3" t="s">
        <v>9</v>
      </c>
    </row>
    <row r="142" spans="2:14">
      <c r="E142" s="41" t="s">
        <v>1173</v>
      </c>
      <c r="F142" s="5"/>
    </row>
    <row r="143" spans="2:14"/>
    <row r="144" spans="2:14">
      <c r="D144" s="3" t="s">
        <v>849</v>
      </c>
      <c r="E144" s="3" t="s">
        <v>867</v>
      </c>
      <c r="G144" s="3"/>
      <c r="H144" s="3"/>
      <c r="I144" s="3"/>
      <c r="J144" s="3"/>
      <c r="K144" s="3"/>
      <c r="L144" s="3"/>
      <c r="M144" s="3"/>
      <c r="N144" s="3"/>
    </row>
    <row r="145" spans="4:37">
      <c r="E145" s="970" t="s">
        <v>1698</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2150</v>
      </c>
    </row>
    <row r="155" spans="4:37">
      <c r="E155" t="s">
        <v>899</v>
      </c>
      <c r="F155" t="s">
        <v>503</v>
      </c>
    </row>
    <row r="156" spans="4:37">
      <c r="E156" t="s">
        <v>900</v>
      </c>
      <c r="F156" t="s">
        <v>365</v>
      </c>
    </row>
    <row r="157" spans="4:37">
      <c r="F157" t="s">
        <v>820</v>
      </c>
      <c r="G157" s="41" t="s">
        <v>2151</v>
      </c>
    </row>
    <row r="158" spans="4:37">
      <c r="F158" t="s">
        <v>71</v>
      </c>
      <c r="G158" s="970" t="s">
        <v>1699</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729</v>
      </c>
      <c r="E161" s="3" t="s">
        <v>2152</v>
      </c>
    </row>
    <row r="162" spans="3:9">
      <c r="E162" s="754" t="s">
        <v>2153</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1175</v>
      </c>
    </row>
    <row r="170" spans="3:9">
      <c r="E170" s="5" t="s">
        <v>1174</v>
      </c>
      <c r="G170" s="5"/>
    </row>
    <row r="171" spans="3:9"/>
    <row r="172" spans="3:9">
      <c r="D172" s="3" t="s">
        <v>849</v>
      </c>
      <c r="E172" s="3" t="s">
        <v>632</v>
      </c>
    </row>
    <row r="173" spans="3:9">
      <c r="E173" t="s">
        <v>899</v>
      </c>
      <c r="F173" s="5" t="s">
        <v>1176</v>
      </c>
    </row>
    <row r="174" spans="3:9">
      <c r="E174" s="5" t="s">
        <v>900</v>
      </c>
      <c r="F174" s="5" t="s">
        <v>1177</v>
      </c>
    </row>
    <row r="175" spans="3:9">
      <c r="E175" s="5" t="s">
        <v>906</v>
      </c>
      <c r="F175" t="s">
        <v>868</v>
      </c>
    </row>
    <row r="176" spans="3:9"/>
    <row r="177" spans="3:20">
      <c r="D177" s="3" t="s">
        <v>748</v>
      </c>
      <c r="E177" s="3" t="s">
        <v>512</v>
      </c>
    </row>
    <row r="178" spans="3:20">
      <c r="E178" s="5" t="s">
        <v>1178</v>
      </c>
    </row>
    <row r="179" spans="3:20"/>
    <row r="180" spans="3:20">
      <c r="D180" s="3" t="s">
        <v>501</v>
      </c>
      <c r="E180" s="3" t="s">
        <v>452</v>
      </c>
    </row>
    <row r="181" spans="3:20">
      <c r="E181" s="5" t="s">
        <v>1179</v>
      </c>
    </row>
    <row r="182" spans="3:20">
      <c r="E182" s="5" t="s">
        <v>1180</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1181</v>
      </c>
    </row>
    <row r="195" spans="2:14">
      <c r="F195" s="158" t="s">
        <v>1574</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1803</v>
      </c>
    </row>
    <row r="201" spans="2:14">
      <c r="B201" s="5"/>
      <c r="C201" s="5"/>
      <c r="E201" s="5" t="s">
        <v>315</v>
      </c>
      <c r="F201" s="5"/>
      <c r="I201" s="5"/>
    </row>
    <row r="202" spans="2:14">
      <c r="B202" s="5"/>
      <c r="C202" s="5"/>
      <c r="E202" s="5" t="s">
        <v>1298</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1182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1184</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1186</v>
      </c>
      <c r="I220" s="5"/>
      <c r="J220" s="5"/>
      <c r="M220" s="5"/>
      <c r="N220" s="5"/>
      <c r="O220" s="5"/>
      <c r="P220" s="5"/>
      <c r="Q220" s="5"/>
      <c r="R220" s="5"/>
      <c r="S220" s="5"/>
      <c r="T220" s="5"/>
      <c r="U220" s="5"/>
      <c r="V220" s="5"/>
      <c r="W220" s="5"/>
      <c r="X220" s="5"/>
      <c r="Y220" s="5"/>
    </row>
    <row r="221" spans="2:37">
      <c r="B221" s="5"/>
      <c r="C221" s="5"/>
      <c r="D221" s="3"/>
      <c r="E221" s="5" t="s">
        <v>430</v>
      </c>
      <c r="F221" s="5" t="s">
        <v>1185</v>
      </c>
      <c r="M221" s="5"/>
      <c r="N221" s="5"/>
      <c r="O221" s="5"/>
      <c r="P221" s="5"/>
      <c r="Q221" s="5"/>
      <c r="R221" s="5"/>
      <c r="S221" s="5"/>
    </row>
    <row r="222" spans="2:37">
      <c r="B222" s="5"/>
      <c r="C222" s="5"/>
      <c r="D222" s="3"/>
      <c r="F222" t="s">
        <v>820</v>
      </c>
      <c r="G222" s="970" t="s">
        <v>1700</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0" t="s">
        <v>2305</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900</v>
      </c>
      <c r="F235" s="5" t="s">
        <v>244</v>
      </c>
      <c r="G235" s="5"/>
      <c r="H235" s="5"/>
      <c r="I235" s="5"/>
      <c r="M235" s="5"/>
      <c r="N235" s="5"/>
      <c r="O235" s="5"/>
      <c r="P235" s="5"/>
      <c r="Q235" s="5"/>
      <c r="R235" s="5"/>
      <c r="S235" s="5"/>
    </row>
    <row r="236" spans="1:38">
      <c r="B236" s="5"/>
      <c r="C236" s="5"/>
      <c r="F236" s="5" t="s">
        <v>820</v>
      </c>
      <c r="G236" s="970" t="s">
        <v>1701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1198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1577</v>
      </c>
      <c r="G253" s="5"/>
      <c r="J253" s="5"/>
      <c r="K253" s="5"/>
      <c r="L253" s="5"/>
      <c r="M253" s="5"/>
      <c r="N253" s="5"/>
      <c r="O253" s="5"/>
      <c r="P253" s="5"/>
      <c r="Q253" s="5"/>
      <c r="R253" s="5"/>
      <c r="S253" s="5"/>
      <c r="T253" s="5"/>
      <c r="U253" s="5"/>
    </row>
    <row r="254" spans="2:21">
      <c r="B254" s="3"/>
      <c r="C254" s="3"/>
      <c r="E254" s="5" t="s">
        <v>900</v>
      </c>
      <c r="F254" s="5" t="s">
        <v>1187</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1192</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1909</v>
      </c>
      <c r="J275" s="5"/>
      <c r="K275" s="5"/>
      <c r="L275" s="5"/>
      <c r="M275" s="5"/>
      <c r="N275" s="5"/>
      <c r="O275" s="5"/>
      <c r="P275" s="5"/>
      <c r="Q275" s="5"/>
      <c r="R275" s="5"/>
      <c r="S275" s="5"/>
      <c r="T275" s="5"/>
      <c r="U275" s="5"/>
    </row>
    <row r="276" spans="2:21">
      <c r="B276" s="3"/>
      <c r="D276" s="5"/>
      <c r="E276" s="41" t="s">
        <v>1910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1188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1575</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1576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1189</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1190</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1214</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1191</v>
      </c>
      <c r="I306" s="158"/>
      <c r="J306" s="158"/>
      <c r="K306" s="158"/>
      <c r="L306" s="158"/>
      <c r="M306" s="5"/>
      <c r="N306" s="5"/>
      <c r="O306" s="5"/>
      <c r="P306" s="5"/>
      <c r="Q306" s="5"/>
      <c r="R306" s="5"/>
      <c r="S306" s="5"/>
      <c r="T306" s="5"/>
      <c r="U306" s="5"/>
      <c r="V306" s="5"/>
      <c r="W306" s="5"/>
    </row>
    <row r="307" spans="1:38">
      <c r="B307" s="3"/>
      <c r="D307" s="3"/>
      <c r="E307" s="5" t="s">
        <v>1188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1193</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1194</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1578</v>
      </c>
      <c r="I328" s="158"/>
      <c r="J328" s="5"/>
      <c r="K328" s="5"/>
      <c r="L328" s="5"/>
      <c r="M328" s="5"/>
      <c r="N328" s="5"/>
      <c r="O328" s="5"/>
      <c r="P328" s="5"/>
      <c r="Q328" s="5"/>
      <c r="R328" s="5"/>
      <c r="S328" s="5"/>
    </row>
    <row r="329" spans="1:38">
      <c r="F329" s="158" t="s">
        <v>1579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1580</v>
      </c>
      <c r="I338" s="5"/>
      <c r="J338" s="5"/>
      <c r="K338" s="5"/>
      <c r="L338" s="5"/>
      <c r="M338" s="5"/>
      <c r="N338" s="5"/>
      <c r="O338" s="5"/>
      <c r="P338" s="5"/>
      <c r="Q338" s="5"/>
      <c r="R338" s="5"/>
      <c r="S338" s="5"/>
    </row>
    <row r="339" spans="2:37">
      <c r="B339" s="3"/>
      <c r="E339" s="5"/>
      <c r="F339" s="5" t="s">
        <v>1581</v>
      </c>
      <c r="I339" s="5"/>
      <c r="J339" s="5"/>
      <c r="K339" s="5"/>
      <c r="L339" s="5"/>
      <c r="M339" s="5"/>
      <c r="N339" s="5"/>
      <c r="O339" s="5"/>
      <c r="P339" s="5"/>
      <c r="Q339" s="5"/>
      <c r="R339" s="5"/>
      <c r="S339" s="5"/>
    </row>
    <row r="340" spans="2:37">
      <c r="B340" s="3"/>
      <c r="E340" s="5"/>
      <c r="F340" s="5" t="s">
        <v>1199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1810</v>
      </c>
      <c r="I342" s="3"/>
      <c r="J342" s="5"/>
      <c r="K342" s="5"/>
      <c r="L342" s="5"/>
      <c r="M342" s="5"/>
      <c r="N342" s="5"/>
      <c r="O342" s="5"/>
      <c r="P342" s="5"/>
      <c r="Q342" s="5"/>
      <c r="R342" s="5"/>
      <c r="S342" s="5"/>
    </row>
    <row r="343" spans="2:37" ht="13.65" customHeight="1">
      <c r="B343" s="3"/>
      <c r="E343" s="979" t="s">
        <v>1811</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899</v>
      </c>
      <c r="F348" s="970" t="s">
        <v>1812</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900</v>
      </c>
      <c r="F352" s="970" t="s">
        <v>1813</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6" customFormat="1">
      <c r="A365"/>
      <c r="B365" s="3"/>
      <c r="C365"/>
      <c r="D365"/>
      <c r="E365" s="976" t="s">
        <v>1808</v>
      </c>
    </row>
    <row r="366" spans="1:38" s="976" customFormat="1">
      <c r="A366"/>
      <c r="B366" s="3"/>
      <c r="C366"/>
      <c r="D366"/>
    </row>
    <row r="367" spans="1:38">
      <c r="B367" s="3"/>
      <c r="F367" s="974" t="s">
        <v>1809</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1582</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1582</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2154</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1196</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1195</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2155</v>
      </c>
      <c r="G409" s="3"/>
      <c r="I409" s="5"/>
      <c r="S409" s="5"/>
    </row>
    <row r="410" spans="1:38">
      <c r="B410" s="3"/>
      <c r="C410" s="41" t="s">
        <v>1911</v>
      </c>
      <c r="S410" s="5"/>
    </row>
    <row r="411" spans="1:38">
      <c r="B411" s="3"/>
      <c r="C411" s="5" t="s">
        <v>2156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61" workbookViewId="0">
      <selection activeCell="O50" sqref="O50"/>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88671875" style="754" customWidth="1"/>
    <col min="21" max="16384" width="8.88671875" style="754" hidden="1"/>
  </cols>
  <sheetData>
    <row r="1" spans="1:19" ht="15" customHeight="1">
      <c r="A1" s="1933" t="s">
        <v>1853</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2109</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2216</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2195</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2110</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1792</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1793</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1686</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1599</v>
      </c>
      <c r="C29" s="1925"/>
      <c r="D29" s="1925"/>
      <c r="E29" s="1925"/>
      <c r="F29" s="1925"/>
      <c r="G29" s="1925"/>
      <c r="H29" s="376"/>
      <c r="I29" s="376"/>
      <c r="J29" s="376"/>
      <c r="K29" s="376"/>
      <c r="L29" s="376"/>
      <c r="M29" s="376"/>
      <c r="N29" s="376"/>
      <c r="O29" s="1923" t="s">
        <v>1608</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991</v>
      </c>
      <c r="K32" s="1929">
        <v>1</v>
      </c>
      <c r="M32" s="509"/>
      <c r="O32" s="1924"/>
      <c r="P32" s="1928" t="s">
        <v>1930</v>
      </c>
    </row>
    <row r="33" spans="1:21" ht="15" customHeight="1">
      <c r="B33" s="1930" t="s">
        <v>1603</v>
      </c>
      <c r="C33" s="1930"/>
      <c r="D33" s="1930"/>
      <c r="E33" s="1930"/>
      <c r="F33" s="1930"/>
      <c r="G33" s="1930"/>
      <c r="I33" s="1927"/>
      <c r="J33" s="1928"/>
      <c r="K33" s="1929"/>
      <c r="M33" s="510"/>
      <c r="O33" s="1930" t="s">
        <v>1603</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1593</v>
      </c>
      <c r="C37" s="1934"/>
      <c r="D37" s="1934"/>
      <c r="E37" s="1934"/>
      <c r="F37" s="516"/>
      <c r="G37" s="516"/>
      <c r="H37" s="517"/>
      <c r="I37" s="376"/>
      <c r="J37" s="376"/>
      <c r="L37" s="529"/>
      <c r="M37" s="529"/>
      <c r="N37" s="529"/>
      <c r="O37" s="529"/>
      <c r="P37" s="529"/>
      <c r="Q37" s="529"/>
      <c r="R37" s="529"/>
      <c r="S37" s="529"/>
    </row>
    <row r="38" spans="1:21" ht="15" customHeight="1">
      <c r="B38" s="1939" t="s">
        <v>1609</v>
      </c>
      <c r="C38" s="1939"/>
      <c r="D38" s="1939"/>
      <c r="E38" s="1939"/>
      <c r="F38" s="650"/>
      <c r="G38" s="518">
        <f>D110</f>
        <v>3260623.0205452074</v>
      </c>
      <c r="H38" s="384"/>
      <c r="I38" s="519"/>
      <c r="J38" s="384"/>
      <c r="K38" s="1946" t="s">
        <v>2213</v>
      </c>
      <c r="L38" s="1946"/>
      <c r="M38" s="1946"/>
      <c r="N38" s="1946"/>
      <c r="O38" s="1946"/>
      <c r="P38" s="1946"/>
      <c r="Q38" s="1946"/>
      <c r="R38" s="1946"/>
      <c r="S38" s="1946"/>
    </row>
    <row r="39" spans="1:21" ht="15" customHeight="1">
      <c r="B39" s="1940" t="s">
        <v>1274</v>
      </c>
      <c r="C39" s="1940"/>
      <c r="D39" s="1940"/>
      <c r="E39" s="1940"/>
      <c r="F39" s="650"/>
      <c r="G39" s="632">
        <v>4000000</v>
      </c>
      <c r="H39" s="384"/>
      <c r="I39" s="519"/>
      <c r="J39" s="384"/>
      <c r="K39" s="1946"/>
      <c r="L39" s="1946"/>
      <c r="M39" s="1946"/>
      <c r="N39" s="1946"/>
      <c r="O39" s="1946"/>
      <c r="P39" s="1946"/>
      <c r="Q39" s="1946"/>
      <c r="R39" s="1946"/>
      <c r="S39" s="1946"/>
    </row>
    <row r="40" spans="1:21" ht="15" customHeight="1">
      <c r="B40" s="1940" t="s">
        <v>1275</v>
      </c>
      <c r="C40" s="1940"/>
      <c r="D40" s="1940"/>
      <c r="E40" s="1940"/>
      <c r="F40" s="650"/>
      <c r="G40" s="632"/>
      <c r="H40" s="384"/>
      <c r="I40" s="519"/>
      <c r="J40" s="384"/>
      <c r="K40" s="1946"/>
      <c r="L40" s="1946"/>
      <c r="M40" s="1946"/>
      <c r="N40" s="1946"/>
      <c r="O40" s="1946"/>
      <c r="P40" s="1946"/>
      <c r="Q40" s="1946"/>
      <c r="R40" s="1946"/>
      <c r="S40" s="1946"/>
    </row>
    <row r="41" spans="1:21" ht="15" customHeight="1">
      <c r="B41" s="1941" t="s">
        <v>1604</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
        <v>2394</v>
      </c>
      <c r="C42" s="634"/>
      <c r="D42" s="628"/>
      <c r="E42" s="652">
        <v>1000000</v>
      </c>
      <c r="F42" s="650"/>
      <c r="G42" s="384"/>
      <c r="H42" s="384"/>
      <c r="I42" s="519"/>
      <c r="J42" s="384"/>
      <c r="K42" s="1944"/>
      <c r="L42" s="1944"/>
      <c r="M42" s="1944"/>
      <c r="N42" s="1944"/>
      <c r="O42" s="1944"/>
      <c r="Q42" s="1947"/>
      <c r="R42" s="1947"/>
      <c r="U42" s="754" t="s">
        <v>123</v>
      </c>
    </row>
    <row r="43" spans="1:21" ht="15" customHeight="1">
      <c r="B43" s="634" t="s">
        <v>2490</v>
      </c>
      <c r="C43" s="634"/>
      <c r="D43" s="504"/>
      <c r="E43" s="652">
        <v>500000</v>
      </c>
      <c r="F43" s="650"/>
      <c r="G43" s="384"/>
      <c r="H43" s="384"/>
      <c r="I43" s="519"/>
      <c r="J43" s="384"/>
      <c r="L43" s="384"/>
      <c r="M43" s="376"/>
      <c r="N43" s="376"/>
      <c r="O43" s="376"/>
      <c r="Q43" s="520"/>
      <c r="R43" s="520"/>
      <c r="U43" s="754" t="s">
        <v>2212</v>
      </c>
    </row>
    <row r="44" spans="1:21" ht="15" customHeight="1">
      <c r="B44" s="634" t="s">
        <v>2491</v>
      </c>
      <c r="C44" s="634"/>
      <c r="D44" s="504"/>
      <c r="E44" s="652">
        <v>1400000</v>
      </c>
      <c r="F44" s="650"/>
      <c r="G44" s="384"/>
      <c r="H44" s="384"/>
      <c r="I44" s="519"/>
      <c r="K44" s="383" t="s">
        <v>1844</v>
      </c>
      <c r="Q44" s="1947"/>
      <c r="R44" s="1947"/>
    </row>
    <row r="45" spans="1:21" ht="15" customHeight="1">
      <c r="B45" s="634" t="s">
        <v>2492</v>
      </c>
      <c r="C45" s="634"/>
      <c r="D45" s="504"/>
      <c r="E45" s="652">
        <v>7000000</v>
      </c>
      <c r="F45" s="650"/>
      <c r="G45" s="384"/>
      <c r="H45" s="384"/>
      <c r="I45" s="519"/>
      <c r="K45" s="388" t="s">
        <v>1839</v>
      </c>
      <c r="L45" s="388"/>
      <c r="M45" s="384"/>
      <c r="N45" s="384"/>
      <c r="O45" s="384"/>
      <c r="P45" s="384"/>
    </row>
    <row r="46" spans="1:21" ht="15" customHeight="1">
      <c r="B46" s="634" t="s">
        <v>2493</v>
      </c>
      <c r="C46" s="634"/>
      <c r="D46" s="504"/>
      <c r="E46" s="652">
        <v>1994000</v>
      </c>
      <c r="F46" s="650"/>
      <c r="G46" s="384"/>
      <c r="H46" s="384"/>
      <c r="I46" s="519"/>
      <c r="J46" s="384"/>
      <c r="K46" s="1921" t="s">
        <v>1840</v>
      </c>
      <c r="L46" s="1921"/>
      <c r="M46" s="1921"/>
      <c r="N46" s="1921"/>
      <c r="O46" s="1921"/>
      <c r="Q46" s="1918"/>
      <c r="R46" s="1918"/>
    </row>
    <row r="47" spans="1:21" ht="15" customHeight="1">
      <c r="B47" s="634" t="s">
        <v>2494</v>
      </c>
      <c r="C47" s="634"/>
      <c r="D47" s="504"/>
      <c r="E47" s="652">
        <v>540000</v>
      </c>
      <c r="F47" s="650"/>
      <c r="G47" s="384"/>
      <c r="H47" s="384"/>
      <c r="I47" s="519"/>
      <c r="J47" s="384"/>
      <c r="K47" s="1922" t="s">
        <v>1841</v>
      </c>
      <c r="L47" s="1922"/>
      <c r="M47" s="1922"/>
      <c r="N47" s="1922"/>
      <c r="O47" s="1922"/>
      <c r="Q47" s="1920"/>
      <c r="R47" s="1920"/>
    </row>
    <row r="48" spans="1:21" ht="15" customHeight="1">
      <c r="B48" s="634"/>
      <c r="C48" s="634"/>
      <c r="D48" s="504"/>
      <c r="E48" s="652"/>
      <c r="F48" s="650"/>
      <c r="G48" s="384"/>
      <c r="H48" s="384"/>
      <c r="I48" s="519"/>
      <c r="J48" s="384"/>
      <c r="K48" s="1919" t="s">
        <v>1842</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1687</v>
      </c>
      <c r="C50" s="630"/>
      <c r="D50" s="633"/>
      <c r="E50" s="631">
        <f>MAX(IF('Sources and Uses Budget'!B15="",0,'Sources and Uses Budget'!B15),IF(Application!AG387="",0,Application!AG387))</f>
        <v>0</v>
      </c>
      <c r="F50" s="650"/>
      <c r="G50" s="384"/>
      <c r="H50" s="384"/>
      <c r="I50" s="519"/>
      <c r="J50" s="384"/>
    </row>
    <row r="51" spans="1:29" ht="15" customHeight="1">
      <c r="B51" s="629" t="s">
        <v>1337</v>
      </c>
      <c r="C51" s="629"/>
      <c r="D51" s="633"/>
      <c r="E51" s="631"/>
      <c r="F51" s="650"/>
      <c r="G51" s="384"/>
      <c r="H51" s="384"/>
      <c r="I51" s="519"/>
      <c r="J51" s="384"/>
    </row>
    <row r="52" spans="1:29" ht="15" customHeight="1">
      <c r="B52" s="1939" t="s">
        <v>1600</v>
      </c>
      <c r="C52" s="1939"/>
      <c r="D52" s="1939"/>
      <c r="E52" s="1939"/>
      <c r="F52" s="650"/>
      <c r="G52" s="518">
        <f>SUM(E42:E49)-ABS(E50)-ABS(E51)</f>
        <v>12434000</v>
      </c>
      <c r="H52" s="384"/>
      <c r="I52" s="519"/>
      <c r="J52" s="384"/>
    </row>
    <row r="53" spans="1:29" ht="15" customHeight="1">
      <c r="C53" s="523"/>
      <c r="D53" s="523" t="s">
        <v>874</v>
      </c>
      <c r="E53" s="523"/>
      <c r="F53" s="523"/>
      <c r="G53" s="524">
        <f>SUM(G38:G40)+G52</f>
        <v>19694623.020545207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2" t="s">
        <v>1255</v>
      </c>
      <c r="C56" s="1942"/>
      <c r="D56" s="650"/>
      <c r="E56" s="650"/>
      <c r="F56" s="650"/>
      <c r="G56" s="650"/>
      <c r="H56" s="650"/>
      <c r="I56" s="650"/>
      <c r="J56" s="650"/>
      <c r="K56" s="650"/>
      <c r="L56" s="650"/>
      <c r="M56" s="650"/>
      <c r="N56" s="650"/>
      <c r="O56" s="650"/>
      <c r="P56" s="650"/>
      <c r="U56" s="951" t="s">
        <v>1787</v>
      </c>
      <c r="AC56" s="952">
        <v>0.2</v>
      </c>
    </row>
    <row r="57" spans="1:29" ht="15" customHeight="1">
      <c r="A57" s="521"/>
      <c r="B57" s="1943" t="s">
        <v>1595</v>
      </c>
      <c r="C57" s="1943"/>
      <c r="D57" s="1943"/>
      <c r="E57" s="1943"/>
      <c r="F57" s="1943"/>
      <c r="G57" s="1943"/>
      <c r="H57" s="1943"/>
      <c r="I57" s="1943"/>
      <c r="J57" s="1943"/>
      <c r="K57" s="1943"/>
      <c r="L57" s="1943"/>
      <c r="M57" s="1943"/>
      <c r="N57" s="1943"/>
      <c r="O57" s="1943"/>
      <c r="P57" s="650"/>
      <c r="U57" s="951" t="s">
        <v>1788</v>
      </c>
      <c r="AC57" s="952">
        <v>0.1</v>
      </c>
    </row>
    <row r="58" spans="1:29" ht="15" customHeight="1">
      <c r="B58" s="1934" t="s">
        <v>2211</v>
      </c>
      <c r="C58" s="1935"/>
      <c r="D58" s="1935"/>
      <c r="E58" s="1935"/>
      <c r="F58" s="526"/>
      <c r="G58" s="526"/>
      <c r="H58" s="516"/>
      <c r="I58" s="516"/>
      <c r="J58" s="1936">
        <f>('Sources and Uses Budget'!D104+Q47)/('Sources and Uses Budget'!B104+Q48)</f>
        <v>0</v>
      </c>
      <c r="K58" s="1937"/>
      <c r="L58" s="1937"/>
      <c r="M58" s="1937"/>
      <c r="N58" s="1938"/>
      <c r="O58" s="516"/>
      <c r="P58" s="516"/>
      <c r="U58" s="951" t="s">
        <v>1789</v>
      </c>
      <c r="AC58" s="952">
        <v>0.1</v>
      </c>
    </row>
    <row r="59" spans="1:29" ht="15" customHeight="1">
      <c r="B59" s="1917" t="s">
        <v>2111</v>
      </c>
      <c r="C59" s="1917"/>
      <c r="D59" s="1917"/>
      <c r="E59" s="1917"/>
      <c r="F59" s="1917"/>
      <c r="G59" s="1917"/>
      <c r="H59" s="1917"/>
      <c r="I59" s="1917"/>
      <c r="J59" s="1917"/>
      <c r="K59" s="1917"/>
      <c r="L59" s="1917"/>
      <c r="M59" s="1917"/>
      <c r="N59" s="1917"/>
      <c r="O59" s="1917"/>
      <c r="P59" s="516"/>
      <c r="U59" s="951" t="s">
        <v>1790</v>
      </c>
      <c r="AC59" s="952">
        <v>0.05</v>
      </c>
    </row>
    <row r="60" spans="1:29" ht="15" customHeight="1">
      <c r="B60" s="1917"/>
      <c r="C60" s="1917"/>
      <c r="D60" s="1917"/>
      <c r="E60" s="1917"/>
      <c r="F60" s="1917"/>
      <c r="G60" s="1917"/>
      <c r="H60" s="1917"/>
      <c r="I60" s="1917"/>
      <c r="J60" s="1917"/>
      <c r="K60" s="1917"/>
      <c r="L60" s="1917"/>
      <c r="M60" s="1917"/>
      <c r="N60" s="1917"/>
      <c r="O60" s="1917"/>
      <c r="P60" s="516"/>
      <c r="AC60" s="953"/>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2214</v>
      </c>
      <c r="K63" s="1950"/>
      <c r="L63" s="1950"/>
      <c r="M63" s="1950"/>
      <c r="N63" s="1950"/>
      <c r="O63" s="1950"/>
      <c r="P63" s="1950"/>
      <c r="Q63" s="1950"/>
      <c r="R63" s="1950"/>
    </row>
    <row r="64" spans="1:29" ht="15" customHeight="1" thickBot="1">
      <c r="B64" s="1942" t="s">
        <v>1605</v>
      </c>
      <c r="C64" s="1942"/>
      <c r="D64" s="376"/>
      <c r="F64" s="376"/>
      <c r="G64" s="523" t="s">
        <v>1843</v>
      </c>
      <c r="H64" s="376"/>
      <c r="I64" s="758"/>
      <c r="J64" s="1951"/>
      <c r="K64" s="1952"/>
      <c r="L64" s="1952"/>
      <c r="M64" s="1952"/>
      <c r="N64" s="1952"/>
      <c r="O64" s="1952"/>
      <c r="P64" s="1952"/>
      <c r="Q64" s="1952"/>
      <c r="R64" s="1952"/>
      <c r="U64" s="950">
        <f>IF(K41="Rural project in a county where no tax credit applications have been received within 5 years",AC59,0)</f>
        <v>0</v>
      </c>
    </row>
    <row r="65" spans="1:22" ht="15" customHeight="1" thickBot="1">
      <c r="B65" s="527" t="s">
        <v>1598</v>
      </c>
      <c r="C65" s="512" t="str">
        <f>IF(OR(Application!M349="Yes",Application!M350="Yes"),"Yes","No")</f>
        <v>Yes</v>
      </c>
      <c r="E65" s="788"/>
      <c r="F65" s="788"/>
      <c r="G65" s="523" t="s">
        <v>1845</v>
      </c>
      <c r="H65" s="376"/>
      <c r="I65" s="758"/>
      <c r="J65" s="1951"/>
      <c r="K65" s="1952"/>
      <c r="L65" s="1952"/>
      <c r="M65" s="1952"/>
      <c r="N65" s="1952"/>
      <c r="O65" s="1952"/>
      <c r="P65" s="1952"/>
      <c r="Q65" s="1952"/>
      <c r="R65" s="1952"/>
      <c r="U65" s="950">
        <f>IF(J67="Non-rural project, Census Tract is Highest Resource (20 percentage points)",AC56,0)</f>
        <v>0.2</v>
      </c>
    </row>
    <row r="66" spans="1:22" ht="15" customHeight="1" thickBot="1">
      <c r="B66" s="528" t="s">
        <v>1674</v>
      </c>
      <c r="C66" s="638">
        <f>Application!AG430-Application!AG431</f>
        <v>37</v>
      </c>
      <c r="D66" s="788"/>
      <c r="E66" s="528" t="s">
        <v>1846</v>
      </c>
      <c r="F66" s="788"/>
      <c r="G66" s="655"/>
      <c r="H66" s="529"/>
      <c r="I66" s="759"/>
      <c r="J66" s="1951"/>
      <c r="K66" s="1952"/>
      <c r="L66" s="1952"/>
      <c r="M66" s="1952"/>
      <c r="N66" s="1952"/>
      <c r="O66" s="1952"/>
      <c r="P66" s="1952"/>
      <c r="Q66" s="1952"/>
      <c r="R66" s="1952"/>
      <c r="U66" s="950">
        <f>IF(J67="Non-rural project, Census Tract is High Resource (10 percentage points)",AC57,0)</f>
        <v>0</v>
      </c>
    </row>
    <row r="67" spans="1:22" ht="15" customHeight="1" thickBot="1">
      <c r="B67" s="528" t="s">
        <v>1594</v>
      </c>
      <c r="C67" s="639">
        <f>MIN(IF(AND(C65="Yes",G67&gt;=50),(0.75+(G67/200)),1),1.5)</f>
        <v>1</v>
      </c>
      <c r="D67" s="529"/>
      <c r="E67" s="528" t="s">
        <v>1675</v>
      </c>
      <c r="G67" s="638">
        <f>C66+G66</f>
        <v>37</v>
      </c>
      <c r="H67" s="529"/>
      <c r="I67" s="759"/>
      <c r="J67" s="1948" t="s">
        <v>1787</v>
      </c>
      <c r="K67" s="1945"/>
      <c r="L67" s="1945"/>
      <c r="M67" s="1945"/>
      <c r="N67" s="1945"/>
      <c r="O67" s="1945"/>
      <c r="P67" s="1945"/>
      <c r="Q67" s="1945"/>
      <c r="R67" s="1945"/>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31">
        <f>SUM(U62:U68)</f>
        <v>0.2</v>
      </c>
    </row>
    <row r="70" spans="1:22" ht="15" customHeight="1" thickBot="1">
      <c r="B70" s="508" t="s">
        <v>1602</v>
      </c>
      <c r="C70" s="508"/>
      <c r="D70" s="508"/>
      <c r="E70" s="508"/>
      <c r="F70" s="508"/>
      <c r="G70" s="508"/>
      <c r="U70" s="1932"/>
      <c r="V70" s="373" t="s">
        <v>1791</v>
      </c>
    </row>
    <row r="71" spans="1:22" ht="15" customHeight="1">
      <c r="B71" s="1939" t="s">
        <v>1606</v>
      </c>
      <c r="C71" s="1939"/>
      <c r="D71" s="1939"/>
      <c r="E71" s="508"/>
      <c r="F71" s="508"/>
      <c r="G71" s="518">
        <f>G53*(1-J58)</f>
        <v>19694623.020545207</v>
      </c>
      <c r="J71" s="530"/>
      <c r="K71" s="687" t="s">
        <v>1608</v>
      </c>
      <c r="L71" s="687"/>
      <c r="M71" s="687"/>
      <c r="N71" s="687"/>
      <c r="O71" s="687"/>
      <c r="Q71" s="1921">
        <f>'Basis &amp; Credits'!T23+'Basis &amp; Credits'!Y23+'Basis &amp; Credits'!AD23+'Basis &amp; Credits'!AI23</f>
        <v>17215921</v>
      </c>
      <c r="R71" s="1921"/>
    </row>
    <row r="72" spans="1:22" ht="15" customHeight="1">
      <c r="B72" s="1953" t="s">
        <v>1607</v>
      </c>
      <c r="C72" s="1953"/>
      <c r="D72" s="1953"/>
      <c r="E72" s="508"/>
      <c r="F72" s="508"/>
      <c r="G72" s="518">
        <f>G71*C67</f>
        <v>19694623.020545207</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19694623.020545207</v>
      </c>
      <c r="C75" s="1955"/>
      <c r="D75" s="1955"/>
      <c r="E75" s="1955"/>
      <c r="F75" s="1955"/>
      <c r="G75" s="1955"/>
      <c r="H75" s="531"/>
      <c r="I75" s="1927" t="s">
        <v>138</v>
      </c>
      <c r="J75" s="1928" t="s">
        <v>991</v>
      </c>
      <c r="K75" s="1927">
        <v>1</v>
      </c>
      <c r="M75" s="395"/>
      <c r="N75" s="510"/>
      <c r="O75" s="657">
        <f>$Q$71</f>
        <v>17215921</v>
      </c>
      <c r="P75" s="1928" t="s">
        <v>1930</v>
      </c>
      <c r="Q75" s="1956" t="s">
        <v>137</v>
      </c>
      <c r="R75" s="1959">
        <f>((B75/B76)+((1-(O75/O76))/2))+U69</f>
        <v>0.9475754314210858</v>
      </c>
    </row>
    <row r="76" spans="1:22" ht="15" customHeight="1" thickBot="1">
      <c r="B76" s="1957">
        <f>'Sources and Uses Budget'!$C$104+$Q$46-($E$50+$E$51)*(1-$J$58)</f>
        <v>44780948</v>
      </c>
      <c r="C76" s="1958"/>
      <c r="D76" s="1958"/>
      <c r="E76" s="1958"/>
      <c r="F76" s="1958"/>
      <c r="G76" s="1957"/>
      <c r="I76" s="1927"/>
      <c r="J76" s="1928"/>
      <c r="K76" s="1927"/>
      <c r="M76" s="648"/>
      <c r="O76" s="656">
        <f>B76</f>
        <v>44780948</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1837</v>
      </c>
      <c r="C81" s="651"/>
      <c r="D81" s="651"/>
      <c r="E81" s="651"/>
      <c r="F81" s="651"/>
      <c r="H81" s="651"/>
      <c r="I81" s="519"/>
      <c r="J81" s="651"/>
      <c r="K81" s="383" t="s">
        <v>1838</v>
      </c>
      <c r="L81" s="651"/>
      <c r="M81" s="651"/>
      <c r="N81" s="651"/>
      <c r="O81" s="651"/>
    </row>
    <row r="82" spans="2:18" ht="15" customHeight="1">
      <c r="B82" s="774" t="s">
        <v>1796</v>
      </c>
      <c r="C82" s="766"/>
      <c r="D82" s="761"/>
      <c r="E82" s="766"/>
      <c r="F82" s="766"/>
      <c r="G82" s="767"/>
      <c r="I82" s="519"/>
    </row>
    <row r="83" spans="2:18" ht="15" customHeight="1">
      <c r="B83" s="772" t="s">
        <v>1799</v>
      </c>
      <c r="C83" s="766"/>
      <c r="D83" s="766"/>
      <c r="E83" s="764"/>
      <c r="F83" s="764"/>
      <c r="G83" s="767"/>
      <c r="I83" s="519"/>
      <c r="K83" s="755" t="s">
        <v>1676</v>
      </c>
    </row>
    <row r="84" spans="2:18" ht="15" customHeight="1">
      <c r="B84" s="773" t="s">
        <v>2112</v>
      </c>
      <c r="C84" s="768"/>
      <c r="D84" s="768"/>
      <c r="E84" s="762"/>
      <c r="F84" s="762"/>
      <c r="G84" s="769"/>
      <c r="I84" s="519"/>
      <c r="K84" s="755" t="s">
        <v>1615</v>
      </c>
      <c r="L84" s="651"/>
      <c r="M84" s="651"/>
      <c r="N84" s="651"/>
      <c r="O84" s="651"/>
      <c r="P84" s="651"/>
      <c r="Q84" s="1918"/>
      <c r="R84" s="1918"/>
    </row>
    <row r="85" spans="2:18" ht="15" customHeight="1">
      <c r="B85" s="773" t="s">
        <v>1795</v>
      </c>
      <c r="C85" s="770"/>
      <c r="D85" s="770"/>
      <c r="E85" s="765"/>
      <c r="F85" s="765"/>
      <c r="G85" s="771"/>
      <c r="I85" s="519"/>
      <c r="L85" s="684"/>
      <c r="M85" s="684"/>
      <c r="N85" s="684"/>
      <c r="O85" s="684"/>
      <c r="P85" s="684"/>
    </row>
    <row r="86" spans="2:18" ht="15" customHeight="1">
      <c r="B86" s="774" t="s">
        <v>1851</v>
      </c>
      <c r="C86" s="768"/>
      <c r="D86" s="768"/>
      <c r="E86" s="762"/>
      <c r="F86" s="762"/>
      <c r="G86" s="763"/>
      <c r="I86" s="519"/>
      <c r="L86" s="685"/>
      <c r="M86" s="685"/>
      <c r="N86" s="685"/>
      <c r="O86" s="789" t="s">
        <v>1015</v>
      </c>
      <c r="P86" s="685"/>
    </row>
    <row r="87" spans="2:18" ht="15" customHeight="1">
      <c r="B87" s="774" t="s">
        <v>1919</v>
      </c>
      <c r="C87" s="770"/>
      <c r="D87" s="761"/>
      <c r="E87" s="766"/>
      <c r="F87" s="766"/>
      <c r="G87" s="792"/>
      <c r="I87" s="519"/>
    </row>
    <row r="88" spans="2:18" ht="15" customHeight="1">
      <c r="B88" s="790"/>
      <c r="C88" s="766"/>
      <c r="D88" s="766"/>
      <c r="E88" s="791" t="s">
        <v>1794</v>
      </c>
      <c r="F88" s="764"/>
      <c r="G88" s="764" t="s">
        <v>992</v>
      </c>
      <c r="I88" s="519"/>
      <c r="K88" s="756" t="s">
        <v>1614</v>
      </c>
      <c r="L88" s="651"/>
      <c r="M88" s="651"/>
      <c r="N88" s="651"/>
      <c r="O88" s="651"/>
      <c r="P88" s="651"/>
    </row>
    <row r="89" spans="2:18" ht="15" customHeight="1">
      <c r="B89" s="532" t="s">
        <v>985</v>
      </c>
      <c r="C89" s="533" t="s">
        <v>986</v>
      </c>
      <c r="D89" s="775" t="s">
        <v>1797</v>
      </c>
      <c r="E89" s="775" t="s">
        <v>1852</v>
      </c>
      <c r="F89" s="511"/>
      <c r="G89" s="511" t="s">
        <v>1798</v>
      </c>
      <c r="I89" s="519"/>
      <c r="K89" s="756" t="s">
        <v>1616</v>
      </c>
      <c r="L89" s="684"/>
      <c r="M89" s="684"/>
      <c r="N89" s="684"/>
      <c r="O89" s="684"/>
      <c r="P89" s="684"/>
      <c r="Q89" s="1918"/>
      <c r="R89" s="1918"/>
    </row>
    <row r="90" spans="2:18" ht="15" customHeight="1">
      <c r="B90" s="497" t="s">
        <v>2495</v>
      </c>
      <c r="C90" s="498">
        <v>18</v>
      </c>
      <c r="D90" s="499">
        <v>1101</v>
      </c>
      <c r="E90" s="499">
        <v>2723</v>
      </c>
      <c r="F90" s="540"/>
      <c r="G90" s="384">
        <f>MAX(($E90-$D90)*$C90*12,0)</f>
        <v>350352</v>
      </c>
      <c r="I90" s="519"/>
      <c r="K90" s="756" t="s">
        <v>1617</v>
      </c>
      <c r="L90" s="684"/>
      <c r="M90" s="684"/>
      <c r="N90" s="684"/>
      <c r="O90" s="684"/>
      <c r="P90" s="684"/>
      <c r="Q90" s="1961"/>
      <c r="R90" s="1961"/>
    </row>
    <row r="91" spans="2:18" ht="15" customHeight="1">
      <c r="B91" s="497" t="s">
        <v>614</v>
      </c>
      <c r="C91" s="498"/>
      <c r="D91" s="499"/>
      <c r="E91" s="499"/>
      <c r="F91" s="540"/>
      <c r="G91" s="384">
        <f t="shared" ref="G91:G97" si="0">MAX(($E91-$D91)*$C91*12,0)</f>
        <v>0</v>
      </c>
      <c r="I91" s="519"/>
      <c r="K91" s="756" t="s">
        <v>1620</v>
      </c>
      <c r="L91" s="684"/>
      <c r="M91" s="684"/>
      <c r="N91" s="684"/>
      <c r="O91" s="684"/>
      <c r="P91" s="684"/>
      <c r="Q91" s="1922">
        <f>IFERROR(Q89/Q90,0)</f>
        <v>0</v>
      </c>
      <c r="R91" s="1922"/>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1621</v>
      </c>
      <c r="L93" s="528"/>
      <c r="M93" s="528"/>
      <c r="N93" s="528"/>
      <c r="O93" s="528"/>
      <c r="P93" s="528"/>
      <c r="Q93" s="1921">
        <f>MAX(Q84,Q91)</f>
        <v>0</v>
      </c>
      <c r="R93" s="1921"/>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1708</v>
      </c>
      <c r="F98" s="528"/>
      <c r="G98" s="524">
        <f>SUM(G90:G97)</f>
        <v>350352</v>
      </c>
      <c r="I98" s="519"/>
    </row>
    <row r="99" spans="2:9" ht="15" customHeight="1">
      <c r="I99" s="519"/>
    </row>
    <row r="100" spans="2:9" ht="15" customHeight="1">
      <c r="B100" s="376" t="s">
        <v>1618</v>
      </c>
      <c r="D100" s="520">
        <f>G98+Q93</f>
        <v>350352</v>
      </c>
      <c r="I100" s="519"/>
    </row>
    <row r="101" spans="2:9" ht="15" customHeight="1">
      <c r="B101" s="376" t="s">
        <v>987</v>
      </c>
      <c r="D101" s="536">
        <v>0.05</v>
      </c>
      <c r="I101" s="519"/>
    </row>
    <row r="102" spans="2:9" ht="15" customHeight="1">
      <c r="B102" s="376" t="s">
        <v>1016</v>
      </c>
      <c r="D102" s="520">
        <f>D100-(D100*D101)</f>
        <v>332834.40000000002</v>
      </c>
    </row>
    <row r="103" spans="2:9" ht="15" customHeight="1">
      <c r="B103" s="376" t="s">
        <v>1610</v>
      </c>
      <c r="D103" s="537"/>
    </row>
    <row r="104" spans="2:9" ht="15" customHeight="1">
      <c r="B104" s="376" t="s">
        <v>1619</v>
      </c>
      <c r="D104" s="520">
        <f>D102/D108</f>
        <v>289421.21739130438</v>
      </c>
    </row>
    <row r="106" spans="2:9" ht="15" customHeight="1">
      <c r="B106" s="376" t="s">
        <v>1611</v>
      </c>
      <c r="D106" s="376">
        <v>15</v>
      </c>
    </row>
    <row r="107" spans="2:9" ht="15" customHeight="1">
      <c r="B107" s="376" t="s">
        <v>1612</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1613</v>
      </c>
      <c r="C110" s="376"/>
      <c r="D110" s="637">
        <f>PV(D107/12,D106*12,-D104/12, ,0)</f>
        <v>3260623.0205452074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opLeftCell="A50" workbookViewId="0">
      <selection activeCell="E75" sqref="E75"/>
    </sheetView>
  </sheetViews>
  <sheetFormatPr defaultColWidth="0" defaultRowHeight="13.2" zeroHeight="1"/>
  <cols>
    <col min="1" max="1" width="3.44140625" customWidth="1"/>
    <col min="2" max="2" width="32.88671875" customWidth="1"/>
    <col min="3" max="3" width="12.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2113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853572</v>
      </c>
      <c r="F4" s="384"/>
      <c r="G4" s="384">
        <f>E4*$C$4</f>
        <v>874911.29999999993</v>
      </c>
      <c r="H4" s="384"/>
      <c r="I4" s="384">
        <f>G4*$C$4</f>
        <v>896784.0824999999</v>
      </c>
      <c r="J4" s="384"/>
      <c r="K4" s="384">
        <f>I4*$C$4</f>
        <v>919203.68456249987</v>
      </c>
      <c r="L4" s="384"/>
      <c r="M4" s="384">
        <f>K4*$C$4</f>
        <v>942183.77667656227</v>
      </c>
      <c r="N4" s="384"/>
      <c r="O4" s="384">
        <f>M4*$C$4</f>
        <v>965738.37109347619</v>
      </c>
      <c r="P4" s="384"/>
      <c r="Q4" s="384">
        <f>O4*$C$4</f>
        <v>989881.83037081303</v>
      </c>
      <c r="R4" s="384"/>
      <c r="S4" s="384">
        <f>Q4*$C$4</f>
        <v>1014628.8761300832</v>
      </c>
      <c r="T4" s="384"/>
      <c r="U4" s="384">
        <f>S4*$C$4</f>
        <v>1039994.5980333352</v>
      </c>
      <c r="V4" s="384"/>
      <c r="W4" s="384">
        <f>U4*$C$4</f>
        <v>1065994.4629841684</v>
      </c>
      <c r="X4" s="384"/>
      <c r="Y4" s="384">
        <f>W4*$C$4</f>
        <v>1092644.3245587726</v>
      </c>
      <c r="Z4" s="384"/>
      <c r="AA4" s="384">
        <f>Y4*$C$4</f>
        <v>1119960.4326727418</v>
      </c>
      <c r="AB4" s="384"/>
      <c r="AC4" s="384">
        <f>AA4*$C$4</f>
        <v>1147959.4434895602</v>
      </c>
      <c r="AD4" s="384"/>
      <c r="AE4" s="384">
        <f>AC4*$C$4</f>
        <v>1176658.429576799</v>
      </c>
      <c r="AF4" s="384"/>
      <c r="AG4" s="384">
        <f>AE4*$C$4</f>
        <v>1206074.8903162188</v>
      </c>
      <c r="AH4" s="384"/>
    </row>
    <row r="5" spans="1:34" ht="13.8">
      <c r="A5" s="376"/>
      <c r="B5" s="376" t="s">
        <v>987</v>
      </c>
      <c r="C5" s="408">
        <f>IF(Application!$D$214="Special Needs",0.1,0.05)</f>
        <v>0.05</v>
      </c>
      <c r="D5" s="376"/>
      <c r="E5" s="386">
        <f>-E4*$C$5</f>
        <v>-42678.600000000006</v>
      </c>
      <c r="F5" s="386"/>
      <c r="G5" s="386">
        <f>-G4*$C$5</f>
        <v>-43745.565000000002</v>
      </c>
      <c r="H5" s="386"/>
      <c r="I5" s="386">
        <f>-I4*$C$5</f>
        <v>-44839.204124999997</v>
      </c>
      <c r="J5" s="386"/>
      <c r="K5" s="386">
        <f>-K4*$C$5</f>
        <v>-45960.184228124999</v>
      </c>
      <c r="L5" s="386"/>
      <c r="M5" s="386">
        <f>-M4*$C$5</f>
        <v>-47109.188833828113</v>
      </c>
      <c r="N5" s="386"/>
      <c r="O5" s="386">
        <f>-O4*$C$5</f>
        <v>-48286.918554673815</v>
      </c>
      <c r="P5" s="386"/>
      <c r="Q5" s="386">
        <f>-Q4*$C$5</f>
        <v>-49494.091518540656</v>
      </c>
      <c r="R5" s="386"/>
      <c r="S5" s="386">
        <f>-S4*$C$5</f>
        <v>-50731.443806504161</v>
      </c>
      <c r="T5" s="386"/>
      <c r="U5" s="386">
        <f>-U4*$C$5</f>
        <v>-51999.72990166676</v>
      </c>
      <c r="V5" s="386"/>
      <c r="W5" s="386">
        <f>-W4*$C$5</f>
        <v>-53299.723149208425</v>
      </c>
      <c r="X5" s="386"/>
      <c r="Y5" s="386">
        <f>-Y4*$C$5</f>
        <v>-54632.216227938632</v>
      </c>
      <c r="Z5" s="386"/>
      <c r="AA5" s="386">
        <f>-AA4*$C$5</f>
        <v>-55998.021633637094</v>
      </c>
      <c r="AB5" s="386"/>
      <c r="AC5" s="386">
        <f>-AC4*$C$5</f>
        <v>-57397.972174478011</v>
      </c>
      <c r="AD5" s="386"/>
      <c r="AE5" s="386">
        <f>-AE4*$C$5</f>
        <v>-58832.921478839955</v>
      </c>
      <c r="AF5" s="386"/>
      <c r="AG5" s="386">
        <f>-AG4*$C$5</f>
        <v>-60303.744515810948</v>
      </c>
      <c r="AH5" s="376"/>
    </row>
    <row r="6" spans="1:34" ht="13.8">
      <c r="A6" s="376" t="s">
        <v>1073</v>
      </c>
      <c r="B6" s="376"/>
      <c r="C6" s="407">
        <v>1.0249999999999999</v>
      </c>
      <c r="D6" s="376"/>
      <c r="E6" s="387">
        <f>Application!Z788</f>
        <v>370872</v>
      </c>
      <c r="F6" s="387"/>
      <c r="G6" s="387">
        <f>E6*$C$6</f>
        <v>380143.8</v>
      </c>
      <c r="H6" s="387"/>
      <c r="I6" s="387">
        <f>G6*$C$6</f>
        <v>389647.39499999996</v>
      </c>
      <c r="J6" s="387"/>
      <c r="K6" s="387">
        <f>I6*$C$6</f>
        <v>399388.57987499994</v>
      </c>
      <c r="L6" s="387"/>
      <c r="M6" s="387">
        <f>K6*$C$6</f>
        <v>409373.29437187489</v>
      </c>
      <c r="N6" s="387"/>
      <c r="O6" s="387">
        <f>M6*$C$6</f>
        <v>419607.62673117174</v>
      </c>
      <c r="P6" s="387"/>
      <c r="Q6" s="387">
        <f>O6*$C$6</f>
        <v>430097.81739945099</v>
      </c>
      <c r="R6" s="387"/>
      <c r="S6" s="387">
        <f>Q6*$C$6</f>
        <v>440850.26283443725</v>
      </c>
      <c r="T6" s="387"/>
      <c r="U6" s="387">
        <f>S6*$C$6</f>
        <v>451871.51940529817</v>
      </c>
      <c r="V6" s="387"/>
      <c r="W6" s="387">
        <f>U6*$C$6</f>
        <v>463168.30739043059</v>
      </c>
      <c r="X6" s="387"/>
      <c r="Y6" s="387">
        <f>W6*$C$6</f>
        <v>474747.51507519133</v>
      </c>
      <c r="Z6" s="387"/>
      <c r="AA6" s="387">
        <f>Y6*$C$6</f>
        <v>486616.20295207109</v>
      </c>
      <c r="AB6" s="387"/>
      <c r="AC6" s="387">
        <f>AA6*$C$6</f>
        <v>498781.60802587285</v>
      </c>
      <c r="AD6" s="387"/>
      <c r="AE6" s="387">
        <f>AC6*$C$6</f>
        <v>511251.14822651964</v>
      </c>
      <c r="AF6" s="387"/>
      <c r="AG6" s="387">
        <f>AE6*$C$6</f>
        <v>524032.42693218257</v>
      </c>
      <c r="AH6" s="376"/>
    </row>
    <row r="7" spans="1:34" ht="13.8">
      <c r="A7" s="376"/>
      <c r="B7" s="376" t="s">
        <v>987</v>
      </c>
      <c r="C7" s="408">
        <f>IF(Application!$D$214="Special Needs",0.1,0.05)</f>
        <v>0.05</v>
      </c>
      <c r="D7" s="376"/>
      <c r="E7" s="386">
        <f>-E6*$C$7</f>
        <v>-18543.600000000002</v>
      </c>
      <c r="F7" s="386"/>
      <c r="G7" s="386">
        <f>-G6*$C$7</f>
        <v>-19007.189999999999</v>
      </c>
      <c r="H7" s="386"/>
      <c r="I7" s="386">
        <f>-I6*$C$7</f>
        <v>-19482.369749999998</v>
      </c>
      <c r="J7" s="386"/>
      <c r="K7" s="386">
        <f>-K6*$C$7</f>
        <v>-19969.42899375</v>
      </c>
      <c r="L7" s="386"/>
      <c r="M7" s="386">
        <f>-M6*$C$7</f>
        <v>-20468.664718593747</v>
      </c>
      <c r="N7" s="386"/>
      <c r="O7" s="386">
        <f>-O6*$C$7</f>
        <v>-20980.381336558588</v>
      </c>
      <c r="P7" s="386"/>
      <c r="Q7" s="386">
        <f>-Q6*$C$7</f>
        <v>-21504.890869972551</v>
      </c>
      <c r="R7" s="386"/>
      <c r="S7" s="386">
        <f>-S6*$C$7</f>
        <v>-22042.513141721865</v>
      </c>
      <c r="T7" s="386"/>
      <c r="U7" s="386">
        <f>-U6*$C$7</f>
        <v>-22593.575970264908</v>
      </c>
      <c r="V7" s="386"/>
      <c r="W7" s="386">
        <f>-W6*$C$7</f>
        <v>-23158.415369521532</v>
      </c>
      <c r="X7" s="386"/>
      <c r="Y7" s="386">
        <f>-Y6*$C$7</f>
        <v>-23737.375753759567</v>
      </c>
      <c r="Z7" s="386"/>
      <c r="AA7" s="386">
        <f>-AA6*$C$7</f>
        <v>-24330.810147603555</v>
      </c>
      <c r="AB7" s="386"/>
      <c r="AC7" s="386">
        <f>-AC6*$C$7</f>
        <v>-24939.080401293642</v>
      </c>
      <c r="AD7" s="386"/>
      <c r="AE7" s="386">
        <f>-AE6*$C$7</f>
        <v>-25562.557411325983</v>
      </c>
      <c r="AF7" s="386"/>
      <c r="AG7" s="386">
        <f>-AG6*$C$7</f>
        <v>-26201.621346609129</v>
      </c>
      <c r="AH7" s="376"/>
    </row>
    <row r="8" spans="1:34" ht="13.8">
      <c r="A8" s="376" t="s">
        <v>260</v>
      </c>
      <c r="B8" s="376"/>
      <c r="C8" s="407">
        <v>1.0249999999999999</v>
      </c>
      <c r="D8" s="376"/>
      <c r="E8" s="387">
        <f>Application!Z796</f>
        <v>2200</v>
      </c>
      <c r="F8" s="387"/>
      <c r="G8" s="387">
        <f>E8*$C$8</f>
        <v>2255</v>
      </c>
      <c r="H8" s="387"/>
      <c r="I8" s="387">
        <f>G8*$C$8</f>
        <v>2311.375</v>
      </c>
      <c r="J8" s="387"/>
      <c r="K8" s="387">
        <f>I8*$C$8</f>
        <v>2369.1593749999997</v>
      </c>
      <c r="L8" s="387"/>
      <c r="M8" s="387">
        <f>K8*$C$8</f>
        <v>2428.3883593749997</v>
      </c>
      <c r="N8" s="387"/>
      <c r="O8" s="387">
        <f>M8*$C$8</f>
        <v>2489.0980683593743</v>
      </c>
      <c r="P8" s="387"/>
      <c r="Q8" s="387">
        <f>O8*$C$8</f>
        <v>2551.3255200683584</v>
      </c>
      <c r="R8" s="387"/>
      <c r="S8" s="387">
        <f>Q8*$C$8</f>
        <v>2615.1086580700671</v>
      </c>
      <c r="T8" s="387"/>
      <c r="U8" s="387">
        <f>S8*$C$8</f>
        <v>2680.4863745218186</v>
      </c>
      <c r="V8" s="387"/>
      <c r="W8" s="387">
        <f>U8*$C$8</f>
        <v>2747.4985338848637</v>
      </c>
      <c r="X8" s="387"/>
      <c r="Y8" s="387">
        <f>W8*$C$8</f>
        <v>2816.1859972319849</v>
      </c>
      <c r="Z8" s="387"/>
      <c r="AA8" s="387">
        <f>Y8*$C$8</f>
        <v>2886.5906471627841</v>
      </c>
      <c r="AB8" s="387"/>
      <c r="AC8" s="387">
        <f>AA8*$C$8</f>
        <v>2958.7554133418535</v>
      </c>
      <c r="AD8" s="387"/>
      <c r="AE8" s="387">
        <f>AC8*$C$8</f>
        <v>3032.7242986753995</v>
      </c>
      <c r="AF8" s="387"/>
      <c r="AG8" s="387">
        <f>AE8*$C$8</f>
        <v>3108.5424061422841</v>
      </c>
      <c r="AH8" s="376"/>
    </row>
    <row r="9" spans="1:34" ht="13.8">
      <c r="A9" s="376"/>
      <c r="B9" s="376" t="s">
        <v>987</v>
      </c>
      <c r="C9" s="408">
        <f>IF(Application!$D$214="Special Needs",0.1,0.05)</f>
        <v>0.05</v>
      </c>
      <c r="D9" s="376"/>
      <c r="E9" s="386">
        <f>-E8*$C$9</f>
        <v>-110</v>
      </c>
      <c r="F9" s="386"/>
      <c r="G9" s="386">
        <f>-G8*$C$9</f>
        <v>-112.75</v>
      </c>
      <c r="H9" s="386"/>
      <c r="I9" s="386">
        <f>-I8*$C$9</f>
        <v>-115.56875000000001</v>
      </c>
      <c r="J9" s="386"/>
      <c r="K9" s="386">
        <f>-K8*$C$9</f>
        <v>-118.45796874999999</v>
      </c>
      <c r="L9" s="386"/>
      <c r="M9" s="386">
        <f>-M8*$C$9</f>
        <v>-121.41941796875</v>
      </c>
      <c r="N9" s="386"/>
      <c r="O9" s="386">
        <f>-O8*$C$9</f>
        <v>-124.45490341796872</v>
      </c>
      <c r="P9" s="386"/>
      <c r="Q9" s="386">
        <f>-Q8*$C$9</f>
        <v>-127.56627600341793</v>
      </c>
      <c r="R9" s="386"/>
      <c r="S9" s="386">
        <f>-S8*$C$9</f>
        <v>-130.75543290350336</v>
      </c>
      <c r="T9" s="386"/>
      <c r="U9" s="386">
        <f>-U8*$C$9</f>
        <v>-134.02431872609094</v>
      </c>
      <c r="V9" s="386"/>
      <c r="W9" s="386">
        <f>-W8*$C$9</f>
        <v>-137.37492669424319</v>
      </c>
      <c r="X9" s="386"/>
      <c r="Y9" s="386">
        <f>-Y8*$C$9</f>
        <v>-140.80929986159924</v>
      </c>
      <c r="Z9" s="386"/>
      <c r="AA9" s="386">
        <f>-AA8*$C$9</f>
        <v>-144.3295323581392</v>
      </c>
      <c r="AB9" s="386"/>
      <c r="AC9" s="386">
        <f>-AC8*$C$9</f>
        <v>-147.93777066709268</v>
      </c>
      <c r="AD9" s="386"/>
      <c r="AE9" s="386">
        <f>-AE8*$C$9</f>
        <v>-151.63621493376999</v>
      </c>
      <c r="AF9" s="386"/>
      <c r="AG9" s="386">
        <f>-AG8*$C$9</f>
        <v>-155.42712030711422</v>
      </c>
      <c r="AH9" s="376"/>
    </row>
    <row r="10" spans="1:34" ht="13.8">
      <c r="A10" s="934" t="s">
        <v>2301</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1165311.7999999998</v>
      </c>
      <c r="F11" s="388"/>
      <c r="G11" s="388">
        <f>SUM(G4:G10)</f>
        <v>1194444.595</v>
      </c>
      <c r="H11" s="388"/>
      <c r="I11" s="388">
        <f>SUM(I4:I10)</f>
        <v>1224305.7098749997</v>
      </c>
      <c r="J11" s="388"/>
      <c r="K11" s="388">
        <f>SUM(K4:K10)</f>
        <v>1254913.352621875</v>
      </c>
      <c r="L11" s="388"/>
      <c r="M11" s="388">
        <f>SUM(M4:M10)</f>
        <v>1286286.1864374217</v>
      </c>
      <c r="N11" s="388"/>
      <c r="O11" s="388">
        <f>SUM(O4:O10)</f>
        <v>1318443.3410983568</v>
      </c>
      <c r="P11" s="388"/>
      <c r="Q11" s="388">
        <f>SUM(Q4:Q10)</f>
        <v>1351404.4246258158</v>
      </c>
      <c r="R11" s="388"/>
      <c r="S11" s="388">
        <f>SUM(S4:S10)</f>
        <v>1385189.5352414609</v>
      </c>
      <c r="T11" s="388"/>
      <c r="U11" s="388">
        <f>SUM(U4:U10)</f>
        <v>1419819.2736224977</v>
      </c>
      <c r="V11" s="388"/>
      <c r="W11" s="388">
        <f>SUM(W4:W10)</f>
        <v>1455314.7554630595</v>
      </c>
      <c r="X11" s="388"/>
      <c r="Y11" s="388">
        <f>SUM(Y4:Y10)</f>
        <v>1491697.6243496363</v>
      </c>
      <c r="Z11" s="388"/>
      <c r="AA11" s="388">
        <f>SUM(AA4:AA10)</f>
        <v>1528990.064958377</v>
      </c>
      <c r="AB11" s="388"/>
      <c r="AC11" s="388">
        <f>SUM(AC4:AC10)</f>
        <v>1567214.8165823361</v>
      </c>
      <c r="AD11" s="388"/>
      <c r="AE11" s="388">
        <f>SUM(AE4:AE10)</f>
        <v>1606395.186996894</v>
      </c>
      <c r="AF11" s="388"/>
      <c r="AG11" s="388">
        <f>SUM(AG4:AG10)</f>
        <v>1646555.0666718164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67200</v>
      </c>
      <c r="F15" s="384"/>
      <c r="G15" s="384">
        <f t="shared" ref="G15:G21" si="0">E15*$C$14</f>
        <v>69552</v>
      </c>
      <c r="H15" s="384"/>
      <c r="I15" s="384">
        <f t="shared" ref="I15:I21" si="1">G15*$C$14</f>
        <v>71986.319999999992</v>
      </c>
      <c r="J15" s="384"/>
      <c r="K15" s="384">
        <f t="shared" ref="K15:K21" si="2">I15*$C$14</f>
        <v>74505.841199999981</v>
      </c>
      <c r="L15" s="384"/>
      <c r="M15" s="384">
        <f t="shared" ref="M15:M21" si="3">K15*$C$14</f>
        <v>77113.545641999968</v>
      </c>
      <c r="N15" s="384"/>
      <c r="O15" s="384">
        <f t="shared" ref="O15:O21" si="4">M15*$C$14</f>
        <v>79812.519739469964</v>
      </c>
      <c r="P15" s="384"/>
      <c r="Q15" s="384">
        <f t="shared" ref="Q15:Q21" si="5">O15*$C$14</f>
        <v>82605.957930351404</v>
      </c>
      <c r="R15" s="384"/>
      <c r="S15" s="384">
        <f t="shared" ref="S15:S21" si="6">Q15*$C$14</f>
        <v>85497.1664579137</v>
      </c>
      <c r="T15" s="384"/>
      <c r="U15" s="384">
        <f t="shared" ref="U15:U21" si="7">S15*$C$14</f>
        <v>88489.567283940676</v>
      </c>
      <c r="V15" s="384"/>
      <c r="W15" s="384">
        <f t="shared" ref="W15:W21" si="8">U15*$C$14</f>
        <v>91586.702138878594</v>
      </c>
      <c r="X15" s="384"/>
      <c r="Y15" s="384">
        <f t="shared" ref="Y15:Y21" si="9">W15*$C$14</f>
        <v>94792.236713739345</v>
      </c>
      <c r="Z15" s="384"/>
      <c r="AA15" s="384">
        <f t="shared" ref="AA15:AA21" si="10">Y15*$C$14</f>
        <v>98109.964998720214</v>
      </c>
      <c r="AB15" s="384"/>
      <c r="AC15" s="384">
        <f t="shared" ref="AC15:AC21" si="11">AA15*$C$14</f>
        <v>101543.81377367541</v>
      </c>
      <c r="AD15" s="384"/>
      <c r="AE15" s="384">
        <f t="shared" ref="AE15:AE21" si="12">AC15*$C$14</f>
        <v>105097.84725575405</v>
      </c>
      <c r="AF15" s="384"/>
      <c r="AG15" s="384">
        <f t="shared" ref="AG15:AG21" si="13">AE15*$C$14</f>
        <v>108776.27190970544</v>
      </c>
      <c r="AH15" s="384"/>
    </row>
    <row r="16" spans="1:34" ht="13.8">
      <c r="A16" s="376" t="s">
        <v>467</v>
      </c>
      <c r="B16" s="376"/>
      <c r="C16" s="398"/>
      <c r="D16" s="376"/>
      <c r="E16" s="387">
        <f>Application!W828</f>
        <v>34188</v>
      </c>
      <c r="F16" s="387"/>
      <c r="G16" s="387">
        <f t="shared" si="0"/>
        <v>35384.579999999994</v>
      </c>
      <c r="H16" s="387"/>
      <c r="I16" s="387">
        <f t="shared" si="1"/>
        <v>36623.040299999993</v>
      </c>
      <c r="J16" s="387"/>
      <c r="K16" s="387">
        <f t="shared" si="2"/>
        <v>37904.846710499987</v>
      </c>
      <c r="L16" s="387"/>
      <c r="M16" s="387">
        <f t="shared" si="3"/>
        <v>39231.516345367483</v>
      </c>
      <c r="N16" s="387"/>
      <c r="O16" s="387">
        <f t="shared" si="4"/>
        <v>40604.619417455338</v>
      </c>
      <c r="P16" s="387"/>
      <c r="Q16" s="387">
        <f t="shared" si="5"/>
        <v>42025.781097066269</v>
      </c>
      <c r="R16" s="387"/>
      <c r="S16" s="387">
        <f t="shared" si="6"/>
        <v>43496.683435463587</v>
      </c>
      <c r="T16" s="387"/>
      <c r="U16" s="387">
        <f t="shared" si="7"/>
        <v>45019.067355704807</v>
      </c>
      <c r="V16" s="387"/>
      <c r="W16" s="387">
        <f t="shared" si="8"/>
        <v>46594.734713154474</v>
      </c>
      <c r="X16" s="387"/>
      <c r="Y16" s="387">
        <f t="shared" si="9"/>
        <v>48225.550428114875</v>
      </c>
      <c r="Z16" s="387"/>
      <c r="AA16" s="387">
        <f t="shared" si="10"/>
        <v>49913.444693098892</v>
      </c>
      <c r="AB16" s="387"/>
      <c r="AC16" s="387">
        <f t="shared" si="11"/>
        <v>51660.415257357352</v>
      </c>
      <c r="AD16" s="387"/>
      <c r="AE16" s="387">
        <f t="shared" si="12"/>
        <v>53468.529791364854</v>
      </c>
      <c r="AF16" s="387"/>
      <c r="AG16" s="387">
        <f t="shared" si="13"/>
        <v>55339.928334062621</v>
      </c>
      <c r="AH16" s="376"/>
    </row>
    <row r="17" spans="1:34" ht="13.8">
      <c r="A17" s="376" t="s">
        <v>733</v>
      </c>
      <c r="B17" s="376"/>
      <c r="C17" s="398"/>
      <c r="D17" s="376"/>
      <c r="E17" s="387">
        <f>Application!W834</f>
        <v>55272</v>
      </c>
      <c r="F17" s="387"/>
      <c r="G17" s="387">
        <f t="shared" si="0"/>
        <v>57206.52</v>
      </c>
      <c r="H17" s="387"/>
      <c r="I17" s="387">
        <f t="shared" si="1"/>
        <v>59208.748199999995</v>
      </c>
      <c r="J17" s="387"/>
      <c r="K17" s="387">
        <f t="shared" si="2"/>
        <v>61281.054386999989</v>
      </c>
      <c r="L17" s="387"/>
      <c r="M17" s="387">
        <f t="shared" si="3"/>
        <v>63425.891290544983</v>
      </c>
      <c r="N17" s="387"/>
      <c r="O17" s="387">
        <f t="shared" si="4"/>
        <v>65645.797485714051</v>
      </c>
      <c r="P17" s="387"/>
      <c r="Q17" s="387">
        <f t="shared" si="5"/>
        <v>67943.400397714038</v>
      </c>
      <c r="R17" s="387"/>
      <c r="S17" s="387">
        <f t="shared" si="6"/>
        <v>70321.419411634022</v>
      </c>
      <c r="T17" s="387"/>
      <c r="U17" s="387">
        <f t="shared" si="7"/>
        <v>72782.669091041214</v>
      </c>
      <c r="V17" s="387"/>
      <c r="W17" s="387">
        <f t="shared" si="8"/>
        <v>75330.062509227646</v>
      </c>
      <c r="X17" s="387"/>
      <c r="Y17" s="387">
        <f t="shared" si="9"/>
        <v>77966.614697050609</v>
      </c>
      <c r="Z17" s="387"/>
      <c r="AA17" s="387">
        <f t="shared" si="10"/>
        <v>80695.446211447372</v>
      </c>
      <c r="AB17" s="387"/>
      <c r="AC17" s="387">
        <f t="shared" si="11"/>
        <v>83519.786828848024</v>
      </c>
      <c r="AD17" s="387"/>
      <c r="AE17" s="387">
        <f t="shared" si="12"/>
        <v>86442.979367857697</v>
      </c>
      <c r="AF17" s="387"/>
      <c r="AG17" s="387">
        <f t="shared" si="13"/>
        <v>89468.483645732704</v>
      </c>
      <c r="AH17" s="376"/>
    </row>
    <row r="18" spans="1:34" ht="13.8">
      <c r="A18" s="376" t="s">
        <v>1078</v>
      </c>
      <c r="B18" s="376"/>
      <c r="C18" s="398"/>
      <c r="D18" s="376"/>
      <c r="E18" s="387">
        <f>Application!W841</f>
        <v>142906</v>
      </c>
      <c r="F18" s="387"/>
      <c r="G18" s="387">
        <f t="shared" si="0"/>
        <v>147907.71</v>
      </c>
      <c r="H18" s="387"/>
      <c r="I18" s="387">
        <f t="shared" si="1"/>
        <v>153084.47984999997</v>
      </c>
      <c r="J18" s="387"/>
      <c r="K18" s="387">
        <f t="shared" si="2"/>
        <v>158442.43664474995</v>
      </c>
      <c r="L18" s="387"/>
      <c r="M18" s="387">
        <f t="shared" si="3"/>
        <v>163987.92192731617</v>
      </c>
      <c r="N18" s="387"/>
      <c r="O18" s="387">
        <f t="shared" si="4"/>
        <v>169727.49919477222</v>
      </c>
      <c r="P18" s="387"/>
      <c r="Q18" s="387">
        <f t="shared" si="5"/>
        <v>175667.96166658922</v>
      </c>
      <c r="R18" s="387"/>
      <c r="S18" s="387">
        <f t="shared" si="6"/>
        <v>181816.34032491985</v>
      </c>
      <c r="T18" s="387"/>
      <c r="U18" s="387">
        <f t="shared" si="7"/>
        <v>188179.91223629203</v>
      </c>
      <c r="V18" s="387"/>
      <c r="W18" s="387">
        <f t="shared" si="8"/>
        <v>194766.20916456223</v>
      </c>
      <c r="X18" s="387"/>
      <c r="Y18" s="387">
        <f t="shared" si="9"/>
        <v>201583.0264853219</v>
      </c>
      <c r="Z18" s="387"/>
      <c r="AA18" s="387">
        <f t="shared" si="10"/>
        <v>208638.43241230815</v>
      </c>
      <c r="AB18" s="387"/>
      <c r="AC18" s="387">
        <f t="shared" si="11"/>
        <v>215940.77754673891</v>
      </c>
      <c r="AD18" s="387"/>
      <c r="AE18" s="387">
        <f t="shared" si="12"/>
        <v>223498.70476087477</v>
      </c>
      <c r="AF18" s="387"/>
      <c r="AG18" s="387">
        <f t="shared" si="13"/>
        <v>231321.15942750536</v>
      </c>
    </row>
    <row r="19" spans="1:34" ht="13.8">
      <c r="A19" s="376" t="s">
        <v>930</v>
      </c>
      <c r="B19" s="376"/>
      <c r="C19" s="398"/>
      <c r="D19" s="376"/>
      <c r="E19" s="387">
        <f>Application!W842</f>
        <v>25848</v>
      </c>
      <c r="F19" s="387"/>
      <c r="G19" s="387">
        <f t="shared" si="0"/>
        <v>26752.679999999997</v>
      </c>
      <c r="H19" s="387"/>
      <c r="I19" s="387">
        <f t="shared" si="1"/>
        <v>27689.023799999995</v>
      </c>
      <c r="J19" s="387"/>
      <c r="K19" s="387">
        <f t="shared" si="2"/>
        <v>28658.139632999992</v>
      </c>
      <c r="L19" s="387"/>
      <c r="M19" s="387">
        <f t="shared" si="3"/>
        <v>29661.174520154989</v>
      </c>
      <c r="N19" s="387"/>
      <c r="O19" s="387">
        <f t="shared" si="4"/>
        <v>30699.315628360411</v>
      </c>
      <c r="P19" s="387"/>
      <c r="Q19" s="387">
        <f t="shared" si="5"/>
        <v>31773.791675353023</v>
      </c>
      <c r="R19" s="387"/>
      <c r="S19" s="387">
        <f t="shared" si="6"/>
        <v>32885.874383990376</v>
      </c>
      <c r="T19" s="387"/>
      <c r="U19" s="387">
        <f t="shared" si="7"/>
        <v>34036.879987430038</v>
      </c>
      <c r="V19" s="387"/>
      <c r="W19" s="387">
        <f t="shared" si="8"/>
        <v>35228.170786990086</v>
      </c>
      <c r="X19" s="387"/>
      <c r="Y19" s="387">
        <f t="shared" si="9"/>
        <v>36461.156764534739</v>
      </c>
      <c r="Z19" s="387"/>
      <c r="AA19" s="387">
        <f t="shared" si="10"/>
        <v>37737.29725129345</v>
      </c>
      <c r="AB19" s="387"/>
      <c r="AC19" s="387">
        <f t="shared" si="11"/>
        <v>39058.102655088718</v>
      </c>
      <c r="AD19" s="387"/>
      <c r="AE19" s="387">
        <f t="shared" si="12"/>
        <v>40425.136248016817</v>
      </c>
      <c r="AF19" s="387"/>
      <c r="AG19" s="387">
        <f t="shared" si="13"/>
        <v>41840.016016697402</v>
      </c>
    </row>
    <row r="20" spans="1:34" ht="13.8">
      <c r="A20" s="376" t="s">
        <v>54</v>
      </c>
      <c r="B20" s="376"/>
      <c r="C20" s="398"/>
      <c r="D20" s="376"/>
      <c r="E20" s="387">
        <f>Application!W851</f>
        <v>75135</v>
      </c>
      <c r="F20" s="387"/>
      <c r="G20" s="387">
        <f t="shared" si="0"/>
        <v>77764.724999999991</v>
      </c>
      <c r="H20" s="387"/>
      <c r="I20" s="387">
        <f t="shared" si="1"/>
        <v>80486.490374999979</v>
      </c>
      <c r="J20" s="387"/>
      <c r="K20" s="387">
        <f t="shared" si="2"/>
        <v>83303.517538124972</v>
      </c>
      <c r="L20" s="387"/>
      <c r="M20" s="387">
        <f t="shared" si="3"/>
        <v>86219.140651959344</v>
      </c>
      <c r="N20" s="387"/>
      <c r="O20" s="387">
        <f t="shared" si="4"/>
        <v>89236.810574777919</v>
      </c>
      <c r="P20" s="387"/>
      <c r="Q20" s="387">
        <f t="shared" si="5"/>
        <v>92360.098944895144</v>
      </c>
      <c r="R20" s="387"/>
      <c r="S20" s="387">
        <f t="shared" si="6"/>
        <v>95592.70240796647</v>
      </c>
      <c r="T20" s="387"/>
      <c r="U20" s="387">
        <f t="shared" si="7"/>
        <v>98938.446992245284</v>
      </c>
      <c r="V20" s="387"/>
      <c r="W20" s="387">
        <f t="shared" si="8"/>
        <v>102401.29263697386</v>
      </c>
      <c r="X20" s="387"/>
      <c r="Y20" s="387">
        <f t="shared" si="9"/>
        <v>105985.33787926793</v>
      </c>
      <c r="Z20" s="387"/>
      <c r="AA20" s="387">
        <f t="shared" si="10"/>
        <v>109694.82470504229</v>
      </c>
      <c r="AB20" s="387"/>
      <c r="AC20" s="387">
        <f t="shared" si="11"/>
        <v>113534.14356971877</v>
      </c>
      <c r="AD20" s="387"/>
      <c r="AE20" s="387">
        <f t="shared" si="12"/>
        <v>117507.83859465891</v>
      </c>
      <c r="AF20" s="387"/>
      <c r="AG20" s="387">
        <f t="shared" si="13"/>
        <v>121620.61294547196</v>
      </c>
    </row>
    <row r="21" spans="1:34" ht="13.8">
      <c r="A21" s="599" t="s">
        <v>1210</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8">
      <c r="A22" s="388" t="s">
        <v>1079</v>
      </c>
      <c r="B22" s="388"/>
      <c r="C22" s="398"/>
      <c r="D22" s="388"/>
      <c r="E22" s="388">
        <f>SUM(E15:E21)</f>
        <v>401349</v>
      </c>
      <c r="F22" s="388"/>
      <c r="G22" s="388">
        <f>SUM(G15:G21)</f>
        <v>415396.21499999991</v>
      </c>
      <c r="H22" s="388"/>
      <c r="I22" s="388">
        <f>SUM(I15:I21)</f>
        <v>429935.08252499992</v>
      </c>
      <c r="J22" s="388"/>
      <c r="K22" s="388">
        <f>SUM(K15:K21)</f>
        <v>444982.81041337491</v>
      </c>
      <c r="L22" s="388"/>
      <c r="M22" s="388">
        <f>SUM(M15:M21)</f>
        <v>460557.20877784299</v>
      </c>
      <c r="N22" s="388"/>
      <c r="O22" s="388">
        <f>SUM(O15:O21)</f>
        <v>476676.71108506742</v>
      </c>
      <c r="P22" s="388"/>
      <c r="Q22" s="388">
        <f>SUM(Q15:Q21)</f>
        <v>493360.39597304474</v>
      </c>
      <c r="R22" s="388"/>
      <c r="S22" s="388">
        <f>SUM(S15:S21)</f>
        <v>510628.00983210129</v>
      </c>
      <c r="T22" s="388"/>
      <c r="U22" s="388">
        <f>SUM(U15:U21)</f>
        <v>528499.99017622485</v>
      </c>
      <c r="V22" s="388"/>
      <c r="W22" s="388">
        <f>SUM(W15:W21)</f>
        <v>546997.48983239266</v>
      </c>
      <c r="X22" s="388"/>
      <c r="Y22" s="388">
        <f>SUM(Y15:Y21)</f>
        <v>566142.40197652637</v>
      </c>
      <c r="Z22" s="388"/>
      <c r="AA22" s="388">
        <f>SUM(AA15:AA21)</f>
        <v>585957.38604570471</v>
      </c>
      <c r="AB22" s="388"/>
      <c r="AC22" s="388">
        <f>SUM(AC15:AC21)</f>
        <v>606465.89455730421</v>
      </c>
      <c r="AD22" s="388"/>
      <c r="AE22" s="388">
        <f>SUM(AE15:AE21)</f>
        <v>627692.20086680993</v>
      </c>
      <c r="AF22" s="388"/>
      <c r="AG22" s="388">
        <f>SUM(AG15:AG21)</f>
        <v>649661.42789714818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1927</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83700</v>
      </c>
      <c r="F27" s="387"/>
      <c r="G27" s="387">
        <f>E27*$C$27</f>
        <v>86629.5</v>
      </c>
      <c r="H27" s="387"/>
      <c r="I27" s="387">
        <f>G27*$C$27</f>
        <v>89661.532499999987</v>
      </c>
      <c r="J27" s="387"/>
      <c r="K27" s="387">
        <f>I27*$C$27</f>
        <v>92799.686137499986</v>
      </c>
      <c r="L27" s="387"/>
      <c r="M27" s="387">
        <f>K27*$C$27</f>
        <v>96047.675152312484</v>
      </c>
      <c r="N27" s="387"/>
      <c r="O27" s="387">
        <f>M27*$C$27</f>
        <v>99409.343782643409</v>
      </c>
      <c r="P27" s="387"/>
      <c r="Q27" s="387">
        <f>O27*$C$27</f>
        <v>102888.67081503592</v>
      </c>
      <c r="R27" s="387"/>
      <c r="S27" s="387">
        <f>Q27*$C$27</f>
        <v>106489.77429356216</v>
      </c>
      <c r="T27" s="387"/>
      <c r="U27" s="387">
        <f>S27*$C$27</f>
        <v>110216.91639383683</v>
      </c>
      <c r="V27" s="387"/>
      <c r="W27" s="387">
        <f>U27*$C$27</f>
        <v>114074.50846762111</v>
      </c>
      <c r="X27" s="387"/>
      <c r="Y27" s="387">
        <f>W27*$C$27</f>
        <v>118067.11626398785</v>
      </c>
      <c r="Z27" s="387"/>
      <c r="AA27" s="387">
        <f>Y27*$C$27</f>
        <v>122199.46533322742</v>
      </c>
      <c r="AB27" s="387"/>
      <c r="AC27" s="387">
        <f>AA27*$C$27</f>
        <v>126476.44661989037</v>
      </c>
      <c r="AD27" s="387"/>
      <c r="AE27" s="387">
        <f>AC27*$C$27</f>
        <v>130903.12225158652</v>
      </c>
      <c r="AF27" s="387"/>
      <c r="AG27" s="387">
        <f>AE27*$C$27</f>
        <v>135484.73153039205</v>
      </c>
    </row>
    <row r="28" spans="1:34" ht="13.8">
      <c r="A28" s="599" t="s">
        <v>1081</v>
      </c>
      <c r="B28" s="376"/>
      <c r="C28" s="407"/>
      <c r="D28" s="376"/>
      <c r="E28" s="387">
        <f>Application!AC868</f>
        <v>9250</v>
      </c>
      <c r="F28" s="387"/>
      <c r="G28" s="387">
        <f>$E$28</f>
        <v>9250</v>
      </c>
      <c r="H28" s="387"/>
      <c r="I28" s="387">
        <f>$E$28</f>
        <v>9250</v>
      </c>
      <c r="J28" s="387"/>
      <c r="K28" s="387">
        <f>$E$28</f>
        <v>9250</v>
      </c>
      <c r="L28" s="387"/>
      <c r="M28" s="387">
        <f>$E$28</f>
        <v>9250</v>
      </c>
      <c r="N28" s="387"/>
      <c r="O28" s="387">
        <f>$E$28</f>
        <v>9250</v>
      </c>
      <c r="P28" s="387"/>
      <c r="Q28" s="387">
        <f>$E$28</f>
        <v>9250</v>
      </c>
      <c r="R28" s="387"/>
      <c r="S28" s="387">
        <f>$E$28</f>
        <v>9250</v>
      </c>
      <c r="T28" s="387"/>
      <c r="U28" s="387">
        <f>$E$28</f>
        <v>9250</v>
      </c>
      <c r="V28" s="387"/>
      <c r="W28" s="387">
        <f>$E$28</f>
        <v>9250</v>
      </c>
      <c r="X28" s="387"/>
      <c r="Y28" s="387">
        <f>$E$28</f>
        <v>9250</v>
      </c>
      <c r="Z28" s="387"/>
      <c r="AA28" s="387">
        <f>$E$28</f>
        <v>9250</v>
      </c>
      <c r="AB28" s="387"/>
      <c r="AC28" s="387">
        <f>$E$28</f>
        <v>9250</v>
      </c>
      <c r="AD28" s="387"/>
      <c r="AE28" s="387">
        <f>$E$28</f>
        <v>9250</v>
      </c>
      <c r="AF28" s="387"/>
      <c r="AG28" s="387">
        <f>$E$28</f>
        <v>9250</v>
      </c>
    </row>
    <row r="29" spans="1:34" ht="13.8">
      <c r="A29" s="599" t="s">
        <v>1928</v>
      </c>
      <c r="B29" s="376"/>
      <c r="C29" s="407"/>
      <c r="D29" s="376"/>
      <c r="E29" s="387">
        <f>Application!AC869</f>
        <v>9250</v>
      </c>
      <c r="F29" s="387"/>
      <c r="G29" s="387">
        <f>$E$29</f>
        <v>9250</v>
      </c>
      <c r="H29" s="387"/>
      <c r="I29" s="387">
        <f>$E$29</f>
        <v>9250</v>
      </c>
      <c r="J29" s="387"/>
      <c r="K29" s="387">
        <f>$E$29</f>
        <v>9250</v>
      </c>
      <c r="L29" s="387"/>
      <c r="M29" s="387">
        <f>$E$29</f>
        <v>9250</v>
      </c>
      <c r="N29" s="387"/>
      <c r="O29" s="387">
        <f>$E$29</f>
        <v>9250</v>
      </c>
      <c r="P29" s="387"/>
      <c r="Q29" s="387">
        <f>$E$29</f>
        <v>9250</v>
      </c>
      <c r="R29" s="387"/>
      <c r="S29" s="387">
        <f>$E$29</f>
        <v>9250</v>
      </c>
      <c r="T29" s="387"/>
      <c r="U29" s="387">
        <f>$E$29</f>
        <v>9250</v>
      </c>
      <c r="V29" s="387"/>
      <c r="W29" s="387">
        <f>$E$29</f>
        <v>9250</v>
      </c>
      <c r="X29" s="387"/>
      <c r="Y29" s="387">
        <f>$E$29</f>
        <v>9250</v>
      </c>
      <c r="Z29" s="387"/>
      <c r="AA29" s="387">
        <f>$E$29</f>
        <v>9250</v>
      </c>
      <c r="AB29" s="387"/>
      <c r="AC29" s="387">
        <f>$E$29</f>
        <v>9250</v>
      </c>
      <c r="AD29" s="387"/>
      <c r="AE29" s="387">
        <f>$E$29</f>
        <v>9250</v>
      </c>
      <c r="AF29" s="387"/>
      <c r="AG29" s="387">
        <f>$E$29</f>
        <v>9250</v>
      </c>
    </row>
    <row r="30" spans="1:34" ht="13.8">
      <c r="A30" s="599" t="s">
        <v>1082</v>
      </c>
      <c r="B30" s="376"/>
      <c r="C30" s="407">
        <v>1.02</v>
      </c>
      <c r="D30" s="376"/>
      <c r="E30" s="387">
        <f>Application!AC870</f>
        <v>10473</v>
      </c>
      <c r="F30" s="387"/>
      <c r="G30" s="387">
        <f>E30*$C$30</f>
        <v>10682.460000000001</v>
      </c>
      <c r="H30" s="387"/>
      <c r="I30" s="387">
        <f>G30*$C$30</f>
        <v>10896.109200000001</v>
      </c>
      <c r="J30" s="387"/>
      <c r="K30" s="387">
        <f>I30*$C$30</f>
        <v>11114.031384000002</v>
      </c>
      <c r="L30" s="387"/>
      <c r="M30" s="387">
        <f>K30*$C$30</f>
        <v>11336.312011680002</v>
      </c>
      <c r="N30" s="387"/>
      <c r="O30" s="387">
        <f>M30*$C$30</f>
        <v>11563.038251913602</v>
      </c>
      <c r="P30" s="387"/>
      <c r="Q30" s="387">
        <f>O30*$C$30</f>
        <v>11794.299016951874</v>
      </c>
      <c r="R30" s="387"/>
      <c r="S30" s="387">
        <f>Q30*$C$30</f>
        <v>12030.184997290911</v>
      </c>
      <c r="T30" s="387"/>
      <c r="U30" s="387">
        <f>S30*$C$30</f>
        <v>12270.788697236731</v>
      </c>
      <c r="V30" s="387"/>
      <c r="W30" s="387">
        <f>U30*$C$30</f>
        <v>12516.204471181465</v>
      </c>
      <c r="X30" s="387"/>
      <c r="Y30" s="387">
        <f>W30*$C$30</f>
        <v>12766.528560605095</v>
      </c>
      <c r="Z30" s="387"/>
      <c r="AA30" s="387">
        <f>Y30*$C$30</f>
        <v>13021.859131817197</v>
      </c>
      <c r="AB30" s="387"/>
      <c r="AC30" s="387">
        <f>AA30*$C$30</f>
        <v>13282.296314453541</v>
      </c>
      <c r="AD30" s="387"/>
      <c r="AE30" s="387">
        <f>AC30*$C$30</f>
        <v>13547.942240742612</v>
      </c>
      <c r="AF30" s="387"/>
      <c r="AG30" s="387">
        <f>AE30*$C$30</f>
        <v>13818.901085557465</v>
      </c>
    </row>
    <row r="31" spans="1:34" ht="13.8">
      <c r="A31" s="599" t="s">
        <v>1929</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514022</v>
      </c>
      <c r="F35" s="388"/>
      <c r="G35" s="388">
        <f>SUM(G22:G33)</f>
        <v>531208.17499999993</v>
      </c>
      <c r="H35" s="388"/>
      <c r="I35" s="388">
        <f>SUM(I22:I33)</f>
        <v>548992.7242249999</v>
      </c>
      <c r="J35" s="388"/>
      <c r="K35" s="388">
        <f>SUM(K22:K33)</f>
        <v>567396.52793487487</v>
      </c>
      <c r="L35" s="388"/>
      <c r="M35" s="388">
        <f>SUM(M22:M33)</f>
        <v>586441.19594183541</v>
      </c>
      <c r="N35" s="388"/>
      <c r="O35" s="388">
        <f>SUM(O22:O33)</f>
        <v>606149.09311962442</v>
      </c>
      <c r="P35" s="388"/>
      <c r="Q35" s="388">
        <f>SUM(Q22:Q33)</f>
        <v>626543.36580503243</v>
      </c>
      <c r="R35" s="388"/>
      <c r="S35" s="388">
        <f>SUM(S22:S33)</f>
        <v>647647.96912295441</v>
      </c>
      <c r="T35" s="388"/>
      <c r="U35" s="388">
        <f>SUM(U22:U33)</f>
        <v>669487.69526729838</v>
      </c>
      <c r="V35" s="388"/>
      <c r="W35" s="388">
        <f>SUM(W22:W33)</f>
        <v>692088.20277119533</v>
      </c>
      <c r="X35" s="388"/>
      <c r="Y35" s="388">
        <f>SUM(Y22:Y33)</f>
        <v>715476.04680111934</v>
      </c>
      <c r="Z35" s="388"/>
      <c r="AA35" s="388">
        <f>SUM(AA22:AA33)</f>
        <v>739678.71051074937</v>
      </c>
      <c r="AB35" s="388"/>
      <c r="AC35" s="388">
        <f>SUM(AC22:AC33)</f>
        <v>764724.6374916482</v>
      </c>
      <c r="AD35" s="388"/>
      <c r="AE35" s="388">
        <f>SUM(AE22:AE33)</f>
        <v>790643.26535913907</v>
      </c>
      <c r="AF35" s="388"/>
      <c r="AG35" s="388">
        <f>SUM(AG22:AG33)</f>
        <v>817465.06051309768</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651289.79999999981</v>
      </c>
      <c r="F37" s="388"/>
      <c r="G37" s="388">
        <f>G11-G35</f>
        <v>663236.42000000004</v>
      </c>
      <c r="H37" s="388"/>
      <c r="I37" s="388">
        <f>I11-I35</f>
        <v>675312.98564999981</v>
      </c>
      <c r="J37" s="388"/>
      <c r="K37" s="388">
        <f>K11-K35</f>
        <v>687516.82468700013</v>
      </c>
      <c r="L37" s="388"/>
      <c r="M37" s="388">
        <f>M11-M35</f>
        <v>699844.9904955863</v>
      </c>
      <c r="N37" s="388"/>
      <c r="O37" s="388">
        <f>O11-O35</f>
        <v>712294.24797873234</v>
      </c>
      <c r="P37" s="388"/>
      <c r="Q37" s="388">
        <f>Q11-Q35</f>
        <v>724861.05882078339</v>
      </c>
      <c r="R37" s="388"/>
      <c r="S37" s="388">
        <f>S11-S35</f>
        <v>737541.56611850648</v>
      </c>
      <c r="T37" s="388"/>
      <c r="U37" s="388">
        <f>U11-U35</f>
        <v>750331.57835519931</v>
      </c>
      <c r="V37" s="388"/>
      <c r="W37" s="388">
        <f>W11-W35</f>
        <v>763226.5526918642</v>
      </c>
      <c r="X37" s="388"/>
      <c r="Y37" s="388">
        <f>Y11-Y35</f>
        <v>776221.57754851691</v>
      </c>
      <c r="Z37" s="388"/>
      <c r="AA37" s="388">
        <f>AA11-AA35</f>
        <v>789311.35444762767</v>
      </c>
      <c r="AB37" s="388"/>
      <c r="AC37" s="388">
        <f>AC11-AC35</f>
        <v>802490.17909068789</v>
      </c>
      <c r="AD37" s="388"/>
      <c r="AE37" s="388">
        <f>AE11-AE35</f>
        <v>815751.92163775489</v>
      </c>
      <c r="AF37" s="388"/>
      <c r="AG37" s="388">
        <f>AG11-AG35</f>
        <v>829090.00615871872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Community Reinvestment Corporation (Perm)</v>
      </c>
      <c r="B40" s="391"/>
      <c r="C40" s="385"/>
      <c r="D40" s="376"/>
      <c r="E40" s="384">
        <f>Application!AF621</f>
        <v>436842</v>
      </c>
      <c r="F40" s="384"/>
      <c r="G40" s="384">
        <f>$E$40</f>
        <v>436842</v>
      </c>
      <c r="H40" s="384"/>
      <c r="I40" s="384">
        <f>$E$40</f>
        <v>436842</v>
      </c>
      <c r="J40" s="384"/>
      <c r="K40" s="384">
        <f>$E$40</f>
        <v>436842</v>
      </c>
      <c r="L40" s="384"/>
      <c r="M40" s="384">
        <f>$E$40</f>
        <v>436842</v>
      </c>
      <c r="N40" s="384"/>
      <c r="O40" s="384">
        <f>$E$40</f>
        <v>436842</v>
      </c>
      <c r="P40" s="384"/>
      <c r="Q40" s="384">
        <f>$E$40</f>
        <v>436842</v>
      </c>
      <c r="R40" s="384"/>
      <c r="S40" s="384">
        <f>$E$40</f>
        <v>436842</v>
      </c>
      <c r="T40" s="384"/>
      <c r="U40" s="384">
        <f>$E$40</f>
        <v>436842</v>
      </c>
      <c r="V40" s="384"/>
      <c r="W40" s="384">
        <f>$E$40</f>
        <v>436842</v>
      </c>
      <c r="X40" s="384"/>
      <c r="Y40" s="384">
        <f>$E$40</f>
        <v>436842</v>
      </c>
      <c r="Z40" s="384"/>
      <c r="AA40" s="384">
        <f>$E$40</f>
        <v>436842</v>
      </c>
      <c r="AB40" s="384"/>
      <c r="AC40" s="384">
        <f>$E$40</f>
        <v>436842</v>
      </c>
      <c r="AD40" s="384"/>
      <c r="AE40" s="384">
        <f>$E$40</f>
        <v>436842</v>
      </c>
      <c r="AF40" s="384"/>
      <c r="AG40" s="384">
        <f>$E$40</f>
        <v>436842</v>
      </c>
      <c r="AH40" s="376"/>
      <c r="AI40" s="376"/>
    </row>
    <row r="41" spans="1:35" ht="13.8">
      <c r="A41" s="390" t="str">
        <f>Application!C622</f>
        <v>Apple - Housing Trust of Silicon Valley</v>
      </c>
      <c r="B41" s="391"/>
      <c r="C41" s="385"/>
      <c r="D41" s="376"/>
      <c r="E41" s="384">
        <f>Application!AF622</f>
        <v>129312</v>
      </c>
      <c r="F41" s="387"/>
      <c r="G41" s="387">
        <f>$E$41</f>
        <v>129312</v>
      </c>
      <c r="H41" s="387"/>
      <c r="I41" s="387">
        <f>$E$41</f>
        <v>129312</v>
      </c>
      <c r="J41" s="387"/>
      <c r="K41" s="387">
        <f>$E$41</f>
        <v>129312</v>
      </c>
      <c r="L41" s="387"/>
      <c r="M41" s="387">
        <f>$E$41</f>
        <v>129312</v>
      </c>
      <c r="N41" s="387"/>
      <c r="O41" s="387">
        <f>$E$41</f>
        <v>129312</v>
      </c>
      <c r="P41" s="387"/>
      <c r="Q41" s="387">
        <f>$E$41</f>
        <v>129312</v>
      </c>
      <c r="R41" s="387"/>
      <c r="S41" s="387">
        <f>$E$41</f>
        <v>129312</v>
      </c>
      <c r="T41" s="387"/>
      <c r="U41" s="387">
        <f>$E$41</f>
        <v>129312</v>
      </c>
      <c r="V41" s="387"/>
      <c r="W41" s="387">
        <f>$E$41</f>
        <v>129312</v>
      </c>
      <c r="X41" s="387"/>
      <c r="Y41" s="387">
        <f>$E$41</f>
        <v>129312</v>
      </c>
      <c r="Z41" s="387"/>
      <c r="AA41" s="387">
        <f>$E$41</f>
        <v>129312</v>
      </c>
      <c r="AB41" s="387"/>
      <c r="AC41" s="387">
        <f>$E$41</f>
        <v>129312</v>
      </c>
      <c r="AD41" s="387"/>
      <c r="AE41" s="387">
        <f>$E$41</f>
        <v>129312</v>
      </c>
      <c r="AF41" s="387"/>
      <c r="AG41" s="387">
        <f>$E$41</f>
        <v>129312</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566154</v>
      </c>
      <c r="F43" s="388"/>
      <c r="G43" s="388">
        <f>SUM(G40:G42)</f>
        <v>566154</v>
      </c>
      <c r="H43" s="388"/>
      <c r="I43" s="388">
        <f>SUM(I40:I42)</f>
        <v>566154</v>
      </c>
      <c r="J43" s="388"/>
      <c r="K43" s="388">
        <f>SUM(K40:K42)</f>
        <v>566154</v>
      </c>
      <c r="L43" s="388"/>
      <c r="M43" s="388">
        <f>SUM(M40:M42)</f>
        <v>566154</v>
      </c>
      <c r="N43" s="388"/>
      <c r="O43" s="388">
        <f>SUM(O40:O42)</f>
        <v>566154</v>
      </c>
      <c r="P43" s="388"/>
      <c r="Q43" s="388">
        <f>SUM(Q40:Q42)</f>
        <v>566154</v>
      </c>
      <c r="R43" s="388"/>
      <c r="S43" s="388">
        <f>SUM(S40:S42)</f>
        <v>566154</v>
      </c>
      <c r="T43" s="388"/>
      <c r="U43" s="388">
        <f>SUM(U40:U42)</f>
        <v>566154</v>
      </c>
      <c r="V43" s="388"/>
      <c r="W43" s="388">
        <f>SUM(W40:W42)</f>
        <v>566154</v>
      </c>
      <c r="X43" s="388"/>
      <c r="Y43" s="388">
        <f>SUM(Y40:Y42)</f>
        <v>566154</v>
      </c>
      <c r="Z43" s="388"/>
      <c r="AA43" s="388">
        <f>SUM(AA40:AA42)</f>
        <v>566154</v>
      </c>
      <c r="AB43" s="388"/>
      <c r="AC43" s="388">
        <f>SUM(AC40:AC42)</f>
        <v>566154</v>
      </c>
      <c r="AD43" s="388"/>
      <c r="AE43" s="388">
        <f>SUM(AE40:AE42)</f>
        <v>566154</v>
      </c>
      <c r="AF43" s="388"/>
      <c r="AG43" s="388">
        <f>SUM(AG40:AG42)</f>
        <v>566154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85135.799999999814</v>
      </c>
      <c r="F45" s="388"/>
      <c r="G45" s="388">
        <f>G37-G43</f>
        <v>97082.420000000042</v>
      </c>
      <c r="H45" s="388"/>
      <c r="I45" s="388">
        <f>I37-I43</f>
        <v>109158.98564999981</v>
      </c>
      <c r="J45" s="388"/>
      <c r="K45" s="388">
        <f>K37-K43</f>
        <v>121362.82468700013</v>
      </c>
      <c r="L45" s="388"/>
      <c r="M45" s="388">
        <f>M37-M43</f>
        <v>133690.9904955863</v>
      </c>
      <c r="N45" s="388"/>
      <c r="O45" s="388">
        <f>O37-O43</f>
        <v>146140.24797873234</v>
      </c>
      <c r="P45" s="388"/>
      <c r="Q45" s="388">
        <f>Q37-Q43</f>
        <v>158707.05882078339</v>
      </c>
      <c r="R45" s="388"/>
      <c r="S45" s="388">
        <f>S37-S43</f>
        <v>171387.56611850648</v>
      </c>
      <c r="T45" s="388"/>
      <c r="U45" s="388">
        <f>U37-U43</f>
        <v>184177.57835519931</v>
      </c>
      <c r="V45" s="388"/>
      <c r="W45" s="388">
        <f>W37-W43</f>
        <v>197072.5526918642</v>
      </c>
      <c r="X45" s="388"/>
      <c r="Y45" s="388">
        <f>Y37-Y43</f>
        <v>210067.57754851691</v>
      </c>
      <c r="Z45" s="388"/>
      <c r="AA45" s="388">
        <f>AA37-AA43</f>
        <v>223157.35444762767</v>
      </c>
      <c r="AB45" s="388"/>
      <c r="AC45" s="388">
        <f>AC37-AC43</f>
        <v>236336.17909068789</v>
      </c>
      <c r="AD45" s="388"/>
      <c r="AE45" s="388">
        <f>AE37-AE43</f>
        <v>249597.92163775489</v>
      </c>
      <c r="AF45" s="388"/>
      <c r="AG45" s="388">
        <f>AG37-AG43</f>
        <v>262936.00615871872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6.9405467274938626E-2</v>
      </c>
      <c r="F47" s="392"/>
      <c r="G47" s="392">
        <f>G45/(G4+G6+G8)</f>
        <v>7.7214380127861901E-2</v>
      </c>
      <c r="H47" s="392"/>
      <c r="I47" s="392">
        <f>I45/(I4+I6+I8)</f>
        <v>8.4701913526228328E-2</v>
      </c>
      <c r="J47" s="392"/>
      <c r="K47" s="392">
        <f>K45/(K4+K6+K8)</f>
        <v>9.1874616850451354E-2</v>
      </c>
      <c r="L47" s="392"/>
      <c r="M47" s="392">
        <f>M45/(M4+M6+M8)</f>
        <v>9.8738867220965768E-2</v>
      </c>
      <c r="N47" s="392"/>
      <c r="O47" s="392">
        <f>O45/(O4+O6+O8)</f>
        <v>0.10530087357727316</v>
      </c>
      <c r="P47" s="392"/>
      <c r="Q47" s="392">
        <f>Q45/(Q4+Q6+Q8)</f>
        <v>0.11156668065630369</v>
      </c>
      <c r="R47" s="392"/>
      <c r="S47" s="392">
        <f>S45/(S4+S6+S8)</f>
        <v>0.11754217287253713</v>
      </c>
      <c r="T47" s="392"/>
      <c r="U47" s="392">
        <f>U45/(U4+U6+U8)</f>
        <v>0.12323307810227693</v>
      </c>
      <c r="V47" s="392"/>
      <c r="W47" s="392">
        <f>W45/(W4+W6+W8)</f>
        <v>0.12864497137438885</v>
      </c>
      <c r="X47" s="392"/>
      <c r="Y47" s="392">
        <f>Y45/(Y4+Y6+Y8)</f>
        <v>0.13378327846978966</v>
      </c>
      <c r="Z47" s="392"/>
      <c r="AA47" s="392">
        <f>AA45/(AA4+AA6+AA8)</f>
        <v>0.13865327943188269</v>
      </c>
      <c r="AB47" s="392"/>
      <c r="AC47" s="392">
        <f>AC45/(AC4+AC6+AC8)</f>
        <v>0.14326011199011532</v>
      </c>
      <c r="AD47" s="392"/>
      <c r="AE47" s="392">
        <f>AE45/(AE4+AE6+AE8)</f>
        <v>0.14760877489875446</v>
      </c>
      <c r="AF47" s="392"/>
      <c r="AG47" s="392">
        <f>AG45/(AG4+AG6+AG8)</f>
        <v>0.15170413119294088</v>
      </c>
      <c r="AH47" s="392"/>
      <c r="AI47" s="392"/>
    </row>
    <row r="48" spans="1:35" ht="13.8">
      <c r="A48" s="392" t="s">
        <v>1088</v>
      </c>
      <c r="B48" s="392"/>
      <c r="C48" s="385"/>
      <c r="D48" s="392"/>
      <c r="E48" s="392">
        <f>E45/E43</f>
        <v>0.15037569283269184</v>
      </c>
      <c r="F48" s="392"/>
      <c r="G48" s="392">
        <f>G45/G43</f>
        <v>0.1714770539464528</v>
      </c>
      <c r="H48" s="392"/>
      <c r="I48" s="392">
        <f>I45/I43</f>
        <v>0.19280793856441855</v>
      </c>
      <c r="J48" s="392"/>
      <c r="K48" s="392">
        <f>K45/K43</f>
        <v>0.21436362665811798</v>
      </c>
      <c r="L48" s="392"/>
      <c r="M48" s="392">
        <f>M45/M43</f>
        <v>0.23613891360934711</v>
      </c>
      <c r="N48" s="392"/>
      <c r="O48" s="392">
        <f>O45/O43</f>
        <v>0.258128085253716</v>
      </c>
      <c r="P48" s="392"/>
      <c r="Q48" s="392">
        <f>Q45/Q43</f>
        <v>0.28032489185059789</v>
      </c>
      <c r="R48" s="392"/>
      <c r="S48" s="392">
        <f>S45/S43</f>
        <v>0.30272252093689433</v>
      </c>
      <c r="T48" s="392"/>
      <c r="U48" s="392">
        <f>U45/U43</f>
        <v>0.32531356902044201</v>
      </c>
      <c r="V48" s="392"/>
      <c r="W48" s="392">
        <f>W45/W43</f>
        <v>0.34809001206714818</v>
      </c>
      <c r="X48" s="392"/>
      <c r="Y48" s="392">
        <f>Y45/Y43</f>
        <v>0.37104317473428944</v>
      </c>
      <c r="Z48" s="392"/>
      <c r="AA48" s="392">
        <f>AA45/AA43</f>
        <v>0.39416369830051129</v>
      </c>
      <c r="AB48" s="392"/>
      <c r="AC48" s="392">
        <f>AC45/AC43</f>
        <v>0.41744150724129458</v>
      </c>
      <c r="AD48" s="392"/>
      <c r="AE48" s="392">
        <f>AE45/AE43</f>
        <v>0.44086577439663921</v>
      </c>
      <c r="AF48" s="392"/>
      <c r="AG48" s="392">
        <f>AG45/AG43</f>
        <v>0.46442488467575732</v>
      </c>
      <c r="AH48" s="392"/>
      <c r="AI48" s="392"/>
    </row>
    <row r="49" spans="1:35" ht="13.8">
      <c r="A49" s="393" t="s">
        <v>1089</v>
      </c>
      <c r="B49" s="393"/>
      <c r="C49" s="394"/>
      <c r="D49" s="393"/>
      <c r="E49" s="393">
        <f>E37/E43</f>
        <v>1.1503756928326918</v>
      </c>
      <c r="F49" s="393"/>
      <c r="G49" s="393">
        <f>G37/G43</f>
        <v>1.1714770539464527</v>
      </c>
      <c r="H49" s="393"/>
      <c r="I49" s="393">
        <f>I37/I43</f>
        <v>1.1928079385644186</v>
      </c>
      <c r="J49" s="393"/>
      <c r="K49" s="393">
        <f>K37/K43</f>
        <v>1.2143636266581179</v>
      </c>
      <c r="L49" s="393"/>
      <c r="M49" s="393">
        <f>M37/M43</f>
        <v>1.236138913609347</v>
      </c>
      <c r="N49" s="393"/>
      <c r="O49" s="393">
        <f>O37/O43</f>
        <v>1.258128085253716</v>
      </c>
      <c r="P49" s="393"/>
      <c r="Q49" s="393">
        <f>Q37/Q43</f>
        <v>1.2803248918505978</v>
      </c>
      <c r="R49" s="393"/>
      <c r="S49" s="393">
        <f>S37/S43</f>
        <v>1.3027225209368944</v>
      </c>
      <c r="T49" s="393"/>
      <c r="U49" s="393">
        <f>U37/U43</f>
        <v>1.3253135690204421</v>
      </c>
      <c r="V49" s="393"/>
      <c r="W49" s="393">
        <f>W37/W43</f>
        <v>1.3480900120671482</v>
      </c>
      <c r="X49" s="393"/>
      <c r="Y49" s="393">
        <f>Y37/Y43</f>
        <v>1.3710431747342895</v>
      </c>
      <c r="Z49" s="393"/>
      <c r="AA49" s="393">
        <f>AA37/AA43</f>
        <v>1.3941636983005112</v>
      </c>
      <c r="AB49" s="393"/>
      <c r="AC49" s="393">
        <f>AC37/AC43</f>
        <v>1.4174415072412945</v>
      </c>
      <c r="AD49" s="393"/>
      <c r="AE49" s="393">
        <f>AE37/AE43</f>
        <v>1.4408657743966393</v>
      </c>
      <c r="AF49" s="393"/>
      <c r="AG49" s="393">
        <f>AG37/AG43</f>
        <v>1.4644248846757573</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c r="B53" s="374"/>
      <c r="C53" s="817"/>
      <c r="D53" s="374"/>
      <c r="E53" s="401"/>
      <c r="F53" s="374"/>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374"/>
      <c r="AI53" s="374"/>
    </row>
    <row r="54" spans="1:35">
      <c r="A54" s="361"/>
      <c r="B54" s="361"/>
      <c r="C54" s="409"/>
      <c r="D54" s="361"/>
      <c r="E54" s="402"/>
      <c r="F54" s="380"/>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818"/>
      <c r="AE54" s="818"/>
      <c r="AF54" s="818"/>
      <c r="AG54" s="818"/>
      <c r="AH54" s="380"/>
      <c r="AI54" s="380"/>
    </row>
    <row r="55" spans="1:35">
      <c r="A55" s="361"/>
      <c r="B55" s="361"/>
      <c r="C55" s="409"/>
      <c r="D55" s="361"/>
      <c r="E55" s="402"/>
      <c r="F55" s="380"/>
      <c r="G55" s="818"/>
      <c r="H55" s="818"/>
      <c r="I55" s="818"/>
      <c r="J55" s="818"/>
      <c r="K55" s="818"/>
      <c r="L55" s="818"/>
      <c r="M55" s="818"/>
      <c r="N55" s="818"/>
      <c r="O55" s="818"/>
      <c r="P55" s="818"/>
      <c r="Q55" s="818"/>
      <c r="R55" s="818"/>
      <c r="S55" s="818"/>
      <c r="T55" s="818"/>
      <c r="U55" s="818"/>
      <c r="V55" s="818"/>
      <c r="W55" s="818"/>
      <c r="X55" s="818"/>
      <c r="Y55" s="818"/>
      <c r="Z55" s="818"/>
      <c r="AA55" s="818"/>
      <c r="AB55" s="818"/>
      <c r="AC55" s="818"/>
      <c r="AD55" s="818"/>
      <c r="AE55" s="818"/>
      <c r="AF55" s="818"/>
      <c r="AG55" s="818"/>
      <c r="AH55" s="380"/>
      <c r="AI55" s="380"/>
    </row>
    <row r="56" spans="1:35">
      <c r="A56" s="400"/>
      <c r="B56" s="400"/>
      <c r="C56" s="409"/>
      <c r="D56" s="361"/>
      <c r="E56" s="402"/>
      <c r="F56" s="380"/>
      <c r="G56" s="818"/>
      <c r="H56" s="818"/>
      <c r="I56" s="818"/>
      <c r="J56" s="818"/>
      <c r="K56" s="818"/>
      <c r="L56" s="818"/>
      <c r="M56" s="818"/>
      <c r="N56" s="818"/>
      <c r="O56" s="818"/>
      <c r="P56" s="818"/>
      <c r="Q56" s="818"/>
      <c r="R56" s="818"/>
      <c r="S56" s="818"/>
      <c r="T56" s="818"/>
      <c r="U56" s="818"/>
      <c r="V56" s="818"/>
      <c r="W56" s="818"/>
      <c r="X56" s="818"/>
      <c r="Y56" s="818"/>
      <c r="Z56" s="818"/>
      <c r="AA56" s="818"/>
      <c r="AB56" s="818"/>
      <c r="AC56" s="818"/>
      <c r="AD56" s="818"/>
      <c r="AE56" s="818"/>
      <c r="AF56" s="818"/>
      <c r="AG56" s="818"/>
      <c r="AH56" s="380"/>
      <c r="AI56" s="380"/>
    </row>
    <row r="57" spans="1:35">
      <c r="A57" s="400"/>
      <c r="B57" s="400"/>
      <c r="C57" s="409"/>
      <c r="D57" s="361"/>
      <c r="E57" s="406"/>
      <c r="F57" s="380"/>
      <c r="G57" s="820"/>
      <c r="H57" s="818"/>
      <c r="I57" s="820"/>
      <c r="J57" s="818"/>
      <c r="K57" s="820"/>
      <c r="L57" s="818"/>
      <c r="M57" s="820"/>
      <c r="N57" s="818"/>
      <c r="O57" s="820"/>
      <c r="P57" s="818"/>
      <c r="Q57" s="820"/>
      <c r="R57" s="818"/>
      <c r="S57" s="820"/>
      <c r="T57" s="818"/>
      <c r="U57" s="820"/>
      <c r="V57" s="818"/>
      <c r="W57" s="820"/>
      <c r="X57" s="818"/>
      <c r="Y57" s="820"/>
      <c r="Z57" s="818"/>
      <c r="AA57" s="820"/>
      <c r="AB57" s="818"/>
      <c r="AC57" s="820"/>
      <c r="AD57" s="818"/>
      <c r="AE57" s="820"/>
      <c r="AF57" s="818"/>
      <c r="AG57" s="820"/>
      <c r="AH57" s="380"/>
      <c r="AI57" s="380"/>
    </row>
    <row r="58" spans="1:35">
      <c r="A58" s="374"/>
      <c r="B58" s="361"/>
      <c r="C58" s="398"/>
      <c r="D58" s="361"/>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c r="B60" s="374"/>
      <c r="C60" s="399"/>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c r="B62" s="374"/>
      <c r="C62" s="822"/>
      <c r="D62" s="374"/>
      <c r="E62" s="401"/>
      <c r="F62" s="374"/>
      <c r="G62" s="821"/>
      <c r="H62" s="374"/>
      <c r="I62" s="821"/>
      <c r="J62" s="374"/>
      <c r="K62" s="821"/>
      <c r="L62" s="374"/>
      <c r="M62" s="821"/>
      <c r="N62" s="374"/>
      <c r="O62" s="821"/>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1023 1025:2047 2049:3071 3073:4095 4097:5119 5121:6143 6145:7167 7169:8191 8193:9215 9217:10239 10241:11263 11265:12287 12289:13311 13313:14335 14337:15359 15361:16383">
      <c r="A65" s="361"/>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1023 1025:2047 2049:3071 3073:4095 4097:5119 5121:6143 6145:7167 7169:8191 8193:9215 9217:10239 10241:11263 11265:12287 12289:13311 13313:14335 14337:15359 15361:16383" s="374" customFormat="1">
      <c r="A66" s="967"/>
      <c r="B66" s="401"/>
      <c r="C66" s="969"/>
      <c r="E66" s="401"/>
    </row>
    <row r="67" spans="1:1023 1025:2047 2049:3071 3073:4095 4097:5119 5121:6143 6145:7167 7169:8191 8193:9215 9217:10239 10241:11263 11265:12287 12289:13311 13313:14335 14337:15359 15361:16383">
      <c r="A67" s="968"/>
      <c r="B67" s="402"/>
      <c r="C67" s="969"/>
      <c r="D67" s="380"/>
      <c r="E67" s="401"/>
      <c r="F67" s="380"/>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74"/>
      <c r="AH67" s="374"/>
      <c r="AI67" s="380"/>
    </row>
    <row r="68" spans="1:1023 1025:2047 2049:3071 3073:4095 4097:5119 5121:6143 6145:7167 7169:8191 8193:9215 9217:10239 10241:11263 11265:12287 12289:13311 13313:14335 14337:15359 15361:16383">
      <c r="A68" s="967"/>
      <c r="B68" s="401"/>
      <c r="C68" s="969"/>
      <c r="D68" s="374"/>
      <c r="E68" s="401"/>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row>
    <row r="69" spans="1:1023 1025:2047 2049:3071 3073:4095 4097:5119 5121:6143 6145:7167 7169:8191 8193:9215 9217:10239 10241:11263 11265:12287 12289:13311 13313:14335 14337:15359 15361:16383" s="374" customFormat="1">
      <c r="A69" s="402"/>
      <c r="B69" s="402"/>
      <c r="C69" s="382"/>
      <c r="D69" s="380"/>
      <c r="E69" s="406"/>
      <c r="F69" s="380"/>
      <c r="G69" s="824"/>
      <c r="I69" s="824"/>
      <c r="K69" s="824"/>
      <c r="M69" s="824"/>
      <c r="O69" s="824"/>
      <c r="Q69" s="824"/>
      <c r="S69" s="824"/>
      <c r="U69" s="824"/>
      <c r="W69" s="824"/>
      <c r="Y69" s="824"/>
      <c r="AA69" s="824"/>
      <c r="AC69" s="824"/>
      <c r="AE69" s="824"/>
      <c r="AG69" s="824"/>
      <c r="AI69" s="824"/>
      <c r="AK69" s="824"/>
      <c r="AM69" s="824"/>
      <c r="AO69" s="824"/>
      <c r="AQ69" s="824"/>
      <c r="AS69" s="824"/>
      <c r="AU69" s="824"/>
      <c r="AW69" s="824"/>
      <c r="AY69" s="824"/>
      <c r="BA69" s="824"/>
      <c r="BC69" s="824"/>
      <c r="BE69" s="824"/>
      <c r="BG69" s="824"/>
      <c r="BI69" s="824"/>
      <c r="BK69" s="824"/>
      <c r="BM69" s="824"/>
      <c r="BO69" s="824"/>
      <c r="BQ69" s="824"/>
      <c r="BS69" s="824"/>
      <c r="BU69" s="824"/>
      <c r="BW69" s="824"/>
      <c r="BY69" s="824"/>
      <c r="CA69" s="824"/>
      <c r="CC69" s="824"/>
      <c r="CE69" s="824"/>
      <c r="CG69" s="824"/>
      <c r="CI69" s="824"/>
      <c r="CK69" s="824"/>
      <c r="CM69" s="824"/>
      <c r="CO69" s="824"/>
      <c r="CQ69" s="824"/>
      <c r="CS69" s="824"/>
      <c r="CU69" s="824"/>
      <c r="CW69" s="824"/>
      <c r="CY69" s="824"/>
      <c r="DA69" s="824"/>
      <c r="DC69" s="824"/>
      <c r="DE69" s="824"/>
      <c r="DG69" s="824"/>
      <c r="DI69" s="824"/>
      <c r="DK69" s="824"/>
      <c r="DM69" s="824"/>
      <c r="DO69" s="824"/>
      <c r="DQ69" s="824"/>
      <c r="DS69" s="824"/>
      <c r="DU69" s="824"/>
      <c r="DW69" s="824"/>
      <c r="DY69" s="824"/>
      <c r="EA69" s="824"/>
      <c r="EC69" s="824"/>
      <c r="EE69" s="824"/>
      <c r="EG69" s="824"/>
      <c r="EI69" s="824"/>
      <c r="EK69" s="824"/>
      <c r="EM69" s="824"/>
      <c r="EO69" s="824"/>
      <c r="EQ69" s="824"/>
      <c r="ES69" s="824"/>
      <c r="EU69" s="824"/>
      <c r="EW69" s="824"/>
      <c r="EY69" s="824"/>
      <c r="FA69" s="824"/>
      <c r="FC69" s="824"/>
      <c r="FE69" s="824"/>
      <c r="FG69" s="824"/>
      <c r="FI69" s="824"/>
      <c r="FK69" s="824"/>
      <c r="FM69" s="824"/>
      <c r="FO69" s="824"/>
      <c r="FQ69" s="824"/>
      <c r="FS69" s="824"/>
      <c r="FU69" s="824"/>
      <c r="FW69" s="824"/>
      <c r="FY69" s="824"/>
      <c r="GA69" s="824"/>
      <c r="GC69" s="824"/>
      <c r="GE69" s="824"/>
      <c r="GG69" s="824"/>
      <c r="GI69" s="824"/>
      <c r="GK69" s="824"/>
      <c r="GM69" s="824"/>
      <c r="GO69" s="824"/>
      <c r="GQ69" s="824"/>
      <c r="GS69" s="824"/>
      <c r="GU69" s="824"/>
      <c r="GW69" s="824"/>
      <c r="GY69" s="824"/>
      <c r="HA69" s="824"/>
      <c r="HC69" s="824"/>
      <c r="HE69" s="824"/>
      <c r="HG69" s="824"/>
      <c r="HI69" s="824"/>
      <c r="HK69" s="824"/>
      <c r="HM69" s="824"/>
      <c r="HO69" s="824"/>
      <c r="HQ69" s="824"/>
      <c r="HS69" s="824"/>
      <c r="HU69" s="824"/>
      <c r="HW69" s="824"/>
      <c r="HY69" s="824"/>
      <c r="IA69" s="824"/>
      <c r="IC69" s="824"/>
      <c r="IE69" s="824"/>
      <c r="IG69" s="824"/>
      <c r="II69" s="824"/>
      <c r="IK69" s="824"/>
      <c r="IM69" s="824"/>
      <c r="IO69" s="824"/>
      <c r="IQ69" s="824"/>
      <c r="IS69" s="824"/>
      <c r="IU69" s="824"/>
      <c r="IW69" s="824"/>
      <c r="IY69" s="824"/>
      <c r="JA69" s="824"/>
      <c r="JC69" s="824"/>
      <c r="JE69" s="824"/>
      <c r="JG69" s="824"/>
      <c r="JI69" s="824"/>
      <c r="JK69" s="824"/>
      <c r="JM69" s="824"/>
      <c r="JO69" s="824"/>
      <c r="JQ69" s="824"/>
      <c r="JS69" s="824"/>
      <c r="JU69" s="824"/>
      <c r="JW69" s="824"/>
      <c r="JY69" s="824"/>
      <c r="KA69" s="824"/>
      <c r="KC69" s="824"/>
      <c r="KE69" s="824"/>
      <c r="KG69" s="824"/>
      <c r="KI69" s="824"/>
      <c r="KK69" s="824"/>
      <c r="KM69" s="824"/>
      <c r="KO69" s="824"/>
      <c r="KQ69" s="824"/>
      <c r="KS69" s="824"/>
      <c r="KU69" s="824"/>
      <c r="KW69" s="824"/>
      <c r="KY69" s="824"/>
      <c r="LA69" s="824"/>
      <c r="LC69" s="824"/>
      <c r="LE69" s="824"/>
      <c r="LG69" s="824"/>
      <c r="LI69" s="824"/>
      <c r="LK69" s="824"/>
      <c r="LM69" s="824"/>
      <c r="LO69" s="824"/>
      <c r="LQ69" s="824"/>
      <c r="LS69" s="824"/>
      <c r="LU69" s="824"/>
      <c r="LW69" s="824"/>
      <c r="LY69" s="824"/>
      <c r="MA69" s="824"/>
      <c r="MC69" s="824"/>
      <c r="ME69" s="824"/>
      <c r="MG69" s="824"/>
      <c r="MI69" s="824"/>
      <c r="MK69" s="824"/>
      <c r="MM69" s="824"/>
      <c r="MO69" s="824"/>
      <c r="MQ69" s="824"/>
      <c r="MS69" s="824"/>
      <c r="MU69" s="824"/>
      <c r="MW69" s="824"/>
      <c r="MY69" s="824"/>
      <c r="NA69" s="824"/>
      <c r="NC69" s="824"/>
      <c r="NE69" s="824"/>
      <c r="NG69" s="824"/>
      <c r="NI69" s="824"/>
      <c r="NK69" s="824"/>
      <c r="NM69" s="824"/>
      <c r="NO69" s="824"/>
      <c r="NQ69" s="824"/>
      <c r="NS69" s="824"/>
      <c r="NU69" s="824"/>
      <c r="NW69" s="824"/>
      <c r="NY69" s="824"/>
      <c r="OA69" s="824"/>
      <c r="OC69" s="824"/>
      <c r="OE69" s="824"/>
      <c r="OG69" s="824"/>
      <c r="OI69" s="824"/>
      <c r="OK69" s="824"/>
      <c r="OM69" s="824"/>
      <c r="OO69" s="824"/>
      <c r="OQ69" s="824"/>
      <c r="OS69" s="824"/>
      <c r="OU69" s="824"/>
      <c r="OW69" s="824"/>
      <c r="OY69" s="824"/>
      <c r="PA69" s="824"/>
      <c r="PC69" s="824"/>
      <c r="PE69" s="824"/>
      <c r="PG69" s="824"/>
      <c r="PI69" s="824"/>
      <c r="PK69" s="824"/>
      <c r="PM69" s="824"/>
      <c r="PO69" s="824"/>
      <c r="PQ69" s="824"/>
      <c r="PS69" s="824"/>
      <c r="PU69" s="824"/>
      <c r="PW69" s="824"/>
      <c r="PY69" s="824"/>
      <c r="QA69" s="824"/>
      <c r="QC69" s="824"/>
      <c r="QE69" s="824"/>
      <c r="QG69" s="824"/>
      <c r="QI69" s="824"/>
      <c r="QK69" s="824"/>
      <c r="QM69" s="824"/>
      <c r="QO69" s="824"/>
      <c r="QQ69" s="824"/>
      <c r="QS69" s="824"/>
      <c r="QU69" s="824"/>
      <c r="QW69" s="824"/>
      <c r="QY69" s="824"/>
      <c r="RA69" s="824"/>
      <c r="RC69" s="824"/>
      <c r="RE69" s="824"/>
      <c r="RG69" s="824"/>
      <c r="RI69" s="824"/>
      <c r="RK69" s="824"/>
      <c r="RM69" s="824"/>
      <c r="RO69" s="824"/>
      <c r="RQ69" s="824"/>
      <c r="RS69" s="824"/>
      <c r="RU69" s="824"/>
      <c r="RW69" s="824"/>
      <c r="RY69" s="824"/>
      <c r="SA69" s="824"/>
      <c r="SC69" s="824"/>
      <c r="SE69" s="824"/>
      <c r="SG69" s="824"/>
      <c r="SI69" s="824"/>
      <c r="SK69" s="824"/>
      <c r="SM69" s="824"/>
      <c r="SO69" s="824"/>
      <c r="SQ69" s="824"/>
      <c r="SS69" s="824"/>
      <c r="SU69" s="824"/>
      <c r="SW69" s="824"/>
      <c r="SY69" s="824"/>
      <c r="TA69" s="824"/>
      <c r="TC69" s="824"/>
      <c r="TE69" s="824"/>
      <c r="TG69" s="824"/>
      <c r="TI69" s="824"/>
      <c r="TK69" s="824"/>
      <c r="TM69" s="824"/>
      <c r="TO69" s="824"/>
      <c r="TQ69" s="824"/>
      <c r="TS69" s="824"/>
      <c r="TU69" s="824"/>
      <c r="TW69" s="824"/>
      <c r="TY69" s="824"/>
      <c r="UA69" s="824"/>
      <c r="UC69" s="824"/>
      <c r="UE69" s="824"/>
      <c r="UG69" s="824"/>
      <c r="UI69" s="824"/>
      <c r="UK69" s="824"/>
      <c r="UM69" s="824"/>
      <c r="UO69" s="824"/>
      <c r="UQ69" s="824"/>
      <c r="US69" s="824"/>
      <c r="UU69" s="824"/>
      <c r="UW69" s="824"/>
      <c r="UY69" s="824"/>
      <c r="VA69" s="824"/>
      <c r="VC69" s="824"/>
      <c r="VE69" s="824"/>
      <c r="VG69" s="824"/>
      <c r="VI69" s="824"/>
      <c r="VK69" s="824"/>
      <c r="VM69" s="824"/>
      <c r="VO69" s="824"/>
      <c r="VQ69" s="824"/>
      <c r="VS69" s="824"/>
      <c r="VU69" s="824"/>
      <c r="VW69" s="824"/>
      <c r="VY69" s="824"/>
      <c r="WA69" s="824"/>
      <c r="WC69" s="824"/>
      <c r="WE69" s="824"/>
      <c r="WG69" s="824"/>
      <c r="WI69" s="824"/>
      <c r="WK69" s="824"/>
      <c r="WM69" s="824"/>
      <c r="WO69" s="824"/>
      <c r="WQ69" s="824"/>
      <c r="WS69" s="824"/>
      <c r="WU69" s="824"/>
      <c r="WW69" s="824"/>
      <c r="WY69" s="824"/>
      <c r="XA69" s="824"/>
      <c r="XC69" s="824"/>
      <c r="XE69" s="824"/>
      <c r="XG69" s="824"/>
      <c r="XI69" s="824"/>
      <c r="XK69" s="824"/>
      <c r="XM69" s="824"/>
      <c r="XO69" s="824"/>
      <c r="XQ69" s="824"/>
      <c r="XS69" s="824"/>
      <c r="XU69" s="824"/>
      <c r="XW69" s="824"/>
      <c r="XY69" s="824"/>
      <c r="YA69" s="824"/>
      <c r="YC69" s="824"/>
      <c r="YE69" s="824"/>
      <c r="YG69" s="824"/>
      <c r="YI69" s="824"/>
      <c r="YK69" s="824"/>
      <c r="YM69" s="824"/>
      <c r="YO69" s="824"/>
      <c r="YQ69" s="824"/>
      <c r="YS69" s="824"/>
      <c r="YU69" s="824"/>
      <c r="YW69" s="824"/>
      <c r="YY69" s="824"/>
      <c r="ZA69" s="824"/>
      <c r="ZC69" s="824"/>
      <c r="ZE69" s="824"/>
      <c r="ZG69" s="824"/>
      <c r="ZI69" s="824"/>
      <c r="ZK69" s="824"/>
      <c r="ZM69" s="824"/>
      <c r="ZO69" s="824"/>
      <c r="ZQ69" s="824"/>
      <c r="ZS69" s="824"/>
      <c r="ZU69" s="824"/>
      <c r="ZW69" s="824"/>
      <c r="ZY69" s="824"/>
      <c r="AAA69" s="824"/>
      <c r="AAC69" s="824"/>
      <c r="AAE69" s="824"/>
      <c r="AAG69" s="824"/>
      <c r="AAI69" s="824"/>
      <c r="AAK69" s="824"/>
      <c r="AAM69" s="824"/>
      <c r="AAO69" s="824"/>
      <c r="AAQ69" s="824"/>
      <c r="AAS69" s="824"/>
      <c r="AAU69" s="824"/>
      <c r="AAW69" s="824"/>
      <c r="AAY69" s="824"/>
      <c r="ABA69" s="824"/>
      <c r="ABC69" s="824"/>
      <c r="ABE69" s="824"/>
      <c r="ABG69" s="824"/>
      <c r="ABI69" s="824"/>
      <c r="ABK69" s="824"/>
      <c r="ABM69" s="824"/>
      <c r="ABO69" s="824"/>
      <c r="ABQ69" s="824"/>
      <c r="ABS69" s="824"/>
      <c r="ABU69" s="824"/>
      <c r="ABW69" s="824"/>
      <c r="ABY69" s="824"/>
      <c r="ACA69" s="824"/>
      <c r="ACC69" s="824"/>
      <c r="ACE69" s="824"/>
      <c r="ACG69" s="824"/>
      <c r="ACI69" s="824"/>
      <c r="ACK69" s="824"/>
      <c r="ACM69" s="824"/>
      <c r="ACO69" s="824"/>
      <c r="ACQ69" s="824"/>
      <c r="ACS69" s="824"/>
      <c r="ACU69" s="824"/>
      <c r="ACW69" s="824"/>
      <c r="ACY69" s="824"/>
      <c r="ADA69" s="824"/>
      <c r="ADC69" s="824"/>
      <c r="ADE69" s="824"/>
      <c r="ADG69" s="824"/>
      <c r="ADI69" s="824"/>
      <c r="ADK69" s="824"/>
      <c r="ADM69" s="824"/>
      <c r="ADO69" s="824"/>
      <c r="ADQ69" s="824"/>
      <c r="ADS69" s="824"/>
      <c r="ADU69" s="824"/>
      <c r="ADW69" s="824"/>
      <c r="ADY69" s="824"/>
      <c r="AEA69" s="824"/>
      <c r="AEC69" s="824"/>
      <c r="AEE69" s="824"/>
      <c r="AEG69" s="824"/>
      <c r="AEI69" s="824"/>
      <c r="AEK69" s="824"/>
      <c r="AEM69" s="824"/>
      <c r="AEO69" s="824"/>
      <c r="AEQ69" s="824"/>
      <c r="AES69" s="824"/>
      <c r="AEU69" s="824"/>
      <c r="AEW69" s="824"/>
      <c r="AEY69" s="824"/>
      <c r="AFA69" s="824"/>
      <c r="AFC69" s="824"/>
      <c r="AFE69" s="824"/>
      <c r="AFG69" s="824"/>
      <c r="AFI69" s="824"/>
      <c r="AFK69" s="824"/>
      <c r="AFM69" s="824"/>
      <c r="AFO69" s="824"/>
      <c r="AFQ69" s="824"/>
      <c r="AFS69" s="824"/>
      <c r="AFU69" s="824"/>
      <c r="AFW69" s="824"/>
      <c r="AFY69" s="824"/>
      <c r="AGA69" s="824"/>
      <c r="AGC69" s="824"/>
      <c r="AGE69" s="824"/>
      <c r="AGG69" s="824"/>
      <c r="AGI69" s="824"/>
      <c r="AGK69" s="824"/>
      <c r="AGM69" s="824"/>
      <c r="AGO69" s="824"/>
      <c r="AGQ69" s="824"/>
      <c r="AGS69" s="824"/>
      <c r="AGU69" s="824"/>
      <c r="AGW69" s="824"/>
      <c r="AGY69" s="824"/>
      <c r="AHA69" s="824"/>
      <c r="AHC69" s="824"/>
      <c r="AHE69" s="824"/>
      <c r="AHG69" s="824"/>
      <c r="AHI69" s="824"/>
      <c r="AHK69" s="824"/>
      <c r="AHM69" s="824"/>
      <c r="AHO69" s="824"/>
      <c r="AHQ69" s="824"/>
      <c r="AHS69" s="824"/>
      <c r="AHU69" s="824"/>
      <c r="AHW69" s="824"/>
      <c r="AHY69" s="824"/>
      <c r="AIA69" s="824"/>
      <c r="AIC69" s="824"/>
      <c r="AIE69" s="824"/>
      <c r="AIG69" s="824"/>
      <c r="AII69" s="824"/>
      <c r="AIK69" s="824"/>
      <c r="AIM69" s="824"/>
      <c r="AIO69" s="824"/>
      <c r="AIQ69" s="824"/>
      <c r="AIS69" s="824"/>
      <c r="AIU69" s="824"/>
      <c r="AIW69" s="824"/>
      <c r="AIY69" s="824"/>
      <c r="AJA69" s="824"/>
      <c r="AJC69" s="824"/>
      <c r="AJE69" s="824"/>
      <c r="AJG69" s="824"/>
      <c r="AJI69" s="824"/>
      <c r="AJK69" s="824"/>
      <c r="AJM69" s="824"/>
      <c r="AJO69" s="824"/>
      <c r="AJQ69" s="824"/>
      <c r="AJS69" s="824"/>
      <c r="AJU69" s="824"/>
      <c r="AJW69" s="824"/>
      <c r="AJY69" s="824"/>
      <c r="AKA69" s="824"/>
      <c r="AKC69" s="824"/>
      <c r="AKE69" s="824"/>
      <c r="AKG69" s="824"/>
      <c r="AKI69" s="824"/>
      <c r="AKK69" s="824"/>
      <c r="AKM69" s="824"/>
      <c r="AKO69" s="824"/>
      <c r="AKQ69" s="824"/>
      <c r="AKS69" s="824"/>
      <c r="AKU69" s="824"/>
      <c r="AKW69" s="824"/>
      <c r="AKY69" s="824"/>
      <c r="ALA69" s="824"/>
      <c r="ALC69" s="824"/>
      <c r="ALE69" s="824"/>
      <c r="ALG69" s="824"/>
      <c r="ALI69" s="824"/>
      <c r="ALK69" s="824"/>
      <c r="ALM69" s="824"/>
      <c r="ALO69" s="824"/>
      <c r="ALQ69" s="824"/>
      <c r="ALS69" s="824"/>
      <c r="ALU69" s="824"/>
      <c r="ALW69" s="824"/>
      <c r="ALY69" s="824"/>
      <c r="AMA69" s="824"/>
      <c r="AMC69" s="824"/>
      <c r="AME69" s="824"/>
      <c r="AMG69" s="824"/>
      <c r="AMI69" s="824"/>
      <c r="AMK69" s="824"/>
      <c r="AMM69" s="824"/>
      <c r="AMO69" s="824"/>
      <c r="AMQ69" s="824"/>
      <c r="AMS69" s="824"/>
      <c r="AMU69" s="824"/>
      <c r="AMW69" s="824"/>
      <c r="AMY69" s="824"/>
      <c r="ANA69" s="824"/>
      <c r="ANC69" s="824"/>
      <c r="ANE69" s="824"/>
      <c r="ANG69" s="824"/>
      <c r="ANI69" s="824"/>
      <c r="ANK69" s="824"/>
      <c r="ANM69" s="824"/>
      <c r="ANO69" s="824"/>
      <c r="ANQ69" s="824"/>
      <c r="ANS69" s="824"/>
      <c r="ANU69" s="824"/>
      <c r="ANW69" s="824"/>
      <c r="ANY69" s="824"/>
      <c r="AOA69" s="824"/>
      <c r="AOC69" s="824"/>
      <c r="AOE69" s="824"/>
      <c r="AOG69" s="824"/>
      <c r="AOI69" s="824"/>
      <c r="AOK69" s="824"/>
      <c r="AOM69" s="824"/>
      <c r="AOO69" s="824"/>
      <c r="AOQ69" s="824"/>
      <c r="AOS69" s="824"/>
      <c r="AOU69" s="824"/>
      <c r="AOW69" s="824"/>
      <c r="AOY69" s="824"/>
      <c r="APA69" s="824"/>
      <c r="APC69" s="824"/>
      <c r="APE69" s="824"/>
      <c r="APG69" s="824"/>
      <c r="API69" s="824"/>
      <c r="APK69" s="824"/>
      <c r="APM69" s="824"/>
      <c r="APO69" s="824"/>
      <c r="APQ69" s="824"/>
      <c r="APS69" s="824"/>
      <c r="APU69" s="824"/>
      <c r="APW69" s="824"/>
      <c r="APY69" s="824"/>
      <c r="AQA69" s="824"/>
      <c r="AQC69" s="824"/>
      <c r="AQE69" s="824"/>
      <c r="AQG69" s="824"/>
      <c r="AQI69" s="824"/>
      <c r="AQK69" s="824"/>
      <c r="AQM69" s="824"/>
      <c r="AQO69" s="824"/>
      <c r="AQQ69" s="824"/>
      <c r="AQS69" s="824"/>
      <c r="AQU69" s="824"/>
      <c r="AQW69" s="824"/>
      <c r="AQY69" s="824"/>
      <c r="ARA69" s="824"/>
      <c r="ARC69" s="824"/>
      <c r="ARE69" s="824"/>
      <c r="ARG69" s="824"/>
      <c r="ARI69" s="824"/>
      <c r="ARK69" s="824"/>
      <c r="ARM69" s="824"/>
      <c r="ARO69" s="824"/>
      <c r="ARQ69" s="824"/>
      <c r="ARS69" s="824"/>
      <c r="ARU69" s="824"/>
      <c r="ARW69" s="824"/>
      <c r="ARY69" s="824"/>
      <c r="ASA69" s="824"/>
      <c r="ASC69" s="824"/>
      <c r="ASE69" s="824"/>
      <c r="ASG69" s="824"/>
      <c r="ASI69" s="824"/>
      <c r="ASK69" s="824"/>
      <c r="ASM69" s="824"/>
      <c r="ASO69" s="824"/>
      <c r="ASQ69" s="824"/>
      <c r="ASS69" s="824"/>
      <c r="ASU69" s="824"/>
      <c r="ASW69" s="824"/>
      <c r="ASY69" s="824"/>
      <c r="ATA69" s="824"/>
      <c r="ATC69" s="824"/>
      <c r="ATE69" s="824"/>
      <c r="ATG69" s="824"/>
      <c r="ATI69" s="824"/>
      <c r="ATK69" s="824"/>
      <c r="ATM69" s="824"/>
      <c r="ATO69" s="824"/>
      <c r="ATQ69" s="824"/>
      <c r="ATS69" s="824"/>
      <c r="ATU69" s="824"/>
      <c r="ATW69" s="824"/>
      <c r="ATY69" s="824"/>
      <c r="AUA69" s="824"/>
      <c r="AUC69" s="824"/>
      <c r="AUE69" s="824"/>
      <c r="AUG69" s="824"/>
      <c r="AUI69" s="824"/>
      <c r="AUK69" s="824"/>
      <c r="AUM69" s="824"/>
      <c r="AUO69" s="824"/>
      <c r="AUQ69" s="824"/>
      <c r="AUS69" s="824"/>
      <c r="AUU69" s="824"/>
      <c r="AUW69" s="824"/>
      <c r="AUY69" s="824"/>
      <c r="AVA69" s="824"/>
      <c r="AVC69" s="824"/>
      <c r="AVE69" s="824"/>
      <c r="AVG69" s="824"/>
      <c r="AVI69" s="824"/>
      <c r="AVK69" s="824"/>
      <c r="AVM69" s="824"/>
      <c r="AVO69" s="824"/>
      <c r="AVQ69" s="824"/>
      <c r="AVS69" s="824"/>
      <c r="AVU69" s="824"/>
      <c r="AVW69" s="824"/>
      <c r="AVY69" s="824"/>
      <c r="AWA69" s="824"/>
      <c r="AWC69" s="824"/>
      <c r="AWE69" s="824"/>
      <c r="AWG69" s="824"/>
      <c r="AWI69" s="824"/>
      <c r="AWK69" s="824"/>
      <c r="AWM69" s="824"/>
      <c r="AWO69" s="824"/>
      <c r="AWQ69" s="824"/>
      <c r="AWS69" s="824"/>
      <c r="AWU69" s="824"/>
      <c r="AWW69" s="824"/>
      <c r="AWY69" s="824"/>
      <c r="AXA69" s="824"/>
      <c r="AXC69" s="824"/>
      <c r="AXE69" s="824"/>
      <c r="AXG69" s="824"/>
      <c r="AXI69" s="824"/>
      <c r="AXK69" s="824"/>
      <c r="AXM69" s="824"/>
      <c r="AXO69" s="824"/>
      <c r="AXQ69" s="824"/>
      <c r="AXS69" s="824"/>
      <c r="AXU69" s="824"/>
      <c r="AXW69" s="824"/>
      <c r="AXY69" s="824"/>
      <c r="AYA69" s="824"/>
      <c r="AYC69" s="824"/>
      <c r="AYE69" s="824"/>
      <c r="AYG69" s="824"/>
      <c r="AYI69" s="824"/>
      <c r="AYK69" s="824"/>
      <c r="AYM69" s="824"/>
      <c r="AYO69" s="824"/>
      <c r="AYQ69" s="824"/>
      <c r="AYS69" s="824"/>
      <c r="AYU69" s="824"/>
      <c r="AYW69" s="824"/>
      <c r="AYY69" s="824"/>
      <c r="AZA69" s="824"/>
      <c r="AZC69" s="824"/>
      <c r="AZE69" s="824"/>
      <c r="AZG69" s="824"/>
      <c r="AZI69" s="824"/>
      <c r="AZK69" s="824"/>
      <c r="AZM69" s="824"/>
      <c r="AZO69" s="824"/>
      <c r="AZQ69" s="824"/>
      <c r="AZS69" s="824"/>
      <c r="AZU69" s="824"/>
      <c r="AZW69" s="824"/>
      <c r="AZY69" s="824"/>
      <c r="BAA69" s="824"/>
      <c r="BAC69" s="824"/>
      <c r="BAE69" s="824"/>
      <c r="BAG69" s="824"/>
      <c r="BAI69" s="824"/>
      <c r="BAK69" s="824"/>
      <c r="BAM69" s="824"/>
      <c r="BAO69" s="824"/>
      <c r="BAQ69" s="824"/>
      <c r="BAS69" s="824"/>
      <c r="BAU69" s="824"/>
      <c r="BAW69" s="824"/>
      <c r="BAY69" s="824"/>
      <c r="BBA69" s="824"/>
      <c r="BBC69" s="824"/>
      <c r="BBE69" s="824"/>
      <c r="BBG69" s="824"/>
      <c r="BBI69" s="824"/>
      <c r="BBK69" s="824"/>
      <c r="BBM69" s="824"/>
      <c r="BBO69" s="824"/>
      <c r="BBQ69" s="824"/>
      <c r="BBS69" s="824"/>
      <c r="BBU69" s="824"/>
      <c r="BBW69" s="824"/>
      <c r="BBY69" s="824"/>
      <c r="BCA69" s="824"/>
      <c r="BCC69" s="824"/>
      <c r="BCE69" s="824"/>
      <c r="BCG69" s="824"/>
      <c r="BCI69" s="824"/>
      <c r="BCK69" s="824"/>
      <c r="BCM69" s="824"/>
      <c r="BCO69" s="824"/>
      <c r="BCQ69" s="824"/>
      <c r="BCS69" s="824"/>
      <c r="BCU69" s="824"/>
      <c r="BCW69" s="824"/>
      <c r="BCY69" s="824"/>
      <c r="BDA69" s="824"/>
      <c r="BDC69" s="824"/>
      <c r="BDE69" s="824"/>
      <c r="BDG69" s="824"/>
      <c r="BDI69" s="824"/>
      <c r="BDK69" s="824"/>
      <c r="BDM69" s="824"/>
      <c r="BDO69" s="824"/>
      <c r="BDQ69" s="824"/>
      <c r="BDS69" s="824"/>
      <c r="BDU69" s="824"/>
      <c r="BDW69" s="824"/>
      <c r="BDY69" s="824"/>
      <c r="BEA69" s="824"/>
      <c r="BEC69" s="824"/>
      <c r="BEE69" s="824"/>
      <c r="BEG69" s="824"/>
      <c r="BEI69" s="824"/>
      <c r="BEK69" s="824"/>
      <c r="BEM69" s="824"/>
      <c r="BEO69" s="824"/>
      <c r="BEQ69" s="824"/>
      <c r="BES69" s="824"/>
      <c r="BEU69" s="824"/>
      <c r="BEW69" s="824"/>
      <c r="BEY69" s="824"/>
      <c r="BFA69" s="824"/>
      <c r="BFC69" s="824"/>
      <c r="BFE69" s="824"/>
      <c r="BFG69" s="824"/>
      <c r="BFI69" s="824"/>
      <c r="BFK69" s="824"/>
      <c r="BFM69" s="824"/>
      <c r="BFO69" s="824"/>
      <c r="BFQ69" s="824"/>
      <c r="BFS69" s="824"/>
      <c r="BFU69" s="824"/>
      <c r="BFW69" s="824"/>
      <c r="BFY69" s="824"/>
      <c r="BGA69" s="824"/>
      <c r="BGC69" s="824"/>
      <c r="BGE69" s="824"/>
      <c r="BGG69" s="824"/>
      <c r="BGI69" s="824"/>
      <c r="BGK69" s="824"/>
      <c r="BGM69" s="824"/>
      <c r="BGO69" s="824"/>
      <c r="BGQ69" s="824"/>
      <c r="BGS69" s="824"/>
      <c r="BGU69" s="824"/>
      <c r="BGW69" s="824"/>
      <c r="BGY69" s="824"/>
      <c r="BHA69" s="824"/>
      <c r="BHC69" s="824"/>
      <c r="BHE69" s="824"/>
      <c r="BHG69" s="824"/>
      <c r="BHI69" s="824"/>
      <c r="BHK69" s="824"/>
      <c r="BHM69" s="824"/>
      <c r="BHO69" s="824"/>
      <c r="BHQ69" s="824"/>
      <c r="BHS69" s="824"/>
      <c r="BHU69" s="824"/>
      <c r="BHW69" s="824"/>
      <c r="BHY69" s="824"/>
      <c r="BIA69" s="824"/>
      <c r="BIC69" s="824"/>
      <c r="BIE69" s="824"/>
      <c r="BIG69" s="824"/>
      <c r="BII69" s="824"/>
      <c r="BIK69" s="824"/>
      <c r="BIM69" s="824"/>
      <c r="BIO69" s="824"/>
      <c r="BIQ69" s="824"/>
      <c r="BIS69" s="824"/>
      <c r="BIU69" s="824"/>
      <c r="BIW69" s="824"/>
      <c r="BIY69" s="824"/>
      <c r="BJA69" s="824"/>
      <c r="BJC69" s="824"/>
      <c r="BJE69" s="824"/>
      <c r="BJG69" s="824"/>
      <c r="BJI69" s="824"/>
      <c r="BJK69" s="824"/>
      <c r="BJM69" s="824"/>
      <c r="BJO69" s="824"/>
      <c r="BJQ69" s="824"/>
      <c r="BJS69" s="824"/>
      <c r="BJU69" s="824"/>
      <c r="BJW69" s="824"/>
      <c r="BJY69" s="824"/>
      <c r="BKA69" s="824"/>
      <c r="BKC69" s="824"/>
      <c r="BKE69" s="824"/>
      <c r="BKG69" s="824"/>
      <c r="BKI69" s="824"/>
      <c r="BKK69" s="824"/>
      <c r="BKM69" s="824"/>
      <c r="BKO69" s="824"/>
      <c r="BKQ69" s="824"/>
      <c r="BKS69" s="824"/>
      <c r="BKU69" s="824"/>
      <c r="BKW69" s="824"/>
      <c r="BKY69" s="824"/>
      <c r="BLA69" s="824"/>
      <c r="BLC69" s="824"/>
      <c r="BLE69" s="824"/>
      <c r="BLG69" s="824"/>
      <c r="BLI69" s="824"/>
      <c r="BLK69" s="824"/>
      <c r="BLM69" s="824"/>
      <c r="BLO69" s="824"/>
      <c r="BLQ69" s="824"/>
      <c r="BLS69" s="824"/>
      <c r="BLU69" s="824"/>
      <c r="BLW69" s="824"/>
      <c r="BLY69" s="824"/>
      <c r="BMA69" s="824"/>
      <c r="BMC69" s="824"/>
      <c r="BME69" s="824"/>
      <c r="BMG69" s="824"/>
      <c r="BMI69" s="824"/>
      <c r="BMK69" s="824"/>
      <c r="BMM69" s="824"/>
      <c r="BMO69" s="824"/>
      <c r="BMQ69" s="824"/>
      <c r="BMS69" s="824"/>
      <c r="BMU69" s="824"/>
      <c r="BMW69" s="824"/>
      <c r="BMY69" s="824"/>
      <c r="BNA69" s="824"/>
      <c r="BNC69" s="824"/>
      <c r="BNE69" s="824"/>
      <c r="BNG69" s="824"/>
      <c r="BNI69" s="824"/>
      <c r="BNK69" s="824"/>
      <c r="BNM69" s="824"/>
      <c r="BNO69" s="824"/>
      <c r="BNQ69" s="824"/>
      <c r="BNS69" s="824"/>
      <c r="BNU69" s="824"/>
      <c r="BNW69" s="824"/>
      <c r="BNY69" s="824"/>
      <c r="BOA69" s="824"/>
      <c r="BOC69" s="824"/>
      <c r="BOE69" s="824"/>
      <c r="BOG69" s="824"/>
      <c r="BOI69" s="824"/>
      <c r="BOK69" s="824"/>
      <c r="BOM69" s="824"/>
      <c r="BOO69" s="824"/>
      <c r="BOQ69" s="824"/>
      <c r="BOS69" s="824"/>
      <c r="BOU69" s="824"/>
      <c r="BOW69" s="824"/>
      <c r="BOY69" s="824"/>
      <c r="BPA69" s="824"/>
      <c r="BPC69" s="824"/>
      <c r="BPE69" s="824"/>
      <c r="BPG69" s="824"/>
      <c r="BPI69" s="824"/>
      <c r="BPK69" s="824"/>
      <c r="BPM69" s="824"/>
      <c r="BPO69" s="824"/>
      <c r="BPQ69" s="824"/>
      <c r="BPS69" s="824"/>
      <c r="BPU69" s="824"/>
      <c r="BPW69" s="824"/>
      <c r="BPY69" s="824"/>
      <c r="BQA69" s="824"/>
      <c r="BQC69" s="824"/>
      <c r="BQE69" s="824"/>
      <c r="BQG69" s="824"/>
      <c r="BQI69" s="824"/>
      <c r="BQK69" s="824"/>
      <c r="BQM69" s="824"/>
      <c r="BQO69" s="824"/>
      <c r="BQQ69" s="824"/>
      <c r="BQS69" s="824"/>
      <c r="BQU69" s="824"/>
      <c r="BQW69" s="824"/>
      <c r="BQY69" s="824"/>
      <c r="BRA69" s="824"/>
      <c r="BRC69" s="824"/>
      <c r="BRE69" s="824"/>
      <c r="BRG69" s="824"/>
      <c r="BRI69" s="824"/>
      <c r="BRK69" s="824"/>
      <c r="BRM69" s="824"/>
      <c r="BRO69" s="824"/>
      <c r="BRQ69" s="824"/>
      <c r="BRS69" s="824"/>
      <c r="BRU69" s="824"/>
      <c r="BRW69" s="824"/>
      <c r="BRY69" s="824"/>
      <c r="BSA69" s="824"/>
      <c r="BSC69" s="824"/>
      <c r="BSE69" s="824"/>
      <c r="BSG69" s="824"/>
      <c r="BSI69" s="824"/>
      <c r="BSK69" s="824"/>
      <c r="BSM69" s="824"/>
      <c r="BSO69" s="824"/>
      <c r="BSQ69" s="824"/>
      <c r="BSS69" s="824"/>
      <c r="BSU69" s="824"/>
      <c r="BSW69" s="824"/>
      <c r="BSY69" s="824"/>
      <c r="BTA69" s="824"/>
      <c r="BTC69" s="824"/>
      <c r="BTE69" s="824"/>
      <c r="BTG69" s="824"/>
      <c r="BTI69" s="824"/>
      <c r="BTK69" s="824"/>
      <c r="BTM69" s="824"/>
      <c r="BTO69" s="824"/>
      <c r="BTQ69" s="824"/>
      <c r="BTS69" s="824"/>
      <c r="BTU69" s="824"/>
      <c r="BTW69" s="824"/>
      <c r="BTY69" s="824"/>
      <c r="BUA69" s="824"/>
      <c r="BUC69" s="824"/>
      <c r="BUE69" s="824"/>
      <c r="BUG69" s="824"/>
      <c r="BUI69" s="824"/>
      <c r="BUK69" s="824"/>
      <c r="BUM69" s="824"/>
      <c r="BUO69" s="824"/>
      <c r="BUQ69" s="824"/>
      <c r="BUS69" s="824"/>
      <c r="BUU69" s="824"/>
      <c r="BUW69" s="824"/>
      <c r="BUY69" s="824"/>
      <c r="BVA69" s="824"/>
      <c r="BVC69" s="824"/>
      <c r="BVE69" s="824"/>
      <c r="BVG69" s="824"/>
      <c r="BVI69" s="824"/>
      <c r="BVK69" s="824"/>
      <c r="BVM69" s="824"/>
      <c r="BVO69" s="824"/>
      <c r="BVQ69" s="824"/>
      <c r="BVS69" s="824"/>
      <c r="BVU69" s="824"/>
      <c r="BVW69" s="824"/>
      <c r="BVY69" s="824"/>
      <c r="BWA69" s="824"/>
      <c r="BWC69" s="824"/>
      <c r="BWE69" s="824"/>
      <c r="BWG69" s="824"/>
      <c r="BWI69" s="824"/>
      <c r="BWK69" s="824"/>
      <c r="BWM69" s="824"/>
      <c r="BWO69" s="824"/>
      <c r="BWQ69" s="824"/>
      <c r="BWS69" s="824"/>
      <c r="BWU69" s="824"/>
      <c r="BWW69" s="824"/>
      <c r="BWY69" s="824"/>
      <c r="BXA69" s="824"/>
      <c r="BXC69" s="824"/>
      <c r="BXE69" s="824"/>
      <c r="BXG69" s="824"/>
      <c r="BXI69" s="824"/>
      <c r="BXK69" s="824"/>
      <c r="BXM69" s="824"/>
      <c r="BXO69" s="824"/>
      <c r="BXQ69" s="824"/>
      <c r="BXS69" s="824"/>
      <c r="BXU69" s="824"/>
      <c r="BXW69" s="824"/>
      <c r="BXY69" s="824"/>
      <c r="BYA69" s="824"/>
      <c r="BYC69" s="824"/>
      <c r="BYE69" s="824"/>
      <c r="BYG69" s="824"/>
      <c r="BYI69" s="824"/>
      <c r="BYK69" s="824"/>
      <c r="BYM69" s="824"/>
      <c r="BYO69" s="824"/>
      <c r="BYQ69" s="824"/>
      <c r="BYS69" s="824"/>
      <c r="BYU69" s="824"/>
      <c r="BYW69" s="824"/>
      <c r="BYY69" s="824"/>
      <c r="BZA69" s="824"/>
      <c r="BZC69" s="824"/>
      <c r="BZE69" s="824"/>
      <c r="BZG69" s="824"/>
      <c r="BZI69" s="824"/>
      <c r="BZK69" s="824"/>
      <c r="BZM69" s="824"/>
      <c r="BZO69" s="824"/>
      <c r="BZQ69" s="824"/>
      <c r="BZS69" s="824"/>
      <c r="BZU69" s="824"/>
      <c r="BZW69" s="824"/>
      <c r="BZY69" s="824"/>
      <c r="CAA69" s="824"/>
      <c r="CAC69" s="824"/>
      <c r="CAE69" s="824"/>
      <c r="CAG69" s="824"/>
      <c r="CAI69" s="824"/>
      <c r="CAK69" s="824"/>
      <c r="CAM69" s="824"/>
      <c r="CAO69" s="824"/>
      <c r="CAQ69" s="824"/>
      <c r="CAS69" s="824"/>
      <c r="CAU69" s="824"/>
      <c r="CAW69" s="824"/>
      <c r="CAY69" s="824"/>
      <c r="CBA69" s="824"/>
      <c r="CBC69" s="824"/>
      <c r="CBE69" s="824"/>
      <c r="CBG69" s="824"/>
      <c r="CBI69" s="824"/>
      <c r="CBK69" s="824"/>
      <c r="CBM69" s="824"/>
      <c r="CBO69" s="824"/>
      <c r="CBQ69" s="824"/>
      <c r="CBS69" s="824"/>
      <c r="CBU69" s="824"/>
      <c r="CBW69" s="824"/>
      <c r="CBY69" s="824"/>
      <c r="CCA69" s="824"/>
      <c r="CCC69" s="824"/>
      <c r="CCE69" s="824"/>
      <c r="CCG69" s="824"/>
      <c r="CCI69" s="824"/>
      <c r="CCK69" s="824"/>
      <c r="CCM69" s="824"/>
      <c r="CCO69" s="824"/>
      <c r="CCQ69" s="824"/>
      <c r="CCS69" s="824"/>
      <c r="CCU69" s="824"/>
      <c r="CCW69" s="824"/>
      <c r="CCY69" s="824"/>
      <c r="CDA69" s="824"/>
      <c r="CDC69" s="824"/>
      <c r="CDE69" s="824"/>
      <c r="CDG69" s="824"/>
      <c r="CDI69" s="824"/>
      <c r="CDK69" s="824"/>
      <c r="CDM69" s="824"/>
      <c r="CDO69" s="824"/>
      <c r="CDQ69" s="824"/>
      <c r="CDS69" s="824"/>
      <c r="CDU69" s="824"/>
      <c r="CDW69" s="824"/>
      <c r="CDY69" s="824"/>
      <c r="CEA69" s="824"/>
      <c r="CEC69" s="824"/>
      <c r="CEE69" s="824"/>
      <c r="CEG69" s="824"/>
      <c r="CEI69" s="824"/>
      <c r="CEK69" s="824"/>
      <c r="CEM69" s="824"/>
      <c r="CEO69" s="824"/>
      <c r="CEQ69" s="824"/>
      <c r="CES69" s="824"/>
      <c r="CEU69" s="824"/>
      <c r="CEW69" s="824"/>
      <c r="CEY69" s="824"/>
      <c r="CFA69" s="824"/>
      <c r="CFC69" s="824"/>
      <c r="CFE69" s="824"/>
      <c r="CFG69" s="824"/>
      <c r="CFI69" s="824"/>
      <c r="CFK69" s="824"/>
      <c r="CFM69" s="824"/>
      <c r="CFO69" s="824"/>
      <c r="CFQ69" s="824"/>
      <c r="CFS69" s="824"/>
      <c r="CFU69" s="824"/>
      <c r="CFW69" s="824"/>
      <c r="CFY69" s="824"/>
      <c r="CGA69" s="824"/>
      <c r="CGC69" s="824"/>
      <c r="CGE69" s="824"/>
      <c r="CGG69" s="824"/>
      <c r="CGI69" s="824"/>
      <c r="CGK69" s="824"/>
      <c r="CGM69" s="824"/>
      <c r="CGO69" s="824"/>
      <c r="CGQ69" s="824"/>
      <c r="CGS69" s="824"/>
      <c r="CGU69" s="824"/>
      <c r="CGW69" s="824"/>
      <c r="CGY69" s="824"/>
      <c r="CHA69" s="824"/>
      <c r="CHC69" s="824"/>
      <c r="CHE69" s="824"/>
      <c r="CHG69" s="824"/>
      <c r="CHI69" s="824"/>
      <c r="CHK69" s="824"/>
      <c r="CHM69" s="824"/>
      <c r="CHO69" s="824"/>
      <c r="CHQ69" s="824"/>
      <c r="CHS69" s="824"/>
      <c r="CHU69" s="824"/>
      <c r="CHW69" s="824"/>
      <c r="CHY69" s="824"/>
      <c r="CIA69" s="824"/>
      <c r="CIC69" s="824"/>
      <c r="CIE69" s="824"/>
      <c r="CIG69" s="824"/>
      <c r="CII69" s="824"/>
      <c r="CIK69" s="824"/>
      <c r="CIM69" s="824"/>
      <c r="CIO69" s="824"/>
      <c r="CIQ69" s="824"/>
      <c r="CIS69" s="824"/>
      <c r="CIU69" s="824"/>
      <c r="CIW69" s="824"/>
      <c r="CIY69" s="824"/>
      <c r="CJA69" s="824"/>
      <c r="CJC69" s="824"/>
      <c r="CJE69" s="824"/>
      <c r="CJG69" s="824"/>
      <c r="CJI69" s="824"/>
      <c r="CJK69" s="824"/>
      <c r="CJM69" s="824"/>
      <c r="CJO69" s="824"/>
      <c r="CJQ69" s="824"/>
      <c r="CJS69" s="824"/>
      <c r="CJU69" s="824"/>
      <c r="CJW69" s="824"/>
      <c r="CJY69" s="824"/>
      <c r="CKA69" s="824"/>
      <c r="CKC69" s="824"/>
      <c r="CKE69" s="824"/>
      <c r="CKG69" s="824"/>
      <c r="CKI69" s="824"/>
      <c r="CKK69" s="824"/>
      <c r="CKM69" s="824"/>
      <c r="CKO69" s="824"/>
      <c r="CKQ69" s="824"/>
      <c r="CKS69" s="824"/>
      <c r="CKU69" s="824"/>
      <c r="CKW69" s="824"/>
      <c r="CKY69" s="824"/>
      <c r="CLA69" s="824"/>
      <c r="CLC69" s="824"/>
      <c r="CLE69" s="824"/>
      <c r="CLG69" s="824"/>
      <c r="CLI69" s="824"/>
      <c r="CLK69" s="824"/>
      <c r="CLM69" s="824"/>
      <c r="CLO69" s="824"/>
      <c r="CLQ69" s="824"/>
      <c r="CLS69" s="824"/>
      <c r="CLU69" s="824"/>
      <c r="CLW69" s="824"/>
      <c r="CLY69" s="824"/>
      <c r="CMA69" s="824"/>
      <c r="CMC69" s="824"/>
      <c r="CME69" s="824"/>
      <c r="CMG69" s="824"/>
      <c r="CMI69" s="824"/>
      <c r="CMK69" s="824"/>
      <c r="CMM69" s="824"/>
      <c r="CMO69" s="824"/>
      <c r="CMQ69" s="824"/>
      <c r="CMS69" s="824"/>
      <c r="CMU69" s="824"/>
      <c r="CMW69" s="824"/>
      <c r="CMY69" s="824"/>
      <c r="CNA69" s="824"/>
      <c r="CNC69" s="824"/>
      <c r="CNE69" s="824"/>
      <c r="CNG69" s="824"/>
      <c r="CNI69" s="824"/>
      <c r="CNK69" s="824"/>
      <c r="CNM69" s="824"/>
      <c r="CNO69" s="824"/>
      <c r="CNQ69" s="824"/>
      <c r="CNS69" s="824"/>
      <c r="CNU69" s="824"/>
      <c r="CNW69" s="824"/>
      <c r="CNY69" s="824"/>
      <c r="COA69" s="824"/>
      <c r="COC69" s="824"/>
      <c r="COE69" s="824"/>
      <c r="COG69" s="824"/>
      <c r="COI69" s="824"/>
      <c r="COK69" s="824"/>
      <c r="COM69" s="824"/>
      <c r="COO69" s="824"/>
      <c r="COQ69" s="824"/>
      <c r="COS69" s="824"/>
      <c r="COU69" s="824"/>
      <c r="COW69" s="824"/>
      <c r="COY69" s="824"/>
      <c r="CPA69" s="824"/>
      <c r="CPC69" s="824"/>
      <c r="CPE69" s="824"/>
      <c r="CPG69" s="824"/>
      <c r="CPI69" s="824"/>
      <c r="CPK69" s="824"/>
      <c r="CPM69" s="824"/>
      <c r="CPO69" s="824"/>
      <c r="CPQ69" s="824"/>
      <c r="CPS69" s="824"/>
      <c r="CPU69" s="824"/>
      <c r="CPW69" s="824"/>
      <c r="CPY69" s="824"/>
      <c r="CQA69" s="824"/>
      <c r="CQC69" s="824"/>
      <c r="CQE69" s="824"/>
      <c r="CQG69" s="824"/>
      <c r="CQI69" s="824"/>
      <c r="CQK69" s="824"/>
      <c r="CQM69" s="824"/>
      <c r="CQO69" s="824"/>
      <c r="CQQ69" s="824"/>
      <c r="CQS69" s="824"/>
      <c r="CQU69" s="824"/>
      <c r="CQW69" s="824"/>
      <c r="CQY69" s="824"/>
      <c r="CRA69" s="824"/>
      <c r="CRC69" s="824"/>
      <c r="CRE69" s="824"/>
      <c r="CRG69" s="824"/>
      <c r="CRI69" s="824"/>
      <c r="CRK69" s="824"/>
      <c r="CRM69" s="824"/>
      <c r="CRO69" s="824"/>
      <c r="CRQ69" s="824"/>
      <c r="CRS69" s="824"/>
      <c r="CRU69" s="824"/>
      <c r="CRW69" s="824"/>
      <c r="CRY69" s="824"/>
      <c r="CSA69" s="824"/>
      <c r="CSC69" s="824"/>
      <c r="CSE69" s="824"/>
      <c r="CSG69" s="824"/>
      <c r="CSI69" s="824"/>
      <c r="CSK69" s="824"/>
      <c r="CSM69" s="824"/>
      <c r="CSO69" s="824"/>
      <c r="CSQ69" s="824"/>
      <c r="CSS69" s="824"/>
      <c r="CSU69" s="824"/>
      <c r="CSW69" s="824"/>
      <c r="CSY69" s="824"/>
      <c r="CTA69" s="824"/>
      <c r="CTC69" s="824"/>
      <c r="CTE69" s="824"/>
      <c r="CTG69" s="824"/>
      <c r="CTI69" s="824"/>
      <c r="CTK69" s="824"/>
      <c r="CTM69" s="824"/>
      <c r="CTO69" s="824"/>
      <c r="CTQ69" s="824"/>
      <c r="CTS69" s="824"/>
      <c r="CTU69" s="824"/>
      <c r="CTW69" s="824"/>
      <c r="CTY69" s="824"/>
      <c r="CUA69" s="824"/>
      <c r="CUC69" s="824"/>
      <c r="CUE69" s="824"/>
      <c r="CUG69" s="824"/>
      <c r="CUI69" s="824"/>
      <c r="CUK69" s="824"/>
      <c r="CUM69" s="824"/>
      <c r="CUO69" s="824"/>
      <c r="CUQ69" s="824"/>
      <c r="CUS69" s="824"/>
      <c r="CUU69" s="824"/>
      <c r="CUW69" s="824"/>
      <c r="CUY69" s="824"/>
      <c r="CVA69" s="824"/>
      <c r="CVC69" s="824"/>
      <c r="CVE69" s="824"/>
      <c r="CVG69" s="824"/>
      <c r="CVI69" s="824"/>
      <c r="CVK69" s="824"/>
      <c r="CVM69" s="824"/>
      <c r="CVO69" s="824"/>
      <c r="CVQ69" s="824"/>
      <c r="CVS69" s="824"/>
      <c r="CVU69" s="824"/>
      <c r="CVW69" s="824"/>
      <c r="CVY69" s="824"/>
      <c r="CWA69" s="824"/>
      <c r="CWC69" s="824"/>
      <c r="CWE69" s="824"/>
      <c r="CWG69" s="824"/>
      <c r="CWI69" s="824"/>
      <c r="CWK69" s="824"/>
      <c r="CWM69" s="824"/>
      <c r="CWO69" s="824"/>
      <c r="CWQ69" s="824"/>
      <c r="CWS69" s="824"/>
      <c r="CWU69" s="824"/>
      <c r="CWW69" s="824"/>
      <c r="CWY69" s="824"/>
      <c r="CXA69" s="824"/>
      <c r="CXC69" s="824"/>
      <c r="CXE69" s="824"/>
      <c r="CXG69" s="824"/>
      <c r="CXI69" s="824"/>
      <c r="CXK69" s="824"/>
      <c r="CXM69" s="824"/>
      <c r="CXO69" s="824"/>
      <c r="CXQ69" s="824"/>
      <c r="CXS69" s="824"/>
      <c r="CXU69" s="824"/>
      <c r="CXW69" s="824"/>
      <c r="CXY69" s="824"/>
      <c r="CYA69" s="824"/>
      <c r="CYC69" s="824"/>
      <c r="CYE69" s="824"/>
      <c r="CYG69" s="824"/>
      <c r="CYI69" s="824"/>
      <c r="CYK69" s="824"/>
      <c r="CYM69" s="824"/>
      <c r="CYO69" s="824"/>
      <c r="CYQ69" s="824"/>
      <c r="CYS69" s="824"/>
      <c r="CYU69" s="824"/>
      <c r="CYW69" s="824"/>
      <c r="CYY69" s="824"/>
      <c r="CZA69" s="824"/>
      <c r="CZC69" s="824"/>
      <c r="CZE69" s="824"/>
      <c r="CZG69" s="824"/>
      <c r="CZI69" s="824"/>
      <c r="CZK69" s="824"/>
      <c r="CZM69" s="824"/>
      <c r="CZO69" s="824"/>
      <c r="CZQ69" s="824"/>
      <c r="CZS69" s="824"/>
      <c r="CZU69" s="824"/>
      <c r="CZW69" s="824"/>
      <c r="CZY69" s="824"/>
      <c r="DAA69" s="824"/>
      <c r="DAC69" s="824"/>
      <c r="DAE69" s="824"/>
      <c r="DAG69" s="824"/>
      <c r="DAI69" s="824"/>
      <c r="DAK69" s="824"/>
      <c r="DAM69" s="824"/>
      <c r="DAO69" s="824"/>
      <c r="DAQ69" s="824"/>
      <c r="DAS69" s="824"/>
      <c r="DAU69" s="824"/>
      <c r="DAW69" s="824"/>
      <c r="DAY69" s="824"/>
      <c r="DBA69" s="824"/>
      <c r="DBC69" s="824"/>
      <c r="DBE69" s="824"/>
      <c r="DBG69" s="824"/>
      <c r="DBI69" s="824"/>
      <c r="DBK69" s="824"/>
      <c r="DBM69" s="824"/>
      <c r="DBO69" s="824"/>
      <c r="DBQ69" s="824"/>
      <c r="DBS69" s="824"/>
      <c r="DBU69" s="824"/>
      <c r="DBW69" s="824"/>
      <c r="DBY69" s="824"/>
      <c r="DCA69" s="824"/>
      <c r="DCC69" s="824"/>
      <c r="DCE69" s="824"/>
      <c r="DCG69" s="824"/>
      <c r="DCI69" s="824"/>
      <c r="DCK69" s="824"/>
      <c r="DCM69" s="824"/>
      <c r="DCO69" s="824"/>
      <c r="DCQ69" s="824"/>
      <c r="DCS69" s="824"/>
      <c r="DCU69" s="824"/>
      <c r="DCW69" s="824"/>
      <c r="DCY69" s="824"/>
      <c r="DDA69" s="824"/>
      <c r="DDC69" s="824"/>
      <c r="DDE69" s="824"/>
      <c r="DDG69" s="824"/>
      <c r="DDI69" s="824"/>
      <c r="DDK69" s="824"/>
      <c r="DDM69" s="824"/>
      <c r="DDO69" s="824"/>
      <c r="DDQ69" s="824"/>
      <c r="DDS69" s="824"/>
      <c r="DDU69" s="824"/>
      <c r="DDW69" s="824"/>
      <c r="DDY69" s="824"/>
      <c r="DEA69" s="824"/>
      <c r="DEC69" s="824"/>
      <c r="DEE69" s="824"/>
      <c r="DEG69" s="824"/>
      <c r="DEI69" s="824"/>
      <c r="DEK69" s="824"/>
      <c r="DEM69" s="824"/>
      <c r="DEO69" s="824"/>
      <c r="DEQ69" s="824"/>
      <c r="DES69" s="824"/>
      <c r="DEU69" s="824"/>
      <c r="DEW69" s="824"/>
      <c r="DEY69" s="824"/>
      <c r="DFA69" s="824"/>
      <c r="DFC69" s="824"/>
      <c r="DFE69" s="824"/>
      <c r="DFG69" s="824"/>
      <c r="DFI69" s="824"/>
      <c r="DFK69" s="824"/>
      <c r="DFM69" s="824"/>
      <c r="DFO69" s="824"/>
      <c r="DFQ69" s="824"/>
      <c r="DFS69" s="824"/>
      <c r="DFU69" s="824"/>
      <c r="DFW69" s="824"/>
      <c r="DFY69" s="824"/>
      <c r="DGA69" s="824"/>
      <c r="DGC69" s="824"/>
      <c r="DGE69" s="824"/>
      <c r="DGG69" s="824"/>
      <c r="DGI69" s="824"/>
      <c r="DGK69" s="824"/>
      <c r="DGM69" s="824"/>
      <c r="DGO69" s="824"/>
      <c r="DGQ69" s="824"/>
      <c r="DGS69" s="824"/>
      <c r="DGU69" s="824"/>
      <c r="DGW69" s="824"/>
      <c r="DGY69" s="824"/>
      <c r="DHA69" s="824"/>
      <c r="DHC69" s="824"/>
      <c r="DHE69" s="824"/>
      <c r="DHG69" s="824"/>
      <c r="DHI69" s="824"/>
      <c r="DHK69" s="824"/>
      <c r="DHM69" s="824"/>
      <c r="DHO69" s="824"/>
      <c r="DHQ69" s="824"/>
      <c r="DHS69" s="824"/>
      <c r="DHU69" s="824"/>
      <c r="DHW69" s="824"/>
      <c r="DHY69" s="824"/>
      <c r="DIA69" s="824"/>
      <c r="DIC69" s="824"/>
      <c r="DIE69" s="824"/>
      <c r="DIG69" s="824"/>
      <c r="DII69" s="824"/>
      <c r="DIK69" s="824"/>
      <c r="DIM69" s="824"/>
      <c r="DIO69" s="824"/>
      <c r="DIQ69" s="824"/>
      <c r="DIS69" s="824"/>
      <c r="DIU69" s="824"/>
      <c r="DIW69" s="824"/>
      <c r="DIY69" s="824"/>
      <c r="DJA69" s="824"/>
      <c r="DJC69" s="824"/>
      <c r="DJE69" s="824"/>
      <c r="DJG69" s="824"/>
      <c r="DJI69" s="824"/>
      <c r="DJK69" s="824"/>
      <c r="DJM69" s="824"/>
      <c r="DJO69" s="824"/>
      <c r="DJQ69" s="824"/>
      <c r="DJS69" s="824"/>
      <c r="DJU69" s="824"/>
      <c r="DJW69" s="824"/>
      <c r="DJY69" s="824"/>
      <c r="DKA69" s="824"/>
      <c r="DKC69" s="824"/>
      <c r="DKE69" s="824"/>
      <c r="DKG69" s="824"/>
      <c r="DKI69" s="824"/>
      <c r="DKK69" s="824"/>
      <c r="DKM69" s="824"/>
      <c r="DKO69" s="824"/>
      <c r="DKQ69" s="824"/>
      <c r="DKS69" s="824"/>
      <c r="DKU69" s="824"/>
      <c r="DKW69" s="824"/>
      <c r="DKY69" s="824"/>
      <c r="DLA69" s="824"/>
      <c r="DLC69" s="824"/>
      <c r="DLE69" s="824"/>
      <c r="DLG69" s="824"/>
      <c r="DLI69" s="824"/>
      <c r="DLK69" s="824"/>
      <c r="DLM69" s="824"/>
      <c r="DLO69" s="824"/>
      <c r="DLQ69" s="824"/>
      <c r="DLS69" s="824"/>
      <c r="DLU69" s="824"/>
      <c r="DLW69" s="824"/>
      <c r="DLY69" s="824"/>
      <c r="DMA69" s="824"/>
      <c r="DMC69" s="824"/>
      <c r="DME69" s="824"/>
      <c r="DMG69" s="824"/>
      <c r="DMI69" s="824"/>
      <c r="DMK69" s="824"/>
      <c r="DMM69" s="824"/>
      <c r="DMO69" s="824"/>
      <c r="DMQ69" s="824"/>
      <c r="DMS69" s="824"/>
      <c r="DMU69" s="824"/>
      <c r="DMW69" s="824"/>
      <c r="DMY69" s="824"/>
      <c r="DNA69" s="824"/>
      <c r="DNC69" s="824"/>
      <c r="DNE69" s="824"/>
      <c r="DNG69" s="824"/>
      <c r="DNI69" s="824"/>
      <c r="DNK69" s="824"/>
      <c r="DNM69" s="824"/>
      <c r="DNO69" s="824"/>
      <c r="DNQ69" s="824"/>
      <c r="DNS69" s="824"/>
      <c r="DNU69" s="824"/>
      <c r="DNW69" s="824"/>
      <c r="DNY69" s="824"/>
      <c r="DOA69" s="824"/>
      <c r="DOC69" s="824"/>
      <c r="DOE69" s="824"/>
      <c r="DOG69" s="824"/>
      <c r="DOI69" s="824"/>
      <c r="DOK69" s="824"/>
      <c r="DOM69" s="824"/>
      <c r="DOO69" s="824"/>
      <c r="DOQ69" s="824"/>
      <c r="DOS69" s="824"/>
      <c r="DOU69" s="824"/>
      <c r="DOW69" s="824"/>
      <c r="DOY69" s="824"/>
      <c r="DPA69" s="824"/>
      <c r="DPC69" s="824"/>
      <c r="DPE69" s="824"/>
      <c r="DPG69" s="824"/>
      <c r="DPI69" s="824"/>
      <c r="DPK69" s="824"/>
      <c r="DPM69" s="824"/>
      <c r="DPO69" s="824"/>
      <c r="DPQ69" s="824"/>
      <c r="DPS69" s="824"/>
      <c r="DPU69" s="824"/>
      <c r="DPW69" s="824"/>
      <c r="DPY69" s="824"/>
      <c r="DQA69" s="824"/>
      <c r="DQC69" s="824"/>
      <c r="DQE69" s="824"/>
      <c r="DQG69" s="824"/>
      <c r="DQI69" s="824"/>
      <c r="DQK69" s="824"/>
      <c r="DQM69" s="824"/>
      <c r="DQO69" s="824"/>
      <c r="DQQ69" s="824"/>
      <c r="DQS69" s="824"/>
      <c r="DQU69" s="824"/>
      <c r="DQW69" s="824"/>
      <c r="DQY69" s="824"/>
      <c r="DRA69" s="824"/>
      <c r="DRC69" s="824"/>
      <c r="DRE69" s="824"/>
      <c r="DRG69" s="824"/>
      <c r="DRI69" s="824"/>
      <c r="DRK69" s="824"/>
      <c r="DRM69" s="824"/>
      <c r="DRO69" s="824"/>
      <c r="DRQ69" s="824"/>
      <c r="DRS69" s="824"/>
      <c r="DRU69" s="824"/>
      <c r="DRW69" s="824"/>
      <c r="DRY69" s="824"/>
      <c r="DSA69" s="824"/>
      <c r="DSC69" s="824"/>
      <c r="DSE69" s="824"/>
      <c r="DSG69" s="824"/>
      <c r="DSI69" s="824"/>
      <c r="DSK69" s="824"/>
      <c r="DSM69" s="824"/>
      <c r="DSO69" s="824"/>
      <c r="DSQ69" s="824"/>
      <c r="DSS69" s="824"/>
      <c r="DSU69" s="824"/>
      <c r="DSW69" s="824"/>
      <c r="DSY69" s="824"/>
      <c r="DTA69" s="824"/>
      <c r="DTC69" s="824"/>
      <c r="DTE69" s="824"/>
      <c r="DTG69" s="824"/>
      <c r="DTI69" s="824"/>
      <c r="DTK69" s="824"/>
      <c r="DTM69" s="824"/>
      <c r="DTO69" s="824"/>
      <c r="DTQ69" s="824"/>
      <c r="DTS69" s="824"/>
      <c r="DTU69" s="824"/>
      <c r="DTW69" s="824"/>
      <c r="DTY69" s="824"/>
      <c r="DUA69" s="824"/>
      <c r="DUC69" s="824"/>
      <c r="DUE69" s="824"/>
      <c r="DUG69" s="824"/>
      <c r="DUI69" s="824"/>
      <c r="DUK69" s="824"/>
      <c r="DUM69" s="824"/>
      <c r="DUO69" s="824"/>
      <c r="DUQ69" s="824"/>
      <c r="DUS69" s="824"/>
      <c r="DUU69" s="824"/>
      <c r="DUW69" s="824"/>
      <c r="DUY69" s="824"/>
      <c r="DVA69" s="824"/>
      <c r="DVC69" s="824"/>
      <c r="DVE69" s="824"/>
      <c r="DVG69" s="824"/>
      <c r="DVI69" s="824"/>
      <c r="DVK69" s="824"/>
      <c r="DVM69" s="824"/>
      <c r="DVO69" s="824"/>
      <c r="DVQ69" s="824"/>
      <c r="DVS69" s="824"/>
      <c r="DVU69" s="824"/>
      <c r="DVW69" s="824"/>
      <c r="DVY69" s="824"/>
      <c r="DWA69" s="824"/>
      <c r="DWC69" s="824"/>
      <c r="DWE69" s="824"/>
      <c r="DWG69" s="824"/>
      <c r="DWI69" s="824"/>
      <c r="DWK69" s="824"/>
      <c r="DWM69" s="824"/>
      <c r="DWO69" s="824"/>
      <c r="DWQ69" s="824"/>
      <c r="DWS69" s="824"/>
      <c r="DWU69" s="824"/>
      <c r="DWW69" s="824"/>
      <c r="DWY69" s="824"/>
      <c r="DXA69" s="824"/>
      <c r="DXC69" s="824"/>
      <c r="DXE69" s="824"/>
      <c r="DXG69" s="824"/>
      <c r="DXI69" s="824"/>
      <c r="DXK69" s="824"/>
      <c r="DXM69" s="824"/>
      <c r="DXO69" s="824"/>
      <c r="DXQ69" s="824"/>
      <c r="DXS69" s="824"/>
      <c r="DXU69" s="824"/>
      <c r="DXW69" s="824"/>
      <c r="DXY69" s="824"/>
      <c r="DYA69" s="824"/>
      <c r="DYC69" s="824"/>
      <c r="DYE69" s="824"/>
      <c r="DYG69" s="824"/>
      <c r="DYI69" s="824"/>
      <c r="DYK69" s="824"/>
      <c r="DYM69" s="824"/>
      <c r="DYO69" s="824"/>
      <c r="DYQ69" s="824"/>
      <c r="DYS69" s="824"/>
      <c r="DYU69" s="824"/>
      <c r="DYW69" s="824"/>
      <c r="DYY69" s="824"/>
      <c r="DZA69" s="824"/>
      <c r="DZC69" s="824"/>
      <c r="DZE69" s="824"/>
      <c r="DZG69" s="824"/>
      <c r="DZI69" s="824"/>
      <c r="DZK69" s="824"/>
      <c r="DZM69" s="824"/>
      <c r="DZO69" s="824"/>
      <c r="DZQ69" s="824"/>
      <c r="DZS69" s="824"/>
      <c r="DZU69" s="824"/>
      <c r="DZW69" s="824"/>
      <c r="DZY69" s="824"/>
      <c r="EAA69" s="824"/>
      <c r="EAC69" s="824"/>
      <c r="EAE69" s="824"/>
      <c r="EAG69" s="824"/>
      <c r="EAI69" s="824"/>
      <c r="EAK69" s="824"/>
      <c r="EAM69" s="824"/>
      <c r="EAO69" s="824"/>
      <c r="EAQ69" s="824"/>
      <c r="EAS69" s="824"/>
      <c r="EAU69" s="824"/>
      <c r="EAW69" s="824"/>
      <c r="EAY69" s="824"/>
      <c r="EBA69" s="824"/>
      <c r="EBC69" s="824"/>
      <c r="EBE69" s="824"/>
      <c r="EBG69" s="824"/>
      <c r="EBI69" s="824"/>
      <c r="EBK69" s="824"/>
      <c r="EBM69" s="824"/>
      <c r="EBO69" s="824"/>
      <c r="EBQ69" s="824"/>
      <c r="EBS69" s="824"/>
      <c r="EBU69" s="824"/>
      <c r="EBW69" s="824"/>
      <c r="EBY69" s="824"/>
      <c r="ECA69" s="824"/>
      <c r="ECC69" s="824"/>
      <c r="ECE69" s="824"/>
      <c r="ECG69" s="824"/>
      <c r="ECI69" s="824"/>
      <c r="ECK69" s="824"/>
      <c r="ECM69" s="824"/>
      <c r="ECO69" s="824"/>
      <c r="ECQ69" s="824"/>
      <c r="ECS69" s="824"/>
      <c r="ECU69" s="824"/>
      <c r="ECW69" s="824"/>
      <c r="ECY69" s="824"/>
      <c r="EDA69" s="824"/>
      <c r="EDC69" s="824"/>
      <c r="EDE69" s="824"/>
      <c r="EDG69" s="824"/>
      <c r="EDI69" s="824"/>
      <c r="EDK69" s="824"/>
      <c r="EDM69" s="824"/>
      <c r="EDO69" s="824"/>
      <c r="EDQ69" s="824"/>
      <c r="EDS69" s="824"/>
      <c r="EDU69" s="824"/>
      <c r="EDW69" s="824"/>
      <c r="EDY69" s="824"/>
      <c r="EEA69" s="824"/>
      <c r="EEC69" s="824"/>
      <c r="EEE69" s="824"/>
      <c r="EEG69" s="824"/>
      <c r="EEI69" s="824"/>
      <c r="EEK69" s="824"/>
      <c r="EEM69" s="824"/>
      <c r="EEO69" s="824"/>
      <c r="EEQ69" s="824"/>
      <c r="EES69" s="824"/>
      <c r="EEU69" s="824"/>
      <c r="EEW69" s="824"/>
      <c r="EEY69" s="824"/>
      <c r="EFA69" s="824"/>
      <c r="EFC69" s="824"/>
      <c r="EFE69" s="824"/>
      <c r="EFG69" s="824"/>
      <c r="EFI69" s="824"/>
      <c r="EFK69" s="824"/>
      <c r="EFM69" s="824"/>
      <c r="EFO69" s="824"/>
      <c r="EFQ69" s="824"/>
      <c r="EFS69" s="824"/>
      <c r="EFU69" s="824"/>
      <c r="EFW69" s="824"/>
      <c r="EFY69" s="824"/>
      <c r="EGA69" s="824"/>
      <c r="EGC69" s="824"/>
      <c r="EGE69" s="824"/>
      <c r="EGG69" s="824"/>
      <c r="EGI69" s="824"/>
      <c r="EGK69" s="824"/>
      <c r="EGM69" s="824"/>
      <c r="EGO69" s="824"/>
      <c r="EGQ69" s="824"/>
      <c r="EGS69" s="824"/>
      <c r="EGU69" s="824"/>
      <c r="EGW69" s="824"/>
      <c r="EGY69" s="824"/>
      <c r="EHA69" s="824"/>
      <c r="EHC69" s="824"/>
      <c r="EHE69" s="824"/>
      <c r="EHG69" s="824"/>
      <c r="EHI69" s="824"/>
      <c r="EHK69" s="824"/>
      <c r="EHM69" s="824"/>
      <c r="EHO69" s="824"/>
      <c r="EHQ69" s="824"/>
      <c r="EHS69" s="824"/>
      <c r="EHU69" s="824"/>
      <c r="EHW69" s="824"/>
      <c r="EHY69" s="824"/>
      <c r="EIA69" s="824"/>
      <c r="EIC69" s="824"/>
      <c r="EIE69" s="824"/>
      <c r="EIG69" s="824"/>
      <c r="EII69" s="824"/>
      <c r="EIK69" s="824"/>
      <c r="EIM69" s="824"/>
      <c r="EIO69" s="824"/>
      <c r="EIQ69" s="824"/>
      <c r="EIS69" s="824"/>
      <c r="EIU69" s="824"/>
      <c r="EIW69" s="824"/>
      <c r="EIY69" s="824"/>
      <c r="EJA69" s="824"/>
      <c r="EJC69" s="824"/>
      <c r="EJE69" s="824"/>
      <c r="EJG69" s="824"/>
      <c r="EJI69" s="824"/>
      <c r="EJK69" s="824"/>
      <c r="EJM69" s="824"/>
      <c r="EJO69" s="824"/>
      <c r="EJQ69" s="824"/>
      <c r="EJS69" s="824"/>
      <c r="EJU69" s="824"/>
      <c r="EJW69" s="824"/>
      <c r="EJY69" s="824"/>
      <c r="EKA69" s="824"/>
      <c r="EKC69" s="824"/>
      <c r="EKE69" s="824"/>
      <c r="EKG69" s="824"/>
      <c r="EKI69" s="824"/>
      <c r="EKK69" s="824"/>
      <c r="EKM69" s="824"/>
      <c r="EKO69" s="824"/>
      <c r="EKQ69" s="824"/>
      <c r="EKS69" s="824"/>
      <c r="EKU69" s="824"/>
      <c r="EKW69" s="824"/>
      <c r="EKY69" s="824"/>
      <c r="ELA69" s="824"/>
      <c r="ELC69" s="824"/>
      <c r="ELE69" s="824"/>
      <c r="ELG69" s="824"/>
      <c r="ELI69" s="824"/>
      <c r="ELK69" s="824"/>
      <c r="ELM69" s="824"/>
      <c r="ELO69" s="824"/>
      <c r="ELQ69" s="824"/>
      <c r="ELS69" s="824"/>
      <c r="ELU69" s="824"/>
      <c r="ELW69" s="824"/>
      <c r="ELY69" s="824"/>
      <c r="EMA69" s="824"/>
      <c r="EMC69" s="824"/>
      <c r="EME69" s="824"/>
      <c r="EMG69" s="824"/>
      <c r="EMI69" s="824"/>
      <c r="EMK69" s="824"/>
      <c r="EMM69" s="824"/>
      <c r="EMO69" s="824"/>
      <c r="EMQ69" s="824"/>
      <c r="EMS69" s="824"/>
      <c r="EMU69" s="824"/>
      <c r="EMW69" s="824"/>
      <c r="EMY69" s="824"/>
      <c r="ENA69" s="824"/>
      <c r="ENC69" s="824"/>
      <c r="ENE69" s="824"/>
      <c r="ENG69" s="824"/>
      <c r="ENI69" s="824"/>
      <c r="ENK69" s="824"/>
      <c r="ENM69" s="824"/>
      <c r="ENO69" s="824"/>
      <c r="ENQ69" s="824"/>
      <c r="ENS69" s="824"/>
      <c r="ENU69" s="824"/>
      <c r="ENW69" s="824"/>
      <c r="ENY69" s="824"/>
      <c r="EOA69" s="824"/>
      <c r="EOC69" s="824"/>
      <c r="EOE69" s="824"/>
      <c r="EOG69" s="824"/>
      <c r="EOI69" s="824"/>
      <c r="EOK69" s="824"/>
      <c r="EOM69" s="824"/>
      <c r="EOO69" s="824"/>
      <c r="EOQ69" s="824"/>
      <c r="EOS69" s="824"/>
      <c r="EOU69" s="824"/>
      <c r="EOW69" s="824"/>
      <c r="EOY69" s="824"/>
      <c r="EPA69" s="824"/>
      <c r="EPC69" s="824"/>
      <c r="EPE69" s="824"/>
      <c r="EPG69" s="824"/>
      <c r="EPI69" s="824"/>
      <c r="EPK69" s="824"/>
      <c r="EPM69" s="824"/>
      <c r="EPO69" s="824"/>
      <c r="EPQ69" s="824"/>
      <c r="EPS69" s="824"/>
      <c r="EPU69" s="824"/>
      <c r="EPW69" s="824"/>
      <c r="EPY69" s="824"/>
      <c r="EQA69" s="824"/>
      <c r="EQC69" s="824"/>
      <c r="EQE69" s="824"/>
      <c r="EQG69" s="824"/>
      <c r="EQI69" s="824"/>
      <c r="EQK69" s="824"/>
      <c r="EQM69" s="824"/>
      <c r="EQO69" s="824"/>
      <c r="EQQ69" s="824"/>
      <c r="EQS69" s="824"/>
      <c r="EQU69" s="824"/>
      <c r="EQW69" s="824"/>
      <c r="EQY69" s="824"/>
      <c r="ERA69" s="824"/>
      <c r="ERC69" s="824"/>
      <c r="ERE69" s="824"/>
      <c r="ERG69" s="824"/>
      <c r="ERI69" s="824"/>
      <c r="ERK69" s="824"/>
      <c r="ERM69" s="824"/>
      <c r="ERO69" s="824"/>
      <c r="ERQ69" s="824"/>
      <c r="ERS69" s="824"/>
      <c r="ERU69" s="824"/>
      <c r="ERW69" s="824"/>
      <c r="ERY69" s="824"/>
      <c r="ESA69" s="824"/>
      <c r="ESC69" s="824"/>
      <c r="ESE69" s="824"/>
      <c r="ESG69" s="824"/>
      <c r="ESI69" s="824"/>
      <c r="ESK69" s="824"/>
      <c r="ESM69" s="824"/>
      <c r="ESO69" s="824"/>
      <c r="ESQ69" s="824"/>
      <c r="ESS69" s="824"/>
      <c r="ESU69" s="824"/>
      <c r="ESW69" s="824"/>
      <c r="ESY69" s="824"/>
      <c r="ETA69" s="824"/>
      <c r="ETC69" s="824"/>
      <c r="ETE69" s="824"/>
      <c r="ETG69" s="824"/>
      <c r="ETI69" s="824"/>
      <c r="ETK69" s="824"/>
      <c r="ETM69" s="824"/>
      <c r="ETO69" s="824"/>
      <c r="ETQ69" s="824"/>
      <c r="ETS69" s="824"/>
      <c r="ETU69" s="824"/>
      <c r="ETW69" s="824"/>
      <c r="ETY69" s="824"/>
      <c r="EUA69" s="824"/>
      <c r="EUC69" s="824"/>
      <c r="EUE69" s="824"/>
      <c r="EUG69" s="824"/>
      <c r="EUI69" s="824"/>
      <c r="EUK69" s="824"/>
      <c r="EUM69" s="824"/>
      <c r="EUO69" s="824"/>
      <c r="EUQ69" s="824"/>
      <c r="EUS69" s="824"/>
      <c r="EUU69" s="824"/>
      <c r="EUW69" s="824"/>
      <c r="EUY69" s="824"/>
      <c r="EVA69" s="824"/>
      <c r="EVC69" s="824"/>
      <c r="EVE69" s="824"/>
      <c r="EVG69" s="824"/>
      <c r="EVI69" s="824"/>
      <c r="EVK69" s="824"/>
      <c r="EVM69" s="824"/>
      <c r="EVO69" s="824"/>
      <c r="EVQ69" s="824"/>
      <c r="EVS69" s="824"/>
      <c r="EVU69" s="824"/>
      <c r="EVW69" s="824"/>
      <c r="EVY69" s="824"/>
      <c r="EWA69" s="824"/>
      <c r="EWC69" s="824"/>
      <c r="EWE69" s="824"/>
      <c r="EWG69" s="824"/>
      <c r="EWI69" s="824"/>
      <c r="EWK69" s="824"/>
      <c r="EWM69" s="824"/>
      <c r="EWO69" s="824"/>
      <c r="EWQ69" s="824"/>
      <c r="EWS69" s="824"/>
      <c r="EWU69" s="824"/>
      <c r="EWW69" s="824"/>
      <c r="EWY69" s="824"/>
      <c r="EXA69" s="824"/>
      <c r="EXC69" s="824"/>
      <c r="EXE69" s="824"/>
      <c r="EXG69" s="824"/>
      <c r="EXI69" s="824"/>
      <c r="EXK69" s="824"/>
      <c r="EXM69" s="824"/>
      <c r="EXO69" s="824"/>
      <c r="EXQ69" s="824"/>
      <c r="EXS69" s="824"/>
      <c r="EXU69" s="824"/>
      <c r="EXW69" s="824"/>
      <c r="EXY69" s="824"/>
      <c r="EYA69" s="824"/>
      <c r="EYC69" s="824"/>
      <c r="EYE69" s="824"/>
      <c r="EYG69" s="824"/>
      <c r="EYI69" s="824"/>
      <c r="EYK69" s="824"/>
      <c r="EYM69" s="824"/>
      <c r="EYO69" s="824"/>
      <c r="EYQ69" s="824"/>
      <c r="EYS69" s="824"/>
      <c r="EYU69" s="824"/>
      <c r="EYW69" s="824"/>
      <c r="EYY69" s="824"/>
      <c r="EZA69" s="824"/>
      <c r="EZC69" s="824"/>
      <c r="EZE69" s="824"/>
      <c r="EZG69" s="824"/>
      <c r="EZI69" s="824"/>
      <c r="EZK69" s="824"/>
      <c r="EZM69" s="824"/>
      <c r="EZO69" s="824"/>
      <c r="EZQ69" s="824"/>
      <c r="EZS69" s="824"/>
      <c r="EZU69" s="824"/>
      <c r="EZW69" s="824"/>
      <c r="EZY69" s="824"/>
      <c r="FAA69" s="824"/>
      <c r="FAC69" s="824"/>
      <c r="FAE69" s="824"/>
      <c r="FAG69" s="824"/>
      <c r="FAI69" s="824"/>
      <c r="FAK69" s="824"/>
      <c r="FAM69" s="824"/>
      <c r="FAO69" s="824"/>
      <c r="FAQ69" s="824"/>
      <c r="FAS69" s="824"/>
      <c r="FAU69" s="824"/>
      <c r="FAW69" s="824"/>
      <c r="FAY69" s="824"/>
      <c r="FBA69" s="824"/>
      <c r="FBC69" s="824"/>
      <c r="FBE69" s="824"/>
      <c r="FBG69" s="824"/>
      <c r="FBI69" s="824"/>
      <c r="FBK69" s="824"/>
      <c r="FBM69" s="824"/>
      <c r="FBO69" s="824"/>
      <c r="FBQ69" s="824"/>
      <c r="FBS69" s="824"/>
      <c r="FBU69" s="824"/>
      <c r="FBW69" s="824"/>
      <c r="FBY69" s="824"/>
      <c r="FCA69" s="824"/>
      <c r="FCC69" s="824"/>
      <c r="FCE69" s="824"/>
      <c r="FCG69" s="824"/>
      <c r="FCI69" s="824"/>
      <c r="FCK69" s="824"/>
      <c r="FCM69" s="824"/>
      <c r="FCO69" s="824"/>
      <c r="FCQ69" s="824"/>
      <c r="FCS69" s="824"/>
      <c r="FCU69" s="824"/>
      <c r="FCW69" s="824"/>
      <c r="FCY69" s="824"/>
      <c r="FDA69" s="824"/>
      <c r="FDC69" s="824"/>
      <c r="FDE69" s="824"/>
      <c r="FDG69" s="824"/>
      <c r="FDI69" s="824"/>
      <c r="FDK69" s="824"/>
      <c r="FDM69" s="824"/>
      <c r="FDO69" s="824"/>
      <c r="FDQ69" s="824"/>
      <c r="FDS69" s="824"/>
      <c r="FDU69" s="824"/>
      <c r="FDW69" s="824"/>
      <c r="FDY69" s="824"/>
      <c r="FEA69" s="824"/>
      <c r="FEC69" s="824"/>
      <c r="FEE69" s="824"/>
      <c r="FEG69" s="824"/>
      <c r="FEI69" s="824"/>
      <c r="FEK69" s="824"/>
      <c r="FEM69" s="824"/>
      <c r="FEO69" s="824"/>
      <c r="FEQ69" s="824"/>
      <c r="FES69" s="824"/>
      <c r="FEU69" s="824"/>
      <c r="FEW69" s="824"/>
      <c r="FEY69" s="824"/>
      <c r="FFA69" s="824"/>
      <c r="FFC69" s="824"/>
      <c r="FFE69" s="824"/>
      <c r="FFG69" s="824"/>
      <c r="FFI69" s="824"/>
      <c r="FFK69" s="824"/>
      <c r="FFM69" s="824"/>
      <c r="FFO69" s="824"/>
      <c r="FFQ69" s="824"/>
      <c r="FFS69" s="824"/>
      <c r="FFU69" s="824"/>
      <c r="FFW69" s="824"/>
      <c r="FFY69" s="824"/>
      <c r="FGA69" s="824"/>
      <c r="FGC69" s="824"/>
      <c r="FGE69" s="824"/>
      <c r="FGG69" s="824"/>
      <c r="FGI69" s="824"/>
      <c r="FGK69" s="824"/>
      <c r="FGM69" s="824"/>
      <c r="FGO69" s="824"/>
      <c r="FGQ69" s="824"/>
      <c r="FGS69" s="824"/>
      <c r="FGU69" s="824"/>
      <c r="FGW69" s="824"/>
      <c r="FGY69" s="824"/>
      <c r="FHA69" s="824"/>
      <c r="FHC69" s="824"/>
      <c r="FHE69" s="824"/>
      <c r="FHG69" s="824"/>
      <c r="FHI69" s="824"/>
      <c r="FHK69" s="824"/>
      <c r="FHM69" s="824"/>
      <c r="FHO69" s="824"/>
      <c r="FHQ69" s="824"/>
      <c r="FHS69" s="824"/>
      <c r="FHU69" s="824"/>
      <c r="FHW69" s="824"/>
      <c r="FHY69" s="824"/>
      <c r="FIA69" s="824"/>
      <c r="FIC69" s="824"/>
      <c r="FIE69" s="824"/>
      <c r="FIG69" s="824"/>
      <c r="FII69" s="824"/>
      <c r="FIK69" s="824"/>
      <c r="FIM69" s="824"/>
      <c r="FIO69" s="824"/>
      <c r="FIQ69" s="824"/>
      <c r="FIS69" s="824"/>
      <c r="FIU69" s="824"/>
      <c r="FIW69" s="824"/>
      <c r="FIY69" s="824"/>
      <c r="FJA69" s="824"/>
      <c r="FJC69" s="824"/>
      <c r="FJE69" s="824"/>
      <c r="FJG69" s="824"/>
      <c r="FJI69" s="824"/>
      <c r="FJK69" s="824"/>
      <c r="FJM69" s="824"/>
      <c r="FJO69" s="824"/>
      <c r="FJQ69" s="824"/>
      <c r="FJS69" s="824"/>
      <c r="FJU69" s="824"/>
      <c r="FJW69" s="824"/>
      <c r="FJY69" s="824"/>
      <c r="FKA69" s="824"/>
      <c r="FKC69" s="824"/>
      <c r="FKE69" s="824"/>
      <c r="FKG69" s="824"/>
      <c r="FKI69" s="824"/>
      <c r="FKK69" s="824"/>
      <c r="FKM69" s="824"/>
      <c r="FKO69" s="824"/>
      <c r="FKQ69" s="824"/>
      <c r="FKS69" s="824"/>
      <c r="FKU69" s="824"/>
      <c r="FKW69" s="824"/>
      <c r="FKY69" s="824"/>
      <c r="FLA69" s="824"/>
      <c r="FLC69" s="824"/>
      <c r="FLE69" s="824"/>
      <c r="FLG69" s="824"/>
      <c r="FLI69" s="824"/>
      <c r="FLK69" s="824"/>
      <c r="FLM69" s="824"/>
      <c r="FLO69" s="824"/>
      <c r="FLQ69" s="824"/>
      <c r="FLS69" s="824"/>
      <c r="FLU69" s="824"/>
      <c r="FLW69" s="824"/>
      <c r="FLY69" s="824"/>
      <c r="FMA69" s="824"/>
      <c r="FMC69" s="824"/>
      <c r="FME69" s="824"/>
      <c r="FMG69" s="824"/>
      <c r="FMI69" s="824"/>
      <c r="FMK69" s="824"/>
      <c r="FMM69" s="824"/>
      <c r="FMO69" s="824"/>
      <c r="FMQ69" s="824"/>
      <c r="FMS69" s="824"/>
      <c r="FMU69" s="824"/>
      <c r="FMW69" s="824"/>
      <c r="FMY69" s="824"/>
      <c r="FNA69" s="824"/>
      <c r="FNC69" s="824"/>
      <c r="FNE69" s="824"/>
      <c r="FNG69" s="824"/>
      <c r="FNI69" s="824"/>
      <c r="FNK69" s="824"/>
      <c r="FNM69" s="824"/>
      <c r="FNO69" s="824"/>
      <c r="FNQ69" s="824"/>
      <c r="FNS69" s="824"/>
      <c r="FNU69" s="824"/>
      <c r="FNW69" s="824"/>
      <c r="FNY69" s="824"/>
      <c r="FOA69" s="824"/>
      <c r="FOC69" s="824"/>
      <c r="FOE69" s="824"/>
      <c r="FOG69" s="824"/>
      <c r="FOI69" s="824"/>
      <c r="FOK69" s="824"/>
      <c r="FOM69" s="824"/>
      <c r="FOO69" s="824"/>
      <c r="FOQ69" s="824"/>
      <c r="FOS69" s="824"/>
      <c r="FOU69" s="824"/>
      <c r="FOW69" s="824"/>
      <c r="FOY69" s="824"/>
      <c r="FPA69" s="824"/>
      <c r="FPC69" s="824"/>
      <c r="FPE69" s="824"/>
      <c r="FPG69" s="824"/>
      <c r="FPI69" s="824"/>
      <c r="FPK69" s="824"/>
      <c r="FPM69" s="824"/>
      <c r="FPO69" s="824"/>
      <c r="FPQ69" s="824"/>
      <c r="FPS69" s="824"/>
      <c r="FPU69" s="824"/>
      <c r="FPW69" s="824"/>
      <c r="FPY69" s="824"/>
      <c r="FQA69" s="824"/>
      <c r="FQC69" s="824"/>
      <c r="FQE69" s="824"/>
      <c r="FQG69" s="824"/>
      <c r="FQI69" s="824"/>
      <c r="FQK69" s="824"/>
      <c r="FQM69" s="824"/>
      <c r="FQO69" s="824"/>
      <c r="FQQ69" s="824"/>
      <c r="FQS69" s="824"/>
      <c r="FQU69" s="824"/>
      <c r="FQW69" s="824"/>
      <c r="FQY69" s="824"/>
      <c r="FRA69" s="824"/>
      <c r="FRC69" s="824"/>
      <c r="FRE69" s="824"/>
      <c r="FRG69" s="824"/>
      <c r="FRI69" s="824"/>
      <c r="FRK69" s="824"/>
      <c r="FRM69" s="824"/>
      <c r="FRO69" s="824"/>
      <c r="FRQ69" s="824"/>
      <c r="FRS69" s="824"/>
      <c r="FRU69" s="824"/>
      <c r="FRW69" s="824"/>
      <c r="FRY69" s="824"/>
      <c r="FSA69" s="824"/>
      <c r="FSC69" s="824"/>
      <c r="FSE69" s="824"/>
      <c r="FSG69" s="824"/>
      <c r="FSI69" s="824"/>
      <c r="FSK69" s="824"/>
      <c r="FSM69" s="824"/>
      <c r="FSO69" s="824"/>
      <c r="FSQ69" s="824"/>
      <c r="FSS69" s="824"/>
      <c r="FSU69" s="824"/>
      <c r="FSW69" s="824"/>
      <c r="FSY69" s="824"/>
      <c r="FTA69" s="824"/>
      <c r="FTC69" s="824"/>
      <c r="FTE69" s="824"/>
      <c r="FTG69" s="824"/>
      <c r="FTI69" s="824"/>
      <c r="FTK69" s="824"/>
      <c r="FTM69" s="824"/>
      <c r="FTO69" s="824"/>
      <c r="FTQ69" s="824"/>
      <c r="FTS69" s="824"/>
      <c r="FTU69" s="824"/>
      <c r="FTW69" s="824"/>
      <c r="FTY69" s="824"/>
      <c r="FUA69" s="824"/>
      <c r="FUC69" s="824"/>
      <c r="FUE69" s="824"/>
      <c r="FUG69" s="824"/>
      <c r="FUI69" s="824"/>
      <c r="FUK69" s="824"/>
      <c r="FUM69" s="824"/>
      <c r="FUO69" s="824"/>
      <c r="FUQ69" s="824"/>
      <c r="FUS69" s="824"/>
      <c r="FUU69" s="824"/>
      <c r="FUW69" s="824"/>
      <c r="FUY69" s="824"/>
      <c r="FVA69" s="824"/>
      <c r="FVC69" s="824"/>
      <c r="FVE69" s="824"/>
      <c r="FVG69" s="824"/>
      <c r="FVI69" s="824"/>
      <c r="FVK69" s="824"/>
      <c r="FVM69" s="824"/>
      <c r="FVO69" s="824"/>
      <c r="FVQ69" s="824"/>
      <c r="FVS69" s="824"/>
      <c r="FVU69" s="824"/>
      <c r="FVW69" s="824"/>
      <c r="FVY69" s="824"/>
      <c r="FWA69" s="824"/>
      <c r="FWC69" s="824"/>
      <c r="FWE69" s="824"/>
      <c r="FWG69" s="824"/>
      <c r="FWI69" s="824"/>
      <c r="FWK69" s="824"/>
      <c r="FWM69" s="824"/>
      <c r="FWO69" s="824"/>
      <c r="FWQ69" s="824"/>
      <c r="FWS69" s="824"/>
      <c r="FWU69" s="824"/>
      <c r="FWW69" s="824"/>
      <c r="FWY69" s="824"/>
      <c r="FXA69" s="824"/>
      <c r="FXC69" s="824"/>
      <c r="FXE69" s="824"/>
      <c r="FXG69" s="824"/>
      <c r="FXI69" s="824"/>
      <c r="FXK69" s="824"/>
      <c r="FXM69" s="824"/>
      <c r="FXO69" s="824"/>
      <c r="FXQ69" s="824"/>
      <c r="FXS69" s="824"/>
      <c r="FXU69" s="824"/>
      <c r="FXW69" s="824"/>
      <c r="FXY69" s="824"/>
      <c r="FYA69" s="824"/>
      <c r="FYC69" s="824"/>
      <c r="FYE69" s="824"/>
      <c r="FYG69" s="824"/>
      <c r="FYI69" s="824"/>
      <c r="FYK69" s="824"/>
      <c r="FYM69" s="824"/>
      <c r="FYO69" s="824"/>
      <c r="FYQ69" s="824"/>
      <c r="FYS69" s="824"/>
      <c r="FYU69" s="824"/>
      <c r="FYW69" s="824"/>
      <c r="FYY69" s="824"/>
      <c r="FZA69" s="824"/>
      <c r="FZC69" s="824"/>
      <c r="FZE69" s="824"/>
      <c r="FZG69" s="824"/>
      <c r="FZI69" s="824"/>
      <c r="FZK69" s="824"/>
      <c r="FZM69" s="824"/>
      <c r="FZO69" s="824"/>
      <c r="FZQ69" s="824"/>
      <c r="FZS69" s="824"/>
      <c r="FZU69" s="824"/>
      <c r="FZW69" s="824"/>
      <c r="FZY69" s="824"/>
      <c r="GAA69" s="824"/>
      <c r="GAC69" s="824"/>
      <c r="GAE69" s="824"/>
      <c r="GAG69" s="824"/>
      <c r="GAI69" s="824"/>
      <c r="GAK69" s="824"/>
      <c r="GAM69" s="824"/>
      <c r="GAO69" s="824"/>
      <c r="GAQ69" s="824"/>
      <c r="GAS69" s="824"/>
      <c r="GAU69" s="824"/>
      <c r="GAW69" s="824"/>
      <c r="GAY69" s="824"/>
      <c r="GBA69" s="824"/>
      <c r="GBC69" s="824"/>
      <c r="GBE69" s="824"/>
      <c r="GBG69" s="824"/>
      <c r="GBI69" s="824"/>
      <c r="GBK69" s="824"/>
      <c r="GBM69" s="824"/>
      <c r="GBO69" s="824"/>
      <c r="GBQ69" s="824"/>
      <c r="GBS69" s="824"/>
      <c r="GBU69" s="824"/>
      <c r="GBW69" s="824"/>
      <c r="GBY69" s="824"/>
      <c r="GCA69" s="824"/>
      <c r="GCC69" s="824"/>
      <c r="GCE69" s="824"/>
      <c r="GCG69" s="824"/>
      <c r="GCI69" s="824"/>
      <c r="GCK69" s="824"/>
      <c r="GCM69" s="824"/>
      <c r="GCO69" s="824"/>
      <c r="GCQ69" s="824"/>
      <c r="GCS69" s="824"/>
      <c r="GCU69" s="824"/>
      <c r="GCW69" s="824"/>
      <c r="GCY69" s="824"/>
      <c r="GDA69" s="824"/>
      <c r="GDC69" s="824"/>
      <c r="GDE69" s="824"/>
      <c r="GDG69" s="824"/>
      <c r="GDI69" s="824"/>
      <c r="GDK69" s="824"/>
      <c r="GDM69" s="824"/>
      <c r="GDO69" s="824"/>
      <c r="GDQ69" s="824"/>
      <c r="GDS69" s="824"/>
      <c r="GDU69" s="824"/>
      <c r="GDW69" s="824"/>
      <c r="GDY69" s="824"/>
      <c r="GEA69" s="824"/>
      <c r="GEC69" s="824"/>
      <c r="GEE69" s="824"/>
      <c r="GEG69" s="824"/>
      <c r="GEI69" s="824"/>
      <c r="GEK69" s="824"/>
      <c r="GEM69" s="824"/>
      <c r="GEO69" s="824"/>
      <c r="GEQ69" s="824"/>
      <c r="GES69" s="824"/>
      <c r="GEU69" s="824"/>
      <c r="GEW69" s="824"/>
      <c r="GEY69" s="824"/>
      <c r="GFA69" s="824"/>
      <c r="GFC69" s="824"/>
      <c r="GFE69" s="824"/>
      <c r="GFG69" s="824"/>
      <c r="GFI69" s="824"/>
      <c r="GFK69" s="824"/>
      <c r="GFM69" s="824"/>
      <c r="GFO69" s="824"/>
      <c r="GFQ69" s="824"/>
      <c r="GFS69" s="824"/>
      <c r="GFU69" s="824"/>
      <c r="GFW69" s="824"/>
      <c r="GFY69" s="824"/>
      <c r="GGA69" s="824"/>
      <c r="GGC69" s="824"/>
      <c r="GGE69" s="824"/>
      <c r="GGG69" s="824"/>
      <c r="GGI69" s="824"/>
      <c r="GGK69" s="824"/>
      <c r="GGM69" s="824"/>
      <c r="GGO69" s="824"/>
      <c r="GGQ69" s="824"/>
      <c r="GGS69" s="824"/>
      <c r="GGU69" s="824"/>
      <c r="GGW69" s="824"/>
      <c r="GGY69" s="824"/>
      <c r="GHA69" s="824"/>
      <c r="GHC69" s="824"/>
      <c r="GHE69" s="824"/>
      <c r="GHG69" s="824"/>
      <c r="GHI69" s="824"/>
      <c r="GHK69" s="824"/>
      <c r="GHM69" s="824"/>
      <c r="GHO69" s="824"/>
      <c r="GHQ69" s="824"/>
      <c r="GHS69" s="824"/>
      <c r="GHU69" s="824"/>
      <c r="GHW69" s="824"/>
      <c r="GHY69" s="824"/>
      <c r="GIA69" s="824"/>
      <c r="GIC69" s="824"/>
      <c r="GIE69" s="824"/>
      <c r="GIG69" s="824"/>
      <c r="GII69" s="824"/>
      <c r="GIK69" s="824"/>
      <c r="GIM69" s="824"/>
      <c r="GIO69" s="824"/>
      <c r="GIQ69" s="824"/>
      <c r="GIS69" s="824"/>
      <c r="GIU69" s="824"/>
      <c r="GIW69" s="824"/>
      <c r="GIY69" s="824"/>
      <c r="GJA69" s="824"/>
      <c r="GJC69" s="824"/>
      <c r="GJE69" s="824"/>
      <c r="GJG69" s="824"/>
      <c r="GJI69" s="824"/>
      <c r="GJK69" s="824"/>
      <c r="GJM69" s="824"/>
      <c r="GJO69" s="824"/>
      <c r="GJQ69" s="824"/>
      <c r="GJS69" s="824"/>
      <c r="GJU69" s="824"/>
      <c r="GJW69" s="824"/>
      <c r="GJY69" s="824"/>
      <c r="GKA69" s="824"/>
      <c r="GKC69" s="824"/>
      <c r="GKE69" s="824"/>
      <c r="GKG69" s="824"/>
      <c r="GKI69" s="824"/>
      <c r="GKK69" s="824"/>
      <c r="GKM69" s="824"/>
      <c r="GKO69" s="824"/>
      <c r="GKQ69" s="824"/>
      <c r="GKS69" s="824"/>
      <c r="GKU69" s="824"/>
      <c r="GKW69" s="824"/>
      <c r="GKY69" s="824"/>
      <c r="GLA69" s="824"/>
      <c r="GLC69" s="824"/>
      <c r="GLE69" s="824"/>
      <c r="GLG69" s="824"/>
      <c r="GLI69" s="824"/>
      <c r="GLK69" s="824"/>
      <c r="GLM69" s="824"/>
      <c r="GLO69" s="824"/>
      <c r="GLQ69" s="824"/>
      <c r="GLS69" s="824"/>
      <c r="GLU69" s="824"/>
      <c r="GLW69" s="824"/>
      <c r="GLY69" s="824"/>
      <c r="GMA69" s="824"/>
      <c r="GMC69" s="824"/>
      <c r="GME69" s="824"/>
      <c r="GMG69" s="824"/>
      <c r="GMI69" s="824"/>
      <c r="GMK69" s="824"/>
      <c r="GMM69" s="824"/>
      <c r="GMO69" s="824"/>
      <c r="GMQ69" s="824"/>
      <c r="GMS69" s="824"/>
      <c r="GMU69" s="824"/>
      <c r="GMW69" s="824"/>
      <c r="GMY69" s="824"/>
      <c r="GNA69" s="824"/>
      <c r="GNC69" s="824"/>
      <c r="GNE69" s="824"/>
      <c r="GNG69" s="824"/>
      <c r="GNI69" s="824"/>
      <c r="GNK69" s="824"/>
      <c r="GNM69" s="824"/>
      <c r="GNO69" s="824"/>
      <c r="GNQ69" s="824"/>
      <c r="GNS69" s="824"/>
      <c r="GNU69" s="824"/>
      <c r="GNW69" s="824"/>
      <c r="GNY69" s="824"/>
      <c r="GOA69" s="824"/>
      <c r="GOC69" s="824"/>
      <c r="GOE69" s="824"/>
      <c r="GOG69" s="824"/>
      <c r="GOI69" s="824"/>
      <c r="GOK69" s="824"/>
      <c r="GOM69" s="824"/>
      <c r="GOO69" s="824"/>
      <c r="GOQ69" s="824"/>
      <c r="GOS69" s="824"/>
      <c r="GOU69" s="824"/>
      <c r="GOW69" s="824"/>
      <c r="GOY69" s="824"/>
      <c r="GPA69" s="824"/>
      <c r="GPC69" s="824"/>
      <c r="GPE69" s="824"/>
      <c r="GPG69" s="824"/>
      <c r="GPI69" s="824"/>
      <c r="GPK69" s="824"/>
      <c r="GPM69" s="824"/>
      <c r="GPO69" s="824"/>
      <c r="GPQ69" s="824"/>
      <c r="GPS69" s="824"/>
      <c r="GPU69" s="824"/>
      <c r="GPW69" s="824"/>
      <c r="GPY69" s="824"/>
      <c r="GQA69" s="824"/>
      <c r="GQC69" s="824"/>
      <c r="GQE69" s="824"/>
      <c r="GQG69" s="824"/>
      <c r="GQI69" s="824"/>
      <c r="GQK69" s="824"/>
      <c r="GQM69" s="824"/>
      <c r="GQO69" s="824"/>
      <c r="GQQ69" s="824"/>
      <c r="GQS69" s="824"/>
      <c r="GQU69" s="824"/>
      <c r="GQW69" s="824"/>
      <c r="GQY69" s="824"/>
      <c r="GRA69" s="824"/>
      <c r="GRC69" s="824"/>
      <c r="GRE69" s="824"/>
      <c r="GRG69" s="824"/>
      <c r="GRI69" s="824"/>
      <c r="GRK69" s="824"/>
      <c r="GRM69" s="824"/>
      <c r="GRO69" s="824"/>
      <c r="GRQ69" s="824"/>
      <c r="GRS69" s="824"/>
      <c r="GRU69" s="824"/>
      <c r="GRW69" s="824"/>
      <c r="GRY69" s="824"/>
      <c r="GSA69" s="824"/>
      <c r="GSC69" s="824"/>
      <c r="GSE69" s="824"/>
      <c r="GSG69" s="824"/>
      <c r="GSI69" s="824"/>
      <c r="GSK69" s="824"/>
      <c r="GSM69" s="824"/>
      <c r="GSO69" s="824"/>
      <c r="GSQ69" s="824"/>
      <c r="GSS69" s="824"/>
      <c r="GSU69" s="824"/>
      <c r="GSW69" s="824"/>
      <c r="GSY69" s="824"/>
      <c r="GTA69" s="824"/>
      <c r="GTC69" s="824"/>
      <c r="GTE69" s="824"/>
      <c r="GTG69" s="824"/>
      <c r="GTI69" s="824"/>
      <c r="GTK69" s="824"/>
      <c r="GTM69" s="824"/>
      <c r="GTO69" s="824"/>
      <c r="GTQ69" s="824"/>
      <c r="GTS69" s="824"/>
      <c r="GTU69" s="824"/>
      <c r="GTW69" s="824"/>
      <c r="GTY69" s="824"/>
      <c r="GUA69" s="824"/>
      <c r="GUC69" s="824"/>
      <c r="GUE69" s="824"/>
      <c r="GUG69" s="824"/>
      <c r="GUI69" s="824"/>
      <c r="GUK69" s="824"/>
      <c r="GUM69" s="824"/>
      <c r="GUO69" s="824"/>
      <c r="GUQ69" s="824"/>
      <c r="GUS69" s="824"/>
      <c r="GUU69" s="824"/>
      <c r="GUW69" s="824"/>
      <c r="GUY69" s="824"/>
      <c r="GVA69" s="824"/>
      <c r="GVC69" s="824"/>
      <c r="GVE69" s="824"/>
      <c r="GVG69" s="824"/>
      <c r="GVI69" s="824"/>
      <c r="GVK69" s="824"/>
      <c r="GVM69" s="824"/>
      <c r="GVO69" s="824"/>
      <c r="GVQ69" s="824"/>
      <c r="GVS69" s="824"/>
      <c r="GVU69" s="824"/>
      <c r="GVW69" s="824"/>
      <c r="GVY69" s="824"/>
      <c r="GWA69" s="824"/>
      <c r="GWC69" s="824"/>
      <c r="GWE69" s="824"/>
      <c r="GWG69" s="824"/>
      <c r="GWI69" s="824"/>
      <c r="GWK69" s="824"/>
      <c r="GWM69" s="824"/>
      <c r="GWO69" s="824"/>
      <c r="GWQ69" s="824"/>
      <c r="GWS69" s="824"/>
      <c r="GWU69" s="824"/>
      <c r="GWW69" s="824"/>
      <c r="GWY69" s="824"/>
      <c r="GXA69" s="824"/>
      <c r="GXC69" s="824"/>
      <c r="GXE69" s="824"/>
      <c r="GXG69" s="824"/>
      <c r="GXI69" s="824"/>
      <c r="GXK69" s="824"/>
      <c r="GXM69" s="824"/>
      <c r="GXO69" s="824"/>
      <c r="GXQ69" s="824"/>
      <c r="GXS69" s="824"/>
      <c r="GXU69" s="824"/>
      <c r="GXW69" s="824"/>
      <c r="GXY69" s="824"/>
      <c r="GYA69" s="824"/>
      <c r="GYC69" s="824"/>
      <c r="GYE69" s="824"/>
      <c r="GYG69" s="824"/>
      <c r="GYI69" s="824"/>
      <c r="GYK69" s="824"/>
      <c r="GYM69" s="824"/>
      <c r="GYO69" s="824"/>
      <c r="GYQ69" s="824"/>
      <c r="GYS69" s="824"/>
      <c r="GYU69" s="824"/>
      <c r="GYW69" s="824"/>
      <c r="GYY69" s="824"/>
      <c r="GZA69" s="824"/>
      <c r="GZC69" s="824"/>
      <c r="GZE69" s="824"/>
      <c r="GZG69" s="824"/>
      <c r="GZI69" s="824"/>
      <c r="GZK69" s="824"/>
      <c r="GZM69" s="824"/>
      <c r="GZO69" s="824"/>
      <c r="GZQ69" s="824"/>
      <c r="GZS69" s="824"/>
      <c r="GZU69" s="824"/>
      <c r="GZW69" s="824"/>
      <c r="GZY69" s="824"/>
      <c r="HAA69" s="824"/>
      <c r="HAC69" s="824"/>
      <c r="HAE69" s="824"/>
      <c r="HAG69" s="824"/>
      <c r="HAI69" s="824"/>
      <c r="HAK69" s="824"/>
      <c r="HAM69" s="824"/>
      <c r="HAO69" s="824"/>
      <c r="HAQ69" s="824"/>
      <c r="HAS69" s="824"/>
      <c r="HAU69" s="824"/>
      <c r="HAW69" s="824"/>
      <c r="HAY69" s="824"/>
      <c r="HBA69" s="824"/>
      <c r="HBC69" s="824"/>
      <c r="HBE69" s="824"/>
      <c r="HBG69" s="824"/>
      <c r="HBI69" s="824"/>
      <c r="HBK69" s="824"/>
      <c r="HBM69" s="824"/>
      <c r="HBO69" s="824"/>
      <c r="HBQ69" s="824"/>
      <c r="HBS69" s="824"/>
      <c r="HBU69" s="824"/>
      <c r="HBW69" s="824"/>
      <c r="HBY69" s="824"/>
      <c r="HCA69" s="824"/>
      <c r="HCC69" s="824"/>
      <c r="HCE69" s="824"/>
      <c r="HCG69" s="824"/>
      <c r="HCI69" s="824"/>
      <c r="HCK69" s="824"/>
      <c r="HCM69" s="824"/>
      <c r="HCO69" s="824"/>
      <c r="HCQ69" s="824"/>
      <c r="HCS69" s="824"/>
      <c r="HCU69" s="824"/>
      <c r="HCW69" s="824"/>
      <c r="HCY69" s="824"/>
      <c r="HDA69" s="824"/>
      <c r="HDC69" s="824"/>
      <c r="HDE69" s="824"/>
      <c r="HDG69" s="824"/>
      <c r="HDI69" s="824"/>
      <c r="HDK69" s="824"/>
      <c r="HDM69" s="824"/>
      <c r="HDO69" s="824"/>
      <c r="HDQ69" s="824"/>
      <c r="HDS69" s="824"/>
      <c r="HDU69" s="824"/>
      <c r="HDW69" s="824"/>
      <c r="HDY69" s="824"/>
      <c r="HEA69" s="824"/>
      <c r="HEC69" s="824"/>
      <c r="HEE69" s="824"/>
      <c r="HEG69" s="824"/>
      <c r="HEI69" s="824"/>
      <c r="HEK69" s="824"/>
      <c r="HEM69" s="824"/>
      <c r="HEO69" s="824"/>
      <c r="HEQ69" s="824"/>
      <c r="HES69" s="824"/>
      <c r="HEU69" s="824"/>
      <c r="HEW69" s="824"/>
      <c r="HEY69" s="824"/>
      <c r="HFA69" s="824"/>
      <c r="HFC69" s="824"/>
      <c r="HFE69" s="824"/>
      <c r="HFG69" s="824"/>
      <c r="HFI69" s="824"/>
      <c r="HFK69" s="824"/>
      <c r="HFM69" s="824"/>
      <c r="HFO69" s="824"/>
      <c r="HFQ69" s="824"/>
      <c r="HFS69" s="824"/>
      <c r="HFU69" s="824"/>
      <c r="HFW69" s="824"/>
      <c r="HFY69" s="824"/>
      <c r="HGA69" s="824"/>
      <c r="HGC69" s="824"/>
      <c r="HGE69" s="824"/>
      <c r="HGG69" s="824"/>
      <c r="HGI69" s="824"/>
      <c r="HGK69" s="824"/>
      <c r="HGM69" s="824"/>
      <c r="HGO69" s="824"/>
      <c r="HGQ69" s="824"/>
      <c r="HGS69" s="824"/>
      <c r="HGU69" s="824"/>
      <c r="HGW69" s="824"/>
      <c r="HGY69" s="824"/>
      <c r="HHA69" s="824"/>
      <c r="HHC69" s="824"/>
      <c r="HHE69" s="824"/>
      <c r="HHG69" s="824"/>
      <c r="HHI69" s="824"/>
      <c r="HHK69" s="824"/>
      <c r="HHM69" s="824"/>
      <c r="HHO69" s="824"/>
      <c r="HHQ69" s="824"/>
      <c r="HHS69" s="824"/>
      <c r="HHU69" s="824"/>
      <c r="HHW69" s="824"/>
      <c r="HHY69" s="824"/>
      <c r="HIA69" s="824"/>
      <c r="HIC69" s="824"/>
      <c r="HIE69" s="824"/>
      <c r="HIG69" s="824"/>
      <c r="HII69" s="824"/>
      <c r="HIK69" s="824"/>
      <c r="HIM69" s="824"/>
      <c r="HIO69" s="824"/>
      <c r="HIQ69" s="824"/>
      <c r="HIS69" s="824"/>
      <c r="HIU69" s="824"/>
      <c r="HIW69" s="824"/>
      <c r="HIY69" s="824"/>
      <c r="HJA69" s="824"/>
      <c r="HJC69" s="824"/>
      <c r="HJE69" s="824"/>
      <c r="HJG69" s="824"/>
      <c r="HJI69" s="824"/>
      <c r="HJK69" s="824"/>
      <c r="HJM69" s="824"/>
      <c r="HJO69" s="824"/>
      <c r="HJQ69" s="824"/>
      <c r="HJS69" s="824"/>
      <c r="HJU69" s="824"/>
      <c r="HJW69" s="824"/>
      <c r="HJY69" s="824"/>
      <c r="HKA69" s="824"/>
      <c r="HKC69" s="824"/>
      <c r="HKE69" s="824"/>
      <c r="HKG69" s="824"/>
      <c r="HKI69" s="824"/>
      <c r="HKK69" s="824"/>
      <c r="HKM69" s="824"/>
      <c r="HKO69" s="824"/>
      <c r="HKQ69" s="824"/>
      <c r="HKS69" s="824"/>
      <c r="HKU69" s="824"/>
      <c r="HKW69" s="824"/>
      <c r="HKY69" s="824"/>
      <c r="HLA69" s="824"/>
      <c r="HLC69" s="824"/>
      <c r="HLE69" s="824"/>
      <c r="HLG69" s="824"/>
      <c r="HLI69" s="824"/>
      <c r="HLK69" s="824"/>
      <c r="HLM69" s="824"/>
      <c r="HLO69" s="824"/>
      <c r="HLQ69" s="824"/>
      <c r="HLS69" s="824"/>
      <c r="HLU69" s="824"/>
      <c r="HLW69" s="824"/>
      <c r="HLY69" s="824"/>
      <c r="HMA69" s="824"/>
      <c r="HMC69" s="824"/>
      <c r="HME69" s="824"/>
      <c r="HMG69" s="824"/>
      <c r="HMI69" s="824"/>
      <c r="HMK69" s="824"/>
      <c r="HMM69" s="824"/>
      <c r="HMO69" s="824"/>
      <c r="HMQ69" s="824"/>
      <c r="HMS69" s="824"/>
      <c r="HMU69" s="824"/>
      <c r="HMW69" s="824"/>
      <c r="HMY69" s="824"/>
      <c r="HNA69" s="824"/>
      <c r="HNC69" s="824"/>
      <c r="HNE69" s="824"/>
      <c r="HNG69" s="824"/>
      <c r="HNI69" s="824"/>
      <c r="HNK69" s="824"/>
      <c r="HNM69" s="824"/>
      <c r="HNO69" s="824"/>
      <c r="HNQ69" s="824"/>
      <c r="HNS69" s="824"/>
      <c r="HNU69" s="824"/>
      <c r="HNW69" s="824"/>
      <c r="HNY69" s="824"/>
      <c r="HOA69" s="824"/>
      <c r="HOC69" s="824"/>
      <c r="HOE69" s="824"/>
      <c r="HOG69" s="824"/>
      <c r="HOI69" s="824"/>
      <c r="HOK69" s="824"/>
      <c r="HOM69" s="824"/>
      <c r="HOO69" s="824"/>
      <c r="HOQ69" s="824"/>
      <c r="HOS69" s="824"/>
      <c r="HOU69" s="824"/>
      <c r="HOW69" s="824"/>
      <c r="HOY69" s="824"/>
      <c r="HPA69" s="824"/>
      <c r="HPC69" s="824"/>
      <c r="HPE69" s="824"/>
      <c r="HPG69" s="824"/>
      <c r="HPI69" s="824"/>
      <c r="HPK69" s="824"/>
      <c r="HPM69" s="824"/>
      <c r="HPO69" s="824"/>
      <c r="HPQ69" s="824"/>
      <c r="HPS69" s="824"/>
      <c r="HPU69" s="824"/>
      <c r="HPW69" s="824"/>
      <c r="HPY69" s="824"/>
      <c r="HQA69" s="824"/>
      <c r="HQC69" s="824"/>
      <c r="HQE69" s="824"/>
      <c r="HQG69" s="824"/>
      <c r="HQI69" s="824"/>
      <c r="HQK69" s="824"/>
      <c r="HQM69" s="824"/>
      <c r="HQO69" s="824"/>
      <c r="HQQ69" s="824"/>
      <c r="HQS69" s="824"/>
      <c r="HQU69" s="824"/>
      <c r="HQW69" s="824"/>
      <c r="HQY69" s="824"/>
      <c r="HRA69" s="824"/>
      <c r="HRC69" s="824"/>
      <c r="HRE69" s="824"/>
      <c r="HRG69" s="824"/>
      <c r="HRI69" s="824"/>
      <c r="HRK69" s="824"/>
      <c r="HRM69" s="824"/>
      <c r="HRO69" s="824"/>
      <c r="HRQ69" s="824"/>
      <c r="HRS69" s="824"/>
      <c r="HRU69" s="824"/>
      <c r="HRW69" s="824"/>
      <c r="HRY69" s="824"/>
      <c r="HSA69" s="824"/>
      <c r="HSC69" s="824"/>
      <c r="HSE69" s="824"/>
      <c r="HSG69" s="824"/>
      <c r="HSI69" s="824"/>
      <c r="HSK69" s="824"/>
      <c r="HSM69" s="824"/>
      <c r="HSO69" s="824"/>
      <c r="HSQ69" s="824"/>
      <c r="HSS69" s="824"/>
      <c r="HSU69" s="824"/>
      <c r="HSW69" s="824"/>
      <c r="HSY69" s="824"/>
      <c r="HTA69" s="824"/>
      <c r="HTC69" s="824"/>
      <c r="HTE69" s="824"/>
      <c r="HTG69" s="824"/>
      <c r="HTI69" s="824"/>
      <c r="HTK69" s="824"/>
      <c r="HTM69" s="824"/>
      <c r="HTO69" s="824"/>
      <c r="HTQ69" s="824"/>
      <c r="HTS69" s="824"/>
      <c r="HTU69" s="824"/>
      <c r="HTW69" s="824"/>
      <c r="HTY69" s="824"/>
      <c r="HUA69" s="824"/>
      <c r="HUC69" s="824"/>
      <c r="HUE69" s="824"/>
      <c r="HUG69" s="824"/>
      <c r="HUI69" s="824"/>
      <c r="HUK69" s="824"/>
      <c r="HUM69" s="824"/>
      <c r="HUO69" s="824"/>
      <c r="HUQ69" s="824"/>
      <c r="HUS69" s="824"/>
      <c r="HUU69" s="824"/>
      <c r="HUW69" s="824"/>
      <c r="HUY69" s="824"/>
      <c r="HVA69" s="824"/>
      <c r="HVC69" s="824"/>
      <c r="HVE69" s="824"/>
      <c r="HVG69" s="824"/>
      <c r="HVI69" s="824"/>
      <c r="HVK69" s="824"/>
      <c r="HVM69" s="824"/>
      <c r="HVO69" s="824"/>
      <c r="HVQ69" s="824"/>
      <c r="HVS69" s="824"/>
      <c r="HVU69" s="824"/>
      <c r="HVW69" s="824"/>
      <c r="HVY69" s="824"/>
      <c r="HWA69" s="824"/>
      <c r="HWC69" s="824"/>
      <c r="HWE69" s="824"/>
      <c r="HWG69" s="824"/>
      <c r="HWI69" s="824"/>
      <c r="HWK69" s="824"/>
      <c r="HWM69" s="824"/>
      <c r="HWO69" s="824"/>
      <c r="HWQ69" s="824"/>
      <c r="HWS69" s="824"/>
      <c r="HWU69" s="824"/>
      <c r="HWW69" s="824"/>
      <c r="HWY69" s="824"/>
      <c r="HXA69" s="824"/>
      <c r="HXC69" s="824"/>
      <c r="HXE69" s="824"/>
      <c r="HXG69" s="824"/>
      <c r="HXI69" s="824"/>
      <c r="HXK69" s="824"/>
      <c r="HXM69" s="824"/>
      <c r="HXO69" s="824"/>
      <c r="HXQ69" s="824"/>
      <c r="HXS69" s="824"/>
      <c r="HXU69" s="824"/>
      <c r="HXW69" s="824"/>
      <c r="HXY69" s="824"/>
      <c r="HYA69" s="824"/>
      <c r="HYC69" s="824"/>
      <c r="HYE69" s="824"/>
      <c r="HYG69" s="824"/>
      <c r="HYI69" s="824"/>
      <c r="HYK69" s="824"/>
      <c r="HYM69" s="824"/>
      <c r="HYO69" s="824"/>
      <c r="HYQ69" s="824"/>
      <c r="HYS69" s="824"/>
      <c r="HYU69" s="824"/>
      <c r="HYW69" s="824"/>
      <c r="HYY69" s="824"/>
      <c r="HZA69" s="824"/>
      <c r="HZC69" s="824"/>
      <c r="HZE69" s="824"/>
      <c r="HZG69" s="824"/>
      <c r="HZI69" s="824"/>
      <c r="HZK69" s="824"/>
      <c r="HZM69" s="824"/>
      <c r="HZO69" s="824"/>
      <c r="HZQ69" s="824"/>
      <c r="HZS69" s="824"/>
      <c r="HZU69" s="824"/>
      <c r="HZW69" s="824"/>
      <c r="HZY69" s="824"/>
      <c r="IAA69" s="824"/>
      <c r="IAC69" s="824"/>
      <c r="IAE69" s="824"/>
      <c r="IAG69" s="824"/>
      <c r="IAI69" s="824"/>
      <c r="IAK69" s="824"/>
      <c r="IAM69" s="824"/>
      <c r="IAO69" s="824"/>
      <c r="IAQ69" s="824"/>
      <c r="IAS69" s="824"/>
      <c r="IAU69" s="824"/>
      <c r="IAW69" s="824"/>
      <c r="IAY69" s="824"/>
      <c r="IBA69" s="824"/>
      <c r="IBC69" s="824"/>
      <c r="IBE69" s="824"/>
      <c r="IBG69" s="824"/>
      <c r="IBI69" s="824"/>
      <c r="IBK69" s="824"/>
      <c r="IBM69" s="824"/>
      <c r="IBO69" s="824"/>
      <c r="IBQ69" s="824"/>
      <c r="IBS69" s="824"/>
      <c r="IBU69" s="824"/>
      <c r="IBW69" s="824"/>
      <c r="IBY69" s="824"/>
      <c r="ICA69" s="824"/>
      <c r="ICC69" s="824"/>
      <c r="ICE69" s="824"/>
      <c r="ICG69" s="824"/>
      <c r="ICI69" s="824"/>
      <c r="ICK69" s="824"/>
      <c r="ICM69" s="824"/>
      <c r="ICO69" s="824"/>
      <c r="ICQ69" s="824"/>
      <c r="ICS69" s="824"/>
      <c r="ICU69" s="824"/>
      <c r="ICW69" s="824"/>
      <c r="ICY69" s="824"/>
      <c r="IDA69" s="824"/>
      <c r="IDC69" s="824"/>
      <c r="IDE69" s="824"/>
      <c r="IDG69" s="824"/>
      <c r="IDI69" s="824"/>
      <c r="IDK69" s="824"/>
      <c r="IDM69" s="824"/>
      <c r="IDO69" s="824"/>
      <c r="IDQ69" s="824"/>
      <c r="IDS69" s="824"/>
      <c r="IDU69" s="824"/>
      <c r="IDW69" s="824"/>
      <c r="IDY69" s="824"/>
      <c r="IEA69" s="824"/>
      <c r="IEC69" s="824"/>
      <c r="IEE69" s="824"/>
      <c r="IEG69" s="824"/>
      <c r="IEI69" s="824"/>
      <c r="IEK69" s="824"/>
      <c r="IEM69" s="824"/>
      <c r="IEO69" s="824"/>
      <c r="IEQ69" s="824"/>
      <c r="IES69" s="824"/>
      <c r="IEU69" s="824"/>
      <c r="IEW69" s="824"/>
      <c r="IEY69" s="824"/>
      <c r="IFA69" s="824"/>
      <c r="IFC69" s="824"/>
      <c r="IFE69" s="824"/>
      <c r="IFG69" s="824"/>
      <c r="IFI69" s="824"/>
      <c r="IFK69" s="824"/>
      <c r="IFM69" s="824"/>
      <c r="IFO69" s="824"/>
      <c r="IFQ69" s="824"/>
      <c r="IFS69" s="824"/>
      <c r="IFU69" s="824"/>
      <c r="IFW69" s="824"/>
      <c r="IFY69" s="824"/>
      <c r="IGA69" s="824"/>
      <c r="IGC69" s="824"/>
      <c r="IGE69" s="824"/>
      <c r="IGG69" s="824"/>
      <c r="IGI69" s="824"/>
      <c r="IGK69" s="824"/>
      <c r="IGM69" s="824"/>
      <c r="IGO69" s="824"/>
      <c r="IGQ69" s="824"/>
      <c r="IGS69" s="824"/>
      <c r="IGU69" s="824"/>
      <c r="IGW69" s="824"/>
      <c r="IGY69" s="824"/>
      <c r="IHA69" s="824"/>
      <c r="IHC69" s="824"/>
      <c r="IHE69" s="824"/>
      <c r="IHG69" s="824"/>
      <c r="IHI69" s="824"/>
      <c r="IHK69" s="824"/>
      <c r="IHM69" s="824"/>
      <c r="IHO69" s="824"/>
      <c r="IHQ69" s="824"/>
      <c r="IHS69" s="824"/>
      <c r="IHU69" s="824"/>
      <c r="IHW69" s="824"/>
      <c r="IHY69" s="824"/>
      <c r="IIA69" s="824"/>
      <c r="IIC69" s="824"/>
      <c r="IIE69" s="824"/>
      <c r="IIG69" s="824"/>
      <c r="III69" s="824"/>
      <c r="IIK69" s="824"/>
      <c r="IIM69" s="824"/>
      <c r="IIO69" s="824"/>
      <c r="IIQ69" s="824"/>
      <c r="IIS69" s="824"/>
      <c r="IIU69" s="824"/>
      <c r="IIW69" s="824"/>
      <c r="IIY69" s="824"/>
      <c r="IJA69" s="824"/>
      <c r="IJC69" s="824"/>
      <c r="IJE69" s="824"/>
      <c r="IJG69" s="824"/>
      <c r="IJI69" s="824"/>
      <c r="IJK69" s="824"/>
      <c r="IJM69" s="824"/>
      <c r="IJO69" s="824"/>
      <c r="IJQ69" s="824"/>
      <c r="IJS69" s="824"/>
      <c r="IJU69" s="824"/>
      <c r="IJW69" s="824"/>
      <c r="IJY69" s="824"/>
      <c r="IKA69" s="824"/>
      <c r="IKC69" s="824"/>
      <c r="IKE69" s="824"/>
      <c r="IKG69" s="824"/>
      <c r="IKI69" s="824"/>
      <c r="IKK69" s="824"/>
      <c r="IKM69" s="824"/>
      <c r="IKO69" s="824"/>
      <c r="IKQ69" s="824"/>
      <c r="IKS69" s="824"/>
      <c r="IKU69" s="824"/>
      <c r="IKW69" s="824"/>
      <c r="IKY69" s="824"/>
      <c r="ILA69" s="824"/>
      <c r="ILC69" s="824"/>
      <c r="ILE69" s="824"/>
      <c r="ILG69" s="824"/>
      <c r="ILI69" s="824"/>
      <c r="ILK69" s="824"/>
      <c r="ILM69" s="824"/>
      <c r="ILO69" s="824"/>
      <c r="ILQ69" s="824"/>
      <c r="ILS69" s="824"/>
      <c r="ILU69" s="824"/>
      <c r="ILW69" s="824"/>
      <c r="ILY69" s="824"/>
      <c r="IMA69" s="824"/>
      <c r="IMC69" s="824"/>
      <c r="IME69" s="824"/>
      <c r="IMG69" s="824"/>
      <c r="IMI69" s="824"/>
      <c r="IMK69" s="824"/>
      <c r="IMM69" s="824"/>
      <c r="IMO69" s="824"/>
      <c r="IMQ69" s="824"/>
      <c r="IMS69" s="824"/>
      <c r="IMU69" s="824"/>
      <c r="IMW69" s="824"/>
      <c r="IMY69" s="824"/>
      <c r="INA69" s="824"/>
      <c r="INC69" s="824"/>
      <c r="INE69" s="824"/>
      <c r="ING69" s="824"/>
      <c r="INI69" s="824"/>
      <c r="INK69" s="824"/>
      <c r="INM69" s="824"/>
      <c r="INO69" s="824"/>
      <c r="INQ69" s="824"/>
      <c r="INS69" s="824"/>
      <c r="INU69" s="824"/>
      <c r="INW69" s="824"/>
      <c r="INY69" s="824"/>
      <c r="IOA69" s="824"/>
      <c r="IOC69" s="824"/>
      <c r="IOE69" s="824"/>
      <c r="IOG69" s="824"/>
      <c r="IOI69" s="824"/>
      <c r="IOK69" s="824"/>
      <c r="IOM69" s="824"/>
      <c r="IOO69" s="824"/>
      <c r="IOQ69" s="824"/>
      <c r="IOS69" s="824"/>
      <c r="IOU69" s="824"/>
      <c r="IOW69" s="824"/>
      <c r="IOY69" s="824"/>
      <c r="IPA69" s="824"/>
      <c r="IPC69" s="824"/>
      <c r="IPE69" s="824"/>
      <c r="IPG69" s="824"/>
      <c r="IPI69" s="824"/>
      <c r="IPK69" s="824"/>
      <c r="IPM69" s="824"/>
      <c r="IPO69" s="824"/>
      <c r="IPQ69" s="824"/>
      <c r="IPS69" s="824"/>
      <c r="IPU69" s="824"/>
      <c r="IPW69" s="824"/>
      <c r="IPY69" s="824"/>
      <c r="IQA69" s="824"/>
      <c r="IQC69" s="824"/>
      <c r="IQE69" s="824"/>
      <c r="IQG69" s="824"/>
      <c r="IQI69" s="824"/>
      <c r="IQK69" s="824"/>
      <c r="IQM69" s="824"/>
      <c r="IQO69" s="824"/>
      <c r="IQQ69" s="824"/>
      <c r="IQS69" s="824"/>
      <c r="IQU69" s="824"/>
      <c r="IQW69" s="824"/>
      <c r="IQY69" s="824"/>
      <c r="IRA69" s="824"/>
      <c r="IRC69" s="824"/>
      <c r="IRE69" s="824"/>
      <c r="IRG69" s="824"/>
      <c r="IRI69" s="824"/>
      <c r="IRK69" s="824"/>
      <c r="IRM69" s="824"/>
      <c r="IRO69" s="824"/>
      <c r="IRQ69" s="824"/>
      <c r="IRS69" s="824"/>
      <c r="IRU69" s="824"/>
      <c r="IRW69" s="824"/>
      <c r="IRY69" s="824"/>
      <c r="ISA69" s="824"/>
      <c r="ISC69" s="824"/>
      <c r="ISE69" s="824"/>
      <c r="ISG69" s="824"/>
      <c r="ISI69" s="824"/>
      <c r="ISK69" s="824"/>
      <c r="ISM69" s="824"/>
      <c r="ISO69" s="824"/>
      <c r="ISQ69" s="824"/>
      <c r="ISS69" s="824"/>
      <c r="ISU69" s="824"/>
      <c r="ISW69" s="824"/>
      <c r="ISY69" s="824"/>
      <c r="ITA69" s="824"/>
      <c r="ITC69" s="824"/>
      <c r="ITE69" s="824"/>
      <c r="ITG69" s="824"/>
      <c r="ITI69" s="824"/>
      <c r="ITK69" s="824"/>
      <c r="ITM69" s="824"/>
      <c r="ITO69" s="824"/>
      <c r="ITQ69" s="824"/>
      <c r="ITS69" s="824"/>
      <c r="ITU69" s="824"/>
      <c r="ITW69" s="824"/>
      <c r="ITY69" s="824"/>
      <c r="IUA69" s="824"/>
      <c r="IUC69" s="824"/>
      <c r="IUE69" s="824"/>
      <c r="IUG69" s="824"/>
      <c r="IUI69" s="824"/>
      <c r="IUK69" s="824"/>
      <c r="IUM69" s="824"/>
      <c r="IUO69" s="824"/>
      <c r="IUQ69" s="824"/>
      <c r="IUS69" s="824"/>
      <c r="IUU69" s="824"/>
      <c r="IUW69" s="824"/>
      <c r="IUY69" s="824"/>
      <c r="IVA69" s="824"/>
      <c r="IVC69" s="824"/>
      <c r="IVE69" s="824"/>
      <c r="IVG69" s="824"/>
      <c r="IVI69" s="824"/>
      <c r="IVK69" s="824"/>
      <c r="IVM69" s="824"/>
      <c r="IVO69" s="824"/>
      <c r="IVQ69" s="824"/>
      <c r="IVS69" s="824"/>
      <c r="IVU69" s="824"/>
      <c r="IVW69" s="824"/>
      <c r="IVY69" s="824"/>
      <c r="IWA69" s="824"/>
      <c r="IWC69" s="824"/>
      <c r="IWE69" s="824"/>
      <c r="IWG69" s="824"/>
      <c r="IWI69" s="824"/>
      <c r="IWK69" s="824"/>
      <c r="IWM69" s="824"/>
      <c r="IWO69" s="824"/>
      <c r="IWQ69" s="824"/>
      <c r="IWS69" s="824"/>
      <c r="IWU69" s="824"/>
      <c r="IWW69" s="824"/>
      <c r="IWY69" s="824"/>
      <c r="IXA69" s="824"/>
      <c r="IXC69" s="824"/>
      <c r="IXE69" s="824"/>
      <c r="IXG69" s="824"/>
      <c r="IXI69" s="824"/>
      <c r="IXK69" s="824"/>
      <c r="IXM69" s="824"/>
      <c r="IXO69" s="824"/>
      <c r="IXQ69" s="824"/>
      <c r="IXS69" s="824"/>
      <c r="IXU69" s="824"/>
      <c r="IXW69" s="824"/>
      <c r="IXY69" s="824"/>
      <c r="IYA69" s="824"/>
      <c r="IYC69" s="824"/>
      <c r="IYE69" s="824"/>
      <c r="IYG69" s="824"/>
      <c r="IYI69" s="824"/>
      <c r="IYK69" s="824"/>
      <c r="IYM69" s="824"/>
      <c r="IYO69" s="824"/>
      <c r="IYQ69" s="824"/>
      <c r="IYS69" s="824"/>
      <c r="IYU69" s="824"/>
      <c r="IYW69" s="824"/>
      <c r="IYY69" s="824"/>
      <c r="IZA69" s="824"/>
      <c r="IZC69" s="824"/>
      <c r="IZE69" s="824"/>
      <c r="IZG69" s="824"/>
      <c r="IZI69" s="824"/>
      <c r="IZK69" s="824"/>
      <c r="IZM69" s="824"/>
      <c r="IZO69" s="824"/>
      <c r="IZQ69" s="824"/>
      <c r="IZS69" s="824"/>
      <c r="IZU69" s="824"/>
      <c r="IZW69" s="824"/>
      <c r="IZY69" s="824"/>
      <c r="JAA69" s="824"/>
      <c r="JAC69" s="824"/>
      <c r="JAE69" s="824"/>
      <c r="JAG69" s="824"/>
      <c r="JAI69" s="824"/>
      <c r="JAK69" s="824"/>
      <c r="JAM69" s="824"/>
      <c r="JAO69" s="824"/>
      <c r="JAQ69" s="824"/>
      <c r="JAS69" s="824"/>
      <c r="JAU69" s="824"/>
      <c r="JAW69" s="824"/>
      <c r="JAY69" s="824"/>
      <c r="JBA69" s="824"/>
      <c r="JBC69" s="824"/>
      <c r="JBE69" s="824"/>
      <c r="JBG69" s="824"/>
      <c r="JBI69" s="824"/>
      <c r="JBK69" s="824"/>
      <c r="JBM69" s="824"/>
      <c r="JBO69" s="824"/>
      <c r="JBQ69" s="824"/>
      <c r="JBS69" s="824"/>
      <c r="JBU69" s="824"/>
      <c r="JBW69" s="824"/>
      <c r="JBY69" s="824"/>
      <c r="JCA69" s="824"/>
      <c r="JCC69" s="824"/>
      <c r="JCE69" s="824"/>
      <c r="JCG69" s="824"/>
      <c r="JCI69" s="824"/>
      <c r="JCK69" s="824"/>
      <c r="JCM69" s="824"/>
      <c r="JCO69" s="824"/>
      <c r="JCQ69" s="824"/>
      <c r="JCS69" s="824"/>
      <c r="JCU69" s="824"/>
      <c r="JCW69" s="824"/>
      <c r="JCY69" s="824"/>
      <c r="JDA69" s="824"/>
      <c r="JDC69" s="824"/>
      <c r="JDE69" s="824"/>
      <c r="JDG69" s="824"/>
      <c r="JDI69" s="824"/>
      <c r="JDK69" s="824"/>
      <c r="JDM69" s="824"/>
      <c r="JDO69" s="824"/>
      <c r="JDQ69" s="824"/>
      <c r="JDS69" s="824"/>
      <c r="JDU69" s="824"/>
      <c r="JDW69" s="824"/>
      <c r="JDY69" s="824"/>
      <c r="JEA69" s="824"/>
      <c r="JEC69" s="824"/>
      <c r="JEE69" s="824"/>
      <c r="JEG69" s="824"/>
      <c r="JEI69" s="824"/>
      <c r="JEK69" s="824"/>
      <c r="JEM69" s="824"/>
      <c r="JEO69" s="824"/>
      <c r="JEQ69" s="824"/>
      <c r="JES69" s="824"/>
      <c r="JEU69" s="824"/>
      <c r="JEW69" s="824"/>
      <c r="JEY69" s="824"/>
      <c r="JFA69" s="824"/>
      <c r="JFC69" s="824"/>
      <c r="JFE69" s="824"/>
      <c r="JFG69" s="824"/>
      <c r="JFI69" s="824"/>
      <c r="JFK69" s="824"/>
      <c r="JFM69" s="824"/>
      <c r="JFO69" s="824"/>
      <c r="JFQ69" s="824"/>
      <c r="JFS69" s="824"/>
      <c r="JFU69" s="824"/>
      <c r="JFW69" s="824"/>
      <c r="JFY69" s="824"/>
      <c r="JGA69" s="824"/>
      <c r="JGC69" s="824"/>
      <c r="JGE69" s="824"/>
      <c r="JGG69" s="824"/>
      <c r="JGI69" s="824"/>
      <c r="JGK69" s="824"/>
      <c r="JGM69" s="824"/>
      <c r="JGO69" s="824"/>
      <c r="JGQ69" s="824"/>
      <c r="JGS69" s="824"/>
      <c r="JGU69" s="824"/>
      <c r="JGW69" s="824"/>
      <c r="JGY69" s="824"/>
      <c r="JHA69" s="824"/>
      <c r="JHC69" s="824"/>
      <c r="JHE69" s="824"/>
      <c r="JHG69" s="824"/>
      <c r="JHI69" s="824"/>
      <c r="JHK69" s="824"/>
      <c r="JHM69" s="824"/>
      <c r="JHO69" s="824"/>
      <c r="JHQ69" s="824"/>
      <c r="JHS69" s="824"/>
      <c r="JHU69" s="824"/>
      <c r="JHW69" s="824"/>
      <c r="JHY69" s="824"/>
      <c r="JIA69" s="824"/>
      <c r="JIC69" s="824"/>
      <c r="JIE69" s="824"/>
      <c r="JIG69" s="824"/>
      <c r="JII69" s="824"/>
      <c r="JIK69" s="824"/>
      <c r="JIM69" s="824"/>
      <c r="JIO69" s="824"/>
      <c r="JIQ69" s="824"/>
      <c r="JIS69" s="824"/>
      <c r="JIU69" s="824"/>
      <c r="JIW69" s="824"/>
      <c r="JIY69" s="824"/>
      <c r="JJA69" s="824"/>
      <c r="JJC69" s="824"/>
      <c r="JJE69" s="824"/>
      <c r="JJG69" s="824"/>
      <c r="JJI69" s="824"/>
      <c r="JJK69" s="824"/>
      <c r="JJM69" s="824"/>
      <c r="JJO69" s="824"/>
      <c r="JJQ69" s="824"/>
      <c r="JJS69" s="824"/>
      <c r="JJU69" s="824"/>
      <c r="JJW69" s="824"/>
      <c r="JJY69" s="824"/>
      <c r="JKA69" s="824"/>
      <c r="JKC69" s="824"/>
      <c r="JKE69" s="824"/>
      <c r="JKG69" s="824"/>
      <c r="JKI69" s="824"/>
      <c r="JKK69" s="824"/>
      <c r="JKM69" s="824"/>
      <c r="JKO69" s="824"/>
      <c r="JKQ69" s="824"/>
      <c r="JKS69" s="824"/>
      <c r="JKU69" s="824"/>
      <c r="JKW69" s="824"/>
      <c r="JKY69" s="824"/>
      <c r="JLA69" s="824"/>
      <c r="JLC69" s="824"/>
      <c r="JLE69" s="824"/>
      <c r="JLG69" s="824"/>
      <c r="JLI69" s="824"/>
      <c r="JLK69" s="824"/>
      <c r="JLM69" s="824"/>
      <c r="JLO69" s="824"/>
      <c r="JLQ69" s="824"/>
      <c r="JLS69" s="824"/>
      <c r="JLU69" s="824"/>
      <c r="JLW69" s="824"/>
      <c r="JLY69" s="824"/>
      <c r="JMA69" s="824"/>
      <c r="JMC69" s="824"/>
      <c r="JME69" s="824"/>
      <c r="JMG69" s="824"/>
      <c r="JMI69" s="824"/>
      <c r="JMK69" s="824"/>
      <c r="JMM69" s="824"/>
      <c r="JMO69" s="824"/>
      <c r="JMQ69" s="824"/>
      <c r="JMS69" s="824"/>
      <c r="JMU69" s="824"/>
      <c r="JMW69" s="824"/>
      <c r="JMY69" s="824"/>
      <c r="JNA69" s="824"/>
      <c r="JNC69" s="824"/>
      <c r="JNE69" s="824"/>
      <c r="JNG69" s="824"/>
      <c r="JNI69" s="824"/>
      <c r="JNK69" s="824"/>
      <c r="JNM69" s="824"/>
      <c r="JNO69" s="824"/>
      <c r="JNQ69" s="824"/>
      <c r="JNS69" s="824"/>
      <c r="JNU69" s="824"/>
      <c r="JNW69" s="824"/>
      <c r="JNY69" s="824"/>
      <c r="JOA69" s="824"/>
      <c r="JOC69" s="824"/>
      <c r="JOE69" s="824"/>
      <c r="JOG69" s="824"/>
      <c r="JOI69" s="824"/>
      <c r="JOK69" s="824"/>
      <c r="JOM69" s="824"/>
      <c r="JOO69" s="824"/>
      <c r="JOQ69" s="824"/>
      <c r="JOS69" s="824"/>
      <c r="JOU69" s="824"/>
      <c r="JOW69" s="824"/>
      <c r="JOY69" s="824"/>
      <c r="JPA69" s="824"/>
      <c r="JPC69" s="824"/>
      <c r="JPE69" s="824"/>
      <c r="JPG69" s="824"/>
      <c r="JPI69" s="824"/>
      <c r="JPK69" s="824"/>
      <c r="JPM69" s="824"/>
      <c r="JPO69" s="824"/>
      <c r="JPQ69" s="824"/>
      <c r="JPS69" s="824"/>
      <c r="JPU69" s="824"/>
      <c r="JPW69" s="824"/>
      <c r="JPY69" s="824"/>
      <c r="JQA69" s="824"/>
      <c r="JQC69" s="824"/>
      <c r="JQE69" s="824"/>
      <c r="JQG69" s="824"/>
      <c r="JQI69" s="824"/>
      <c r="JQK69" s="824"/>
      <c r="JQM69" s="824"/>
      <c r="JQO69" s="824"/>
      <c r="JQQ69" s="824"/>
      <c r="JQS69" s="824"/>
      <c r="JQU69" s="824"/>
      <c r="JQW69" s="824"/>
      <c r="JQY69" s="824"/>
      <c r="JRA69" s="824"/>
      <c r="JRC69" s="824"/>
      <c r="JRE69" s="824"/>
      <c r="JRG69" s="824"/>
      <c r="JRI69" s="824"/>
      <c r="JRK69" s="824"/>
      <c r="JRM69" s="824"/>
      <c r="JRO69" s="824"/>
      <c r="JRQ69" s="824"/>
      <c r="JRS69" s="824"/>
      <c r="JRU69" s="824"/>
      <c r="JRW69" s="824"/>
      <c r="JRY69" s="824"/>
      <c r="JSA69" s="824"/>
      <c r="JSC69" s="824"/>
      <c r="JSE69" s="824"/>
      <c r="JSG69" s="824"/>
      <c r="JSI69" s="824"/>
      <c r="JSK69" s="824"/>
      <c r="JSM69" s="824"/>
      <c r="JSO69" s="824"/>
      <c r="JSQ69" s="824"/>
      <c r="JSS69" s="824"/>
      <c r="JSU69" s="824"/>
      <c r="JSW69" s="824"/>
      <c r="JSY69" s="824"/>
      <c r="JTA69" s="824"/>
      <c r="JTC69" s="824"/>
      <c r="JTE69" s="824"/>
      <c r="JTG69" s="824"/>
      <c r="JTI69" s="824"/>
      <c r="JTK69" s="824"/>
      <c r="JTM69" s="824"/>
      <c r="JTO69" s="824"/>
      <c r="JTQ69" s="824"/>
      <c r="JTS69" s="824"/>
      <c r="JTU69" s="824"/>
      <c r="JTW69" s="824"/>
      <c r="JTY69" s="824"/>
      <c r="JUA69" s="824"/>
      <c r="JUC69" s="824"/>
      <c r="JUE69" s="824"/>
      <c r="JUG69" s="824"/>
      <c r="JUI69" s="824"/>
      <c r="JUK69" s="824"/>
      <c r="JUM69" s="824"/>
      <c r="JUO69" s="824"/>
      <c r="JUQ69" s="824"/>
      <c r="JUS69" s="824"/>
      <c r="JUU69" s="824"/>
      <c r="JUW69" s="824"/>
      <c r="JUY69" s="824"/>
      <c r="JVA69" s="824"/>
      <c r="JVC69" s="824"/>
      <c r="JVE69" s="824"/>
      <c r="JVG69" s="824"/>
      <c r="JVI69" s="824"/>
      <c r="JVK69" s="824"/>
      <c r="JVM69" s="824"/>
      <c r="JVO69" s="824"/>
      <c r="JVQ69" s="824"/>
      <c r="JVS69" s="824"/>
      <c r="JVU69" s="824"/>
      <c r="JVW69" s="824"/>
      <c r="JVY69" s="824"/>
      <c r="JWA69" s="824"/>
      <c r="JWC69" s="824"/>
      <c r="JWE69" s="824"/>
      <c r="JWG69" s="824"/>
      <c r="JWI69" s="824"/>
      <c r="JWK69" s="824"/>
      <c r="JWM69" s="824"/>
      <c r="JWO69" s="824"/>
      <c r="JWQ69" s="824"/>
      <c r="JWS69" s="824"/>
      <c r="JWU69" s="824"/>
      <c r="JWW69" s="824"/>
      <c r="JWY69" s="824"/>
      <c r="JXA69" s="824"/>
      <c r="JXC69" s="824"/>
      <c r="JXE69" s="824"/>
      <c r="JXG69" s="824"/>
      <c r="JXI69" s="824"/>
      <c r="JXK69" s="824"/>
      <c r="JXM69" s="824"/>
      <c r="JXO69" s="824"/>
      <c r="JXQ69" s="824"/>
      <c r="JXS69" s="824"/>
      <c r="JXU69" s="824"/>
      <c r="JXW69" s="824"/>
      <c r="JXY69" s="824"/>
      <c r="JYA69" s="824"/>
      <c r="JYC69" s="824"/>
      <c r="JYE69" s="824"/>
      <c r="JYG69" s="824"/>
      <c r="JYI69" s="824"/>
      <c r="JYK69" s="824"/>
      <c r="JYM69" s="824"/>
      <c r="JYO69" s="824"/>
      <c r="JYQ69" s="824"/>
      <c r="JYS69" s="824"/>
      <c r="JYU69" s="824"/>
      <c r="JYW69" s="824"/>
      <c r="JYY69" s="824"/>
      <c r="JZA69" s="824"/>
      <c r="JZC69" s="824"/>
      <c r="JZE69" s="824"/>
      <c r="JZG69" s="824"/>
      <c r="JZI69" s="824"/>
      <c r="JZK69" s="824"/>
      <c r="JZM69" s="824"/>
      <c r="JZO69" s="824"/>
      <c r="JZQ69" s="824"/>
      <c r="JZS69" s="824"/>
      <c r="JZU69" s="824"/>
      <c r="JZW69" s="824"/>
      <c r="JZY69" s="824"/>
      <c r="KAA69" s="824"/>
      <c r="KAC69" s="824"/>
      <c r="KAE69" s="824"/>
      <c r="KAG69" s="824"/>
      <c r="KAI69" s="824"/>
      <c r="KAK69" s="824"/>
      <c r="KAM69" s="824"/>
      <c r="KAO69" s="824"/>
      <c r="KAQ69" s="824"/>
      <c r="KAS69" s="824"/>
      <c r="KAU69" s="824"/>
      <c r="KAW69" s="824"/>
      <c r="KAY69" s="824"/>
      <c r="KBA69" s="824"/>
      <c r="KBC69" s="824"/>
      <c r="KBE69" s="824"/>
      <c r="KBG69" s="824"/>
      <c r="KBI69" s="824"/>
      <c r="KBK69" s="824"/>
      <c r="KBM69" s="824"/>
      <c r="KBO69" s="824"/>
      <c r="KBQ69" s="824"/>
      <c r="KBS69" s="824"/>
      <c r="KBU69" s="824"/>
      <c r="KBW69" s="824"/>
      <c r="KBY69" s="824"/>
      <c r="KCA69" s="824"/>
      <c r="KCC69" s="824"/>
      <c r="KCE69" s="824"/>
      <c r="KCG69" s="824"/>
      <c r="KCI69" s="824"/>
      <c r="KCK69" s="824"/>
      <c r="KCM69" s="824"/>
      <c r="KCO69" s="824"/>
      <c r="KCQ69" s="824"/>
      <c r="KCS69" s="824"/>
      <c r="KCU69" s="824"/>
      <c r="KCW69" s="824"/>
      <c r="KCY69" s="824"/>
      <c r="KDA69" s="824"/>
      <c r="KDC69" s="824"/>
      <c r="KDE69" s="824"/>
      <c r="KDG69" s="824"/>
      <c r="KDI69" s="824"/>
      <c r="KDK69" s="824"/>
      <c r="KDM69" s="824"/>
      <c r="KDO69" s="824"/>
      <c r="KDQ69" s="824"/>
      <c r="KDS69" s="824"/>
      <c r="KDU69" s="824"/>
      <c r="KDW69" s="824"/>
      <c r="KDY69" s="824"/>
      <c r="KEA69" s="824"/>
      <c r="KEC69" s="824"/>
      <c r="KEE69" s="824"/>
      <c r="KEG69" s="824"/>
      <c r="KEI69" s="824"/>
      <c r="KEK69" s="824"/>
      <c r="KEM69" s="824"/>
      <c r="KEO69" s="824"/>
      <c r="KEQ69" s="824"/>
      <c r="KES69" s="824"/>
      <c r="KEU69" s="824"/>
      <c r="KEW69" s="824"/>
      <c r="KEY69" s="824"/>
      <c r="KFA69" s="824"/>
      <c r="KFC69" s="824"/>
      <c r="KFE69" s="824"/>
      <c r="KFG69" s="824"/>
      <c r="KFI69" s="824"/>
      <c r="KFK69" s="824"/>
      <c r="KFM69" s="824"/>
      <c r="KFO69" s="824"/>
      <c r="KFQ69" s="824"/>
      <c r="KFS69" s="824"/>
      <c r="KFU69" s="824"/>
      <c r="KFW69" s="824"/>
      <c r="KFY69" s="824"/>
      <c r="KGA69" s="824"/>
      <c r="KGC69" s="824"/>
      <c r="KGE69" s="824"/>
      <c r="KGG69" s="824"/>
      <c r="KGI69" s="824"/>
      <c r="KGK69" s="824"/>
      <c r="KGM69" s="824"/>
      <c r="KGO69" s="824"/>
      <c r="KGQ69" s="824"/>
      <c r="KGS69" s="824"/>
      <c r="KGU69" s="824"/>
      <c r="KGW69" s="824"/>
      <c r="KGY69" s="824"/>
      <c r="KHA69" s="824"/>
      <c r="KHC69" s="824"/>
      <c r="KHE69" s="824"/>
      <c r="KHG69" s="824"/>
      <c r="KHI69" s="824"/>
      <c r="KHK69" s="824"/>
      <c r="KHM69" s="824"/>
      <c r="KHO69" s="824"/>
      <c r="KHQ69" s="824"/>
      <c r="KHS69" s="824"/>
      <c r="KHU69" s="824"/>
      <c r="KHW69" s="824"/>
      <c r="KHY69" s="824"/>
      <c r="KIA69" s="824"/>
      <c r="KIC69" s="824"/>
      <c r="KIE69" s="824"/>
      <c r="KIG69" s="824"/>
      <c r="KII69" s="824"/>
      <c r="KIK69" s="824"/>
      <c r="KIM69" s="824"/>
      <c r="KIO69" s="824"/>
      <c r="KIQ69" s="824"/>
      <c r="KIS69" s="824"/>
      <c r="KIU69" s="824"/>
      <c r="KIW69" s="824"/>
      <c r="KIY69" s="824"/>
      <c r="KJA69" s="824"/>
      <c r="KJC69" s="824"/>
      <c r="KJE69" s="824"/>
      <c r="KJG69" s="824"/>
      <c r="KJI69" s="824"/>
      <c r="KJK69" s="824"/>
      <c r="KJM69" s="824"/>
      <c r="KJO69" s="824"/>
      <c r="KJQ69" s="824"/>
      <c r="KJS69" s="824"/>
      <c r="KJU69" s="824"/>
      <c r="KJW69" s="824"/>
      <c r="KJY69" s="824"/>
      <c r="KKA69" s="824"/>
      <c r="KKC69" s="824"/>
      <c r="KKE69" s="824"/>
      <c r="KKG69" s="824"/>
      <c r="KKI69" s="824"/>
      <c r="KKK69" s="824"/>
      <c r="KKM69" s="824"/>
      <c r="KKO69" s="824"/>
      <c r="KKQ69" s="824"/>
      <c r="KKS69" s="824"/>
      <c r="KKU69" s="824"/>
      <c r="KKW69" s="824"/>
      <c r="KKY69" s="824"/>
      <c r="KLA69" s="824"/>
      <c r="KLC69" s="824"/>
      <c r="KLE69" s="824"/>
      <c r="KLG69" s="824"/>
      <c r="KLI69" s="824"/>
      <c r="KLK69" s="824"/>
      <c r="KLM69" s="824"/>
      <c r="KLO69" s="824"/>
      <c r="KLQ69" s="824"/>
      <c r="KLS69" s="824"/>
      <c r="KLU69" s="824"/>
      <c r="KLW69" s="824"/>
      <c r="KLY69" s="824"/>
      <c r="KMA69" s="824"/>
      <c r="KMC69" s="824"/>
      <c r="KME69" s="824"/>
      <c r="KMG69" s="824"/>
      <c r="KMI69" s="824"/>
      <c r="KMK69" s="824"/>
      <c r="KMM69" s="824"/>
      <c r="KMO69" s="824"/>
      <c r="KMQ69" s="824"/>
      <c r="KMS69" s="824"/>
      <c r="KMU69" s="824"/>
      <c r="KMW69" s="824"/>
      <c r="KMY69" s="824"/>
      <c r="KNA69" s="824"/>
      <c r="KNC69" s="824"/>
      <c r="KNE69" s="824"/>
      <c r="KNG69" s="824"/>
      <c r="KNI69" s="824"/>
      <c r="KNK69" s="824"/>
      <c r="KNM69" s="824"/>
      <c r="KNO69" s="824"/>
      <c r="KNQ69" s="824"/>
      <c r="KNS69" s="824"/>
      <c r="KNU69" s="824"/>
      <c r="KNW69" s="824"/>
      <c r="KNY69" s="824"/>
      <c r="KOA69" s="824"/>
      <c r="KOC69" s="824"/>
      <c r="KOE69" s="824"/>
      <c r="KOG69" s="824"/>
      <c r="KOI69" s="824"/>
      <c r="KOK69" s="824"/>
      <c r="KOM69" s="824"/>
      <c r="KOO69" s="824"/>
      <c r="KOQ69" s="824"/>
      <c r="KOS69" s="824"/>
      <c r="KOU69" s="824"/>
      <c r="KOW69" s="824"/>
      <c r="KOY69" s="824"/>
      <c r="KPA69" s="824"/>
      <c r="KPC69" s="824"/>
      <c r="KPE69" s="824"/>
      <c r="KPG69" s="824"/>
      <c r="KPI69" s="824"/>
      <c r="KPK69" s="824"/>
      <c r="KPM69" s="824"/>
      <c r="KPO69" s="824"/>
      <c r="KPQ69" s="824"/>
      <c r="KPS69" s="824"/>
      <c r="KPU69" s="824"/>
      <c r="KPW69" s="824"/>
      <c r="KPY69" s="824"/>
      <c r="KQA69" s="824"/>
      <c r="KQC69" s="824"/>
      <c r="KQE69" s="824"/>
      <c r="KQG69" s="824"/>
      <c r="KQI69" s="824"/>
      <c r="KQK69" s="824"/>
      <c r="KQM69" s="824"/>
      <c r="KQO69" s="824"/>
      <c r="KQQ69" s="824"/>
      <c r="KQS69" s="824"/>
      <c r="KQU69" s="824"/>
      <c r="KQW69" s="824"/>
      <c r="KQY69" s="824"/>
      <c r="KRA69" s="824"/>
      <c r="KRC69" s="824"/>
      <c r="KRE69" s="824"/>
      <c r="KRG69" s="824"/>
      <c r="KRI69" s="824"/>
      <c r="KRK69" s="824"/>
      <c r="KRM69" s="824"/>
      <c r="KRO69" s="824"/>
      <c r="KRQ69" s="824"/>
      <c r="KRS69" s="824"/>
      <c r="KRU69" s="824"/>
      <c r="KRW69" s="824"/>
      <c r="KRY69" s="824"/>
      <c r="KSA69" s="824"/>
      <c r="KSC69" s="824"/>
      <c r="KSE69" s="824"/>
      <c r="KSG69" s="824"/>
      <c r="KSI69" s="824"/>
      <c r="KSK69" s="824"/>
      <c r="KSM69" s="824"/>
      <c r="KSO69" s="824"/>
      <c r="KSQ69" s="824"/>
      <c r="KSS69" s="824"/>
      <c r="KSU69" s="824"/>
      <c r="KSW69" s="824"/>
      <c r="KSY69" s="824"/>
      <c r="KTA69" s="824"/>
      <c r="KTC69" s="824"/>
      <c r="KTE69" s="824"/>
      <c r="KTG69" s="824"/>
      <c r="KTI69" s="824"/>
      <c r="KTK69" s="824"/>
      <c r="KTM69" s="824"/>
      <c r="KTO69" s="824"/>
      <c r="KTQ69" s="824"/>
      <c r="KTS69" s="824"/>
      <c r="KTU69" s="824"/>
      <c r="KTW69" s="824"/>
      <c r="KTY69" s="824"/>
      <c r="KUA69" s="824"/>
      <c r="KUC69" s="824"/>
      <c r="KUE69" s="824"/>
      <c r="KUG69" s="824"/>
      <c r="KUI69" s="824"/>
      <c r="KUK69" s="824"/>
      <c r="KUM69" s="824"/>
      <c r="KUO69" s="824"/>
      <c r="KUQ69" s="824"/>
      <c r="KUS69" s="824"/>
      <c r="KUU69" s="824"/>
      <c r="KUW69" s="824"/>
      <c r="KUY69" s="824"/>
      <c r="KVA69" s="824"/>
      <c r="KVC69" s="824"/>
      <c r="KVE69" s="824"/>
      <c r="KVG69" s="824"/>
      <c r="KVI69" s="824"/>
      <c r="KVK69" s="824"/>
      <c r="KVM69" s="824"/>
      <c r="KVO69" s="824"/>
      <c r="KVQ69" s="824"/>
      <c r="KVS69" s="824"/>
      <c r="KVU69" s="824"/>
      <c r="KVW69" s="824"/>
      <c r="KVY69" s="824"/>
      <c r="KWA69" s="824"/>
      <c r="KWC69" s="824"/>
      <c r="KWE69" s="824"/>
      <c r="KWG69" s="824"/>
      <c r="KWI69" s="824"/>
      <c r="KWK69" s="824"/>
      <c r="KWM69" s="824"/>
      <c r="KWO69" s="824"/>
      <c r="KWQ69" s="824"/>
      <c r="KWS69" s="824"/>
      <c r="KWU69" s="824"/>
      <c r="KWW69" s="824"/>
      <c r="KWY69" s="824"/>
      <c r="KXA69" s="824"/>
      <c r="KXC69" s="824"/>
      <c r="KXE69" s="824"/>
      <c r="KXG69" s="824"/>
      <c r="KXI69" s="824"/>
      <c r="KXK69" s="824"/>
      <c r="KXM69" s="824"/>
      <c r="KXO69" s="824"/>
      <c r="KXQ69" s="824"/>
      <c r="KXS69" s="824"/>
      <c r="KXU69" s="824"/>
      <c r="KXW69" s="824"/>
      <c r="KXY69" s="824"/>
      <c r="KYA69" s="824"/>
      <c r="KYC69" s="824"/>
      <c r="KYE69" s="824"/>
      <c r="KYG69" s="824"/>
      <c r="KYI69" s="824"/>
      <c r="KYK69" s="824"/>
      <c r="KYM69" s="824"/>
      <c r="KYO69" s="824"/>
      <c r="KYQ69" s="824"/>
      <c r="KYS69" s="824"/>
      <c r="KYU69" s="824"/>
      <c r="KYW69" s="824"/>
      <c r="KYY69" s="824"/>
      <c r="KZA69" s="824"/>
      <c r="KZC69" s="824"/>
      <c r="KZE69" s="824"/>
      <c r="KZG69" s="824"/>
      <c r="KZI69" s="824"/>
      <c r="KZK69" s="824"/>
      <c r="KZM69" s="824"/>
      <c r="KZO69" s="824"/>
      <c r="KZQ69" s="824"/>
      <c r="KZS69" s="824"/>
      <c r="KZU69" s="824"/>
      <c r="KZW69" s="824"/>
      <c r="KZY69" s="824"/>
      <c r="LAA69" s="824"/>
      <c r="LAC69" s="824"/>
      <c r="LAE69" s="824"/>
      <c r="LAG69" s="824"/>
      <c r="LAI69" s="824"/>
      <c r="LAK69" s="824"/>
      <c r="LAM69" s="824"/>
      <c r="LAO69" s="824"/>
      <c r="LAQ69" s="824"/>
      <c r="LAS69" s="824"/>
      <c r="LAU69" s="824"/>
      <c r="LAW69" s="824"/>
      <c r="LAY69" s="824"/>
      <c r="LBA69" s="824"/>
      <c r="LBC69" s="824"/>
      <c r="LBE69" s="824"/>
      <c r="LBG69" s="824"/>
      <c r="LBI69" s="824"/>
      <c r="LBK69" s="824"/>
      <c r="LBM69" s="824"/>
      <c r="LBO69" s="824"/>
      <c r="LBQ69" s="824"/>
      <c r="LBS69" s="824"/>
      <c r="LBU69" s="824"/>
      <c r="LBW69" s="824"/>
      <c r="LBY69" s="824"/>
      <c r="LCA69" s="824"/>
      <c r="LCC69" s="824"/>
      <c r="LCE69" s="824"/>
      <c r="LCG69" s="824"/>
      <c r="LCI69" s="824"/>
      <c r="LCK69" s="824"/>
      <c r="LCM69" s="824"/>
      <c r="LCO69" s="824"/>
      <c r="LCQ69" s="824"/>
      <c r="LCS69" s="824"/>
      <c r="LCU69" s="824"/>
      <c r="LCW69" s="824"/>
      <c r="LCY69" s="824"/>
      <c r="LDA69" s="824"/>
      <c r="LDC69" s="824"/>
      <c r="LDE69" s="824"/>
      <c r="LDG69" s="824"/>
      <c r="LDI69" s="824"/>
      <c r="LDK69" s="824"/>
      <c r="LDM69" s="824"/>
      <c r="LDO69" s="824"/>
      <c r="LDQ69" s="824"/>
      <c r="LDS69" s="824"/>
      <c r="LDU69" s="824"/>
      <c r="LDW69" s="824"/>
      <c r="LDY69" s="824"/>
      <c r="LEA69" s="824"/>
      <c r="LEC69" s="824"/>
      <c r="LEE69" s="824"/>
      <c r="LEG69" s="824"/>
      <c r="LEI69" s="824"/>
      <c r="LEK69" s="824"/>
      <c r="LEM69" s="824"/>
      <c r="LEO69" s="824"/>
      <c r="LEQ69" s="824"/>
      <c r="LES69" s="824"/>
      <c r="LEU69" s="824"/>
      <c r="LEW69" s="824"/>
      <c r="LEY69" s="824"/>
      <c r="LFA69" s="824"/>
      <c r="LFC69" s="824"/>
      <c r="LFE69" s="824"/>
      <c r="LFG69" s="824"/>
      <c r="LFI69" s="824"/>
      <c r="LFK69" s="824"/>
      <c r="LFM69" s="824"/>
      <c r="LFO69" s="824"/>
      <c r="LFQ69" s="824"/>
      <c r="LFS69" s="824"/>
      <c r="LFU69" s="824"/>
      <c r="LFW69" s="824"/>
      <c r="LFY69" s="824"/>
      <c r="LGA69" s="824"/>
      <c r="LGC69" s="824"/>
      <c r="LGE69" s="824"/>
      <c r="LGG69" s="824"/>
      <c r="LGI69" s="824"/>
      <c r="LGK69" s="824"/>
      <c r="LGM69" s="824"/>
      <c r="LGO69" s="824"/>
      <c r="LGQ69" s="824"/>
      <c r="LGS69" s="824"/>
      <c r="LGU69" s="824"/>
      <c r="LGW69" s="824"/>
      <c r="LGY69" s="824"/>
      <c r="LHA69" s="824"/>
      <c r="LHC69" s="824"/>
      <c r="LHE69" s="824"/>
      <c r="LHG69" s="824"/>
      <c r="LHI69" s="824"/>
      <c r="LHK69" s="824"/>
      <c r="LHM69" s="824"/>
      <c r="LHO69" s="824"/>
      <c r="LHQ69" s="824"/>
      <c r="LHS69" s="824"/>
      <c r="LHU69" s="824"/>
      <c r="LHW69" s="824"/>
      <c r="LHY69" s="824"/>
      <c r="LIA69" s="824"/>
      <c r="LIC69" s="824"/>
      <c r="LIE69" s="824"/>
      <c r="LIG69" s="824"/>
      <c r="LII69" s="824"/>
      <c r="LIK69" s="824"/>
      <c r="LIM69" s="824"/>
      <c r="LIO69" s="824"/>
      <c r="LIQ69" s="824"/>
      <c r="LIS69" s="824"/>
      <c r="LIU69" s="824"/>
      <c r="LIW69" s="824"/>
      <c r="LIY69" s="824"/>
      <c r="LJA69" s="824"/>
      <c r="LJC69" s="824"/>
      <c r="LJE69" s="824"/>
      <c r="LJG69" s="824"/>
      <c r="LJI69" s="824"/>
      <c r="LJK69" s="824"/>
      <c r="LJM69" s="824"/>
      <c r="LJO69" s="824"/>
      <c r="LJQ69" s="824"/>
      <c r="LJS69" s="824"/>
      <c r="LJU69" s="824"/>
      <c r="LJW69" s="824"/>
      <c r="LJY69" s="824"/>
      <c r="LKA69" s="824"/>
      <c r="LKC69" s="824"/>
      <c r="LKE69" s="824"/>
      <c r="LKG69" s="824"/>
      <c r="LKI69" s="824"/>
      <c r="LKK69" s="824"/>
      <c r="LKM69" s="824"/>
      <c r="LKO69" s="824"/>
      <c r="LKQ69" s="824"/>
      <c r="LKS69" s="824"/>
      <c r="LKU69" s="824"/>
      <c r="LKW69" s="824"/>
      <c r="LKY69" s="824"/>
      <c r="LLA69" s="824"/>
      <c r="LLC69" s="824"/>
      <c r="LLE69" s="824"/>
      <c r="LLG69" s="824"/>
      <c r="LLI69" s="824"/>
      <c r="LLK69" s="824"/>
      <c r="LLM69" s="824"/>
      <c r="LLO69" s="824"/>
      <c r="LLQ69" s="824"/>
      <c r="LLS69" s="824"/>
      <c r="LLU69" s="824"/>
      <c r="LLW69" s="824"/>
      <c r="LLY69" s="824"/>
      <c r="LMA69" s="824"/>
      <c r="LMC69" s="824"/>
      <c r="LME69" s="824"/>
      <c r="LMG69" s="824"/>
      <c r="LMI69" s="824"/>
      <c r="LMK69" s="824"/>
      <c r="LMM69" s="824"/>
      <c r="LMO69" s="824"/>
      <c r="LMQ69" s="824"/>
      <c r="LMS69" s="824"/>
      <c r="LMU69" s="824"/>
      <c r="LMW69" s="824"/>
      <c r="LMY69" s="824"/>
      <c r="LNA69" s="824"/>
      <c r="LNC69" s="824"/>
      <c r="LNE69" s="824"/>
      <c r="LNG69" s="824"/>
      <c r="LNI69" s="824"/>
      <c r="LNK69" s="824"/>
      <c r="LNM69" s="824"/>
      <c r="LNO69" s="824"/>
      <c r="LNQ69" s="824"/>
      <c r="LNS69" s="824"/>
      <c r="LNU69" s="824"/>
      <c r="LNW69" s="824"/>
      <c r="LNY69" s="824"/>
      <c r="LOA69" s="824"/>
      <c r="LOC69" s="824"/>
      <c r="LOE69" s="824"/>
      <c r="LOG69" s="824"/>
      <c r="LOI69" s="824"/>
      <c r="LOK69" s="824"/>
      <c r="LOM69" s="824"/>
      <c r="LOO69" s="824"/>
      <c r="LOQ69" s="824"/>
      <c r="LOS69" s="824"/>
      <c r="LOU69" s="824"/>
      <c r="LOW69" s="824"/>
      <c r="LOY69" s="824"/>
      <c r="LPA69" s="824"/>
      <c r="LPC69" s="824"/>
      <c r="LPE69" s="824"/>
      <c r="LPG69" s="824"/>
      <c r="LPI69" s="824"/>
      <c r="LPK69" s="824"/>
      <c r="LPM69" s="824"/>
      <c r="LPO69" s="824"/>
      <c r="LPQ69" s="824"/>
      <c r="LPS69" s="824"/>
      <c r="LPU69" s="824"/>
      <c r="LPW69" s="824"/>
      <c r="LPY69" s="824"/>
      <c r="LQA69" s="824"/>
      <c r="LQC69" s="824"/>
      <c r="LQE69" s="824"/>
      <c r="LQG69" s="824"/>
      <c r="LQI69" s="824"/>
      <c r="LQK69" s="824"/>
      <c r="LQM69" s="824"/>
      <c r="LQO69" s="824"/>
      <c r="LQQ69" s="824"/>
      <c r="LQS69" s="824"/>
      <c r="LQU69" s="824"/>
      <c r="LQW69" s="824"/>
      <c r="LQY69" s="824"/>
      <c r="LRA69" s="824"/>
      <c r="LRC69" s="824"/>
      <c r="LRE69" s="824"/>
      <c r="LRG69" s="824"/>
      <c r="LRI69" s="824"/>
      <c r="LRK69" s="824"/>
      <c r="LRM69" s="824"/>
      <c r="LRO69" s="824"/>
      <c r="LRQ69" s="824"/>
      <c r="LRS69" s="824"/>
      <c r="LRU69" s="824"/>
      <c r="LRW69" s="824"/>
      <c r="LRY69" s="824"/>
      <c r="LSA69" s="824"/>
      <c r="LSC69" s="824"/>
      <c r="LSE69" s="824"/>
      <c r="LSG69" s="824"/>
      <c r="LSI69" s="824"/>
      <c r="LSK69" s="824"/>
      <c r="LSM69" s="824"/>
      <c r="LSO69" s="824"/>
      <c r="LSQ69" s="824"/>
      <c r="LSS69" s="824"/>
      <c r="LSU69" s="824"/>
      <c r="LSW69" s="824"/>
      <c r="LSY69" s="824"/>
      <c r="LTA69" s="824"/>
      <c r="LTC69" s="824"/>
      <c r="LTE69" s="824"/>
      <c r="LTG69" s="824"/>
      <c r="LTI69" s="824"/>
      <c r="LTK69" s="824"/>
      <c r="LTM69" s="824"/>
      <c r="LTO69" s="824"/>
      <c r="LTQ69" s="824"/>
      <c r="LTS69" s="824"/>
      <c r="LTU69" s="824"/>
      <c r="LTW69" s="824"/>
      <c r="LTY69" s="824"/>
      <c r="LUA69" s="824"/>
      <c r="LUC69" s="824"/>
      <c r="LUE69" s="824"/>
      <c r="LUG69" s="824"/>
      <c r="LUI69" s="824"/>
      <c r="LUK69" s="824"/>
      <c r="LUM69" s="824"/>
      <c r="LUO69" s="824"/>
      <c r="LUQ69" s="824"/>
      <c r="LUS69" s="824"/>
      <c r="LUU69" s="824"/>
      <c r="LUW69" s="824"/>
      <c r="LUY69" s="824"/>
      <c r="LVA69" s="824"/>
      <c r="LVC69" s="824"/>
      <c r="LVE69" s="824"/>
      <c r="LVG69" s="824"/>
      <c r="LVI69" s="824"/>
      <c r="LVK69" s="824"/>
      <c r="LVM69" s="824"/>
      <c r="LVO69" s="824"/>
      <c r="LVQ69" s="824"/>
      <c r="LVS69" s="824"/>
      <c r="LVU69" s="824"/>
      <c r="LVW69" s="824"/>
      <c r="LVY69" s="824"/>
      <c r="LWA69" s="824"/>
      <c r="LWC69" s="824"/>
      <c r="LWE69" s="824"/>
      <c r="LWG69" s="824"/>
      <c r="LWI69" s="824"/>
      <c r="LWK69" s="824"/>
      <c r="LWM69" s="824"/>
      <c r="LWO69" s="824"/>
      <c r="LWQ69" s="824"/>
      <c r="LWS69" s="824"/>
      <c r="LWU69" s="824"/>
      <c r="LWW69" s="824"/>
      <c r="LWY69" s="824"/>
      <c r="LXA69" s="824"/>
      <c r="LXC69" s="824"/>
      <c r="LXE69" s="824"/>
      <c r="LXG69" s="824"/>
      <c r="LXI69" s="824"/>
      <c r="LXK69" s="824"/>
      <c r="LXM69" s="824"/>
      <c r="LXO69" s="824"/>
      <c r="LXQ69" s="824"/>
      <c r="LXS69" s="824"/>
      <c r="LXU69" s="824"/>
      <c r="LXW69" s="824"/>
      <c r="LXY69" s="824"/>
      <c r="LYA69" s="824"/>
      <c r="LYC69" s="824"/>
      <c r="LYE69" s="824"/>
      <c r="LYG69" s="824"/>
      <c r="LYI69" s="824"/>
      <c r="LYK69" s="824"/>
      <c r="LYM69" s="824"/>
      <c r="LYO69" s="824"/>
      <c r="LYQ69" s="824"/>
      <c r="LYS69" s="824"/>
      <c r="LYU69" s="824"/>
      <c r="LYW69" s="824"/>
      <c r="LYY69" s="824"/>
      <c r="LZA69" s="824"/>
      <c r="LZC69" s="824"/>
      <c r="LZE69" s="824"/>
      <c r="LZG69" s="824"/>
      <c r="LZI69" s="824"/>
      <c r="LZK69" s="824"/>
      <c r="LZM69" s="824"/>
      <c r="LZO69" s="824"/>
      <c r="LZQ69" s="824"/>
      <c r="LZS69" s="824"/>
      <c r="LZU69" s="824"/>
      <c r="LZW69" s="824"/>
      <c r="LZY69" s="824"/>
      <c r="MAA69" s="824"/>
      <c r="MAC69" s="824"/>
      <c r="MAE69" s="824"/>
      <c r="MAG69" s="824"/>
      <c r="MAI69" s="824"/>
      <c r="MAK69" s="824"/>
      <c r="MAM69" s="824"/>
      <c r="MAO69" s="824"/>
      <c r="MAQ69" s="824"/>
      <c r="MAS69" s="824"/>
      <c r="MAU69" s="824"/>
      <c r="MAW69" s="824"/>
      <c r="MAY69" s="824"/>
      <c r="MBA69" s="824"/>
      <c r="MBC69" s="824"/>
      <c r="MBE69" s="824"/>
      <c r="MBG69" s="824"/>
      <c r="MBI69" s="824"/>
      <c r="MBK69" s="824"/>
      <c r="MBM69" s="824"/>
      <c r="MBO69" s="824"/>
      <c r="MBQ69" s="824"/>
      <c r="MBS69" s="824"/>
      <c r="MBU69" s="824"/>
      <c r="MBW69" s="824"/>
      <c r="MBY69" s="824"/>
      <c r="MCA69" s="824"/>
      <c r="MCC69" s="824"/>
      <c r="MCE69" s="824"/>
      <c r="MCG69" s="824"/>
      <c r="MCI69" s="824"/>
      <c r="MCK69" s="824"/>
      <c r="MCM69" s="824"/>
      <c r="MCO69" s="824"/>
      <c r="MCQ69" s="824"/>
      <c r="MCS69" s="824"/>
      <c r="MCU69" s="824"/>
      <c r="MCW69" s="824"/>
      <c r="MCY69" s="824"/>
      <c r="MDA69" s="824"/>
      <c r="MDC69" s="824"/>
      <c r="MDE69" s="824"/>
      <c r="MDG69" s="824"/>
      <c r="MDI69" s="824"/>
      <c r="MDK69" s="824"/>
      <c r="MDM69" s="824"/>
      <c r="MDO69" s="824"/>
      <c r="MDQ69" s="824"/>
      <c r="MDS69" s="824"/>
      <c r="MDU69" s="824"/>
      <c r="MDW69" s="824"/>
      <c r="MDY69" s="824"/>
      <c r="MEA69" s="824"/>
      <c r="MEC69" s="824"/>
      <c r="MEE69" s="824"/>
      <c r="MEG69" s="824"/>
      <c r="MEI69" s="824"/>
      <c r="MEK69" s="824"/>
      <c r="MEM69" s="824"/>
      <c r="MEO69" s="824"/>
      <c r="MEQ69" s="824"/>
      <c r="MES69" s="824"/>
      <c r="MEU69" s="824"/>
      <c r="MEW69" s="824"/>
      <c r="MEY69" s="824"/>
      <c r="MFA69" s="824"/>
      <c r="MFC69" s="824"/>
      <c r="MFE69" s="824"/>
      <c r="MFG69" s="824"/>
      <c r="MFI69" s="824"/>
      <c r="MFK69" s="824"/>
      <c r="MFM69" s="824"/>
      <c r="MFO69" s="824"/>
      <c r="MFQ69" s="824"/>
      <c r="MFS69" s="824"/>
      <c r="MFU69" s="824"/>
      <c r="MFW69" s="824"/>
      <c r="MFY69" s="824"/>
      <c r="MGA69" s="824"/>
      <c r="MGC69" s="824"/>
      <c r="MGE69" s="824"/>
      <c r="MGG69" s="824"/>
      <c r="MGI69" s="824"/>
      <c r="MGK69" s="824"/>
      <c r="MGM69" s="824"/>
      <c r="MGO69" s="824"/>
      <c r="MGQ69" s="824"/>
      <c r="MGS69" s="824"/>
      <c r="MGU69" s="824"/>
      <c r="MGW69" s="824"/>
      <c r="MGY69" s="824"/>
      <c r="MHA69" s="824"/>
      <c r="MHC69" s="824"/>
      <c r="MHE69" s="824"/>
      <c r="MHG69" s="824"/>
      <c r="MHI69" s="824"/>
      <c r="MHK69" s="824"/>
      <c r="MHM69" s="824"/>
      <c r="MHO69" s="824"/>
      <c r="MHQ69" s="824"/>
      <c r="MHS69" s="824"/>
      <c r="MHU69" s="824"/>
      <c r="MHW69" s="824"/>
      <c r="MHY69" s="824"/>
      <c r="MIA69" s="824"/>
      <c r="MIC69" s="824"/>
      <c r="MIE69" s="824"/>
      <c r="MIG69" s="824"/>
      <c r="MII69" s="824"/>
      <c r="MIK69" s="824"/>
      <c r="MIM69" s="824"/>
      <c r="MIO69" s="824"/>
      <c r="MIQ69" s="824"/>
      <c r="MIS69" s="824"/>
      <c r="MIU69" s="824"/>
      <c r="MIW69" s="824"/>
      <c r="MIY69" s="824"/>
      <c r="MJA69" s="824"/>
      <c r="MJC69" s="824"/>
      <c r="MJE69" s="824"/>
      <c r="MJG69" s="824"/>
      <c r="MJI69" s="824"/>
      <c r="MJK69" s="824"/>
      <c r="MJM69" s="824"/>
      <c r="MJO69" s="824"/>
      <c r="MJQ69" s="824"/>
      <c r="MJS69" s="824"/>
      <c r="MJU69" s="824"/>
      <c r="MJW69" s="824"/>
      <c r="MJY69" s="824"/>
      <c r="MKA69" s="824"/>
      <c r="MKC69" s="824"/>
      <c r="MKE69" s="824"/>
      <c r="MKG69" s="824"/>
      <c r="MKI69" s="824"/>
      <c r="MKK69" s="824"/>
      <c r="MKM69" s="824"/>
      <c r="MKO69" s="824"/>
      <c r="MKQ69" s="824"/>
      <c r="MKS69" s="824"/>
      <c r="MKU69" s="824"/>
      <c r="MKW69" s="824"/>
      <c r="MKY69" s="824"/>
      <c r="MLA69" s="824"/>
      <c r="MLC69" s="824"/>
      <c r="MLE69" s="824"/>
      <c r="MLG69" s="824"/>
      <c r="MLI69" s="824"/>
      <c r="MLK69" s="824"/>
      <c r="MLM69" s="824"/>
      <c r="MLO69" s="824"/>
      <c r="MLQ69" s="824"/>
      <c r="MLS69" s="824"/>
      <c r="MLU69" s="824"/>
      <c r="MLW69" s="824"/>
      <c r="MLY69" s="824"/>
      <c r="MMA69" s="824"/>
      <c r="MMC69" s="824"/>
      <c r="MME69" s="824"/>
      <c r="MMG69" s="824"/>
      <c r="MMI69" s="824"/>
      <c r="MMK69" s="824"/>
      <c r="MMM69" s="824"/>
      <c r="MMO69" s="824"/>
      <c r="MMQ69" s="824"/>
      <c r="MMS69" s="824"/>
      <c r="MMU69" s="824"/>
      <c r="MMW69" s="824"/>
      <c r="MMY69" s="824"/>
      <c r="MNA69" s="824"/>
      <c r="MNC69" s="824"/>
      <c r="MNE69" s="824"/>
      <c r="MNG69" s="824"/>
      <c r="MNI69" s="824"/>
      <c r="MNK69" s="824"/>
      <c r="MNM69" s="824"/>
      <c r="MNO69" s="824"/>
      <c r="MNQ69" s="824"/>
      <c r="MNS69" s="824"/>
      <c r="MNU69" s="824"/>
      <c r="MNW69" s="824"/>
      <c r="MNY69" s="824"/>
      <c r="MOA69" s="824"/>
      <c r="MOC69" s="824"/>
      <c r="MOE69" s="824"/>
      <c r="MOG69" s="824"/>
      <c r="MOI69" s="824"/>
      <c r="MOK69" s="824"/>
      <c r="MOM69" s="824"/>
      <c r="MOO69" s="824"/>
      <c r="MOQ69" s="824"/>
      <c r="MOS69" s="824"/>
      <c r="MOU69" s="824"/>
      <c r="MOW69" s="824"/>
      <c r="MOY69" s="824"/>
      <c r="MPA69" s="824"/>
      <c r="MPC69" s="824"/>
      <c r="MPE69" s="824"/>
      <c r="MPG69" s="824"/>
      <c r="MPI69" s="824"/>
      <c r="MPK69" s="824"/>
      <c r="MPM69" s="824"/>
      <c r="MPO69" s="824"/>
      <c r="MPQ69" s="824"/>
      <c r="MPS69" s="824"/>
      <c r="MPU69" s="824"/>
      <c r="MPW69" s="824"/>
      <c r="MPY69" s="824"/>
      <c r="MQA69" s="824"/>
      <c r="MQC69" s="824"/>
      <c r="MQE69" s="824"/>
      <c r="MQG69" s="824"/>
      <c r="MQI69" s="824"/>
      <c r="MQK69" s="824"/>
      <c r="MQM69" s="824"/>
      <c r="MQO69" s="824"/>
      <c r="MQQ69" s="824"/>
      <c r="MQS69" s="824"/>
      <c r="MQU69" s="824"/>
      <c r="MQW69" s="824"/>
      <c r="MQY69" s="824"/>
      <c r="MRA69" s="824"/>
      <c r="MRC69" s="824"/>
      <c r="MRE69" s="824"/>
      <c r="MRG69" s="824"/>
      <c r="MRI69" s="824"/>
      <c r="MRK69" s="824"/>
      <c r="MRM69" s="824"/>
      <c r="MRO69" s="824"/>
      <c r="MRQ69" s="824"/>
      <c r="MRS69" s="824"/>
      <c r="MRU69" s="824"/>
      <c r="MRW69" s="824"/>
      <c r="MRY69" s="824"/>
      <c r="MSA69" s="824"/>
      <c r="MSC69" s="824"/>
      <c r="MSE69" s="824"/>
      <c r="MSG69" s="824"/>
      <c r="MSI69" s="824"/>
      <c r="MSK69" s="824"/>
      <c r="MSM69" s="824"/>
      <c r="MSO69" s="824"/>
      <c r="MSQ69" s="824"/>
      <c r="MSS69" s="824"/>
      <c r="MSU69" s="824"/>
      <c r="MSW69" s="824"/>
      <c r="MSY69" s="824"/>
      <c r="MTA69" s="824"/>
      <c r="MTC69" s="824"/>
      <c r="MTE69" s="824"/>
      <c r="MTG69" s="824"/>
      <c r="MTI69" s="824"/>
      <c r="MTK69" s="824"/>
      <c r="MTM69" s="824"/>
      <c r="MTO69" s="824"/>
      <c r="MTQ69" s="824"/>
      <c r="MTS69" s="824"/>
      <c r="MTU69" s="824"/>
      <c r="MTW69" s="824"/>
      <c r="MTY69" s="824"/>
      <c r="MUA69" s="824"/>
      <c r="MUC69" s="824"/>
      <c r="MUE69" s="824"/>
      <c r="MUG69" s="824"/>
      <c r="MUI69" s="824"/>
      <c r="MUK69" s="824"/>
      <c r="MUM69" s="824"/>
      <c r="MUO69" s="824"/>
      <c r="MUQ69" s="824"/>
      <c r="MUS69" s="824"/>
      <c r="MUU69" s="824"/>
      <c r="MUW69" s="824"/>
      <c r="MUY69" s="824"/>
      <c r="MVA69" s="824"/>
      <c r="MVC69" s="824"/>
      <c r="MVE69" s="824"/>
      <c r="MVG69" s="824"/>
      <c r="MVI69" s="824"/>
      <c r="MVK69" s="824"/>
      <c r="MVM69" s="824"/>
      <c r="MVO69" s="824"/>
      <c r="MVQ69" s="824"/>
      <c r="MVS69" s="824"/>
      <c r="MVU69" s="824"/>
      <c r="MVW69" s="824"/>
      <c r="MVY69" s="824"/>
      <c r="MWA69" s="824"/>
      <c r="MWC69" s="824"/>
      <c r="MWE69" s="824"/>
      <c r="MWG69" s="824"/>
      <c r="MWI69" s="824"/>
      <c r="MWK69" s="824"/>
      <c r="MWM69" s="824"/>
      <c r="MWO69" s="824"/>
      <c r="MWQ69" s="824"/>
      <c r="MWS69" s="824"/>
      <c r="MWU69" s="824"/>
      <c r="MWW69" s="824"/>
      <c r="MWY69" s="824"/>
      <c r="MXA69" s="824"/>
      <c r="MXC69" s="824"/>
      <c r="MXE69" s="824"/>
      <c r="MXG69" s="824"/>
      <c r="MXI69" s="824"/>
      <c r="MXK69" s="824"/>
      <c r="MXM69" s="824"/>
      <c r="MXO69" s="824"/>
      <c r="MXQ69" s="824"/>
      <c r="MXS69" s="824"/>
      <c r="MXU69" s="824"/>
      <c r="MXW69" s="824"/>
      <c r="MXY69" s="824"/>
      <c r="MYA69" s="824"/>
      <c r="MYC69" s="824"/>
      <c r="MYE69" s="824"/>
      <c r="MYG69" s="824"/>
      <c r="MYI69" s="824"/>
      <c r="MYK69" s="824"/>
      <c r="MYM69" s="824"/>
      <c r="MYO69" s="824"/>
      <c r="MYQ69" s="824"/>
      <c r="MYS69" s="824"/>
      <c r="MYU69" s="824"/>
      <c r="MYW69" s="824"/>
      <c r="MYY69" s="824"/>
      <c r="MZA69" s="824"/>
      <c r="MZC69" s="824"/>
      <c r="MZE69" s="824"/>
      <c r="MZG69" s="824"/>
      <c r="MZI69" s="824"/>
      <c r="MZK69" s="824"/>
      <c r="MZM69" s="824"/>
      <c r="MZO69" s="824"/>
      <c r="MZQ69" s="824"/>
      <c r="MZS69" s="824"/>
      <c r="MZU69" s="824"/>
      <c r="MZW69" s="824"/>
      <c r="MZY69" s="824"/>
      <c r="NAA69" s="824"/>
      <c r="NAC69" s="824"/>
      <c r="NAE69" s="824"/>
      <c r="NAG69" s="824"/>
      <c r="NAI69" s="824"/>
      <c r="NAK69" s="824"/>
      <c r="NAM69" s="824"/>
      <c r="NAO69" s="824"/>
      <c r="NAQ69" s="824"/>
      <c r="NAS69" s="824"/>
      <c r="NAU69" s="824"/>
      <c r="NAW69" s="824"/>
      <c r="NAY69" s="824"/>
      <c r="NBA69" s="824"/>
      <c r="NBC69" s="824"/>
      <c r="NBE69" s="824"/>
      <c r="NBG69" s="824"/>
      <c r="NBI69" s="824"/>
      <c r="NBK69" s="824"/>
      <c r="NBM69" s="824"/>
      <c r="NBO69" s="824"/>
      <c r="NBQ69" s="824"/>
      <c r="NBS69" s="824"/>
      <c r="NBU69" s="824"/>
      <c r="NBW69" s="824"/>
      <c r="NBY69" s="824"/>
      <c r="NCA69" s="824"/>
      <c r="NCC69" s="824"/>
      <c r="NCE69" s="824"/>
      <c r="NCG69" s="824"/>
      <c r="NCI69" s="824"/>
      <c r="NCK69" s="824"/>
      <c r="NCM69" s="824"/>
      <c r="NCO69" s="824"/>
      <c r="NCQ69" s="824"/>
      <c r="NCS69" s="824"/>
      <c r="NCU69" s="824"/>
      <c r="NCW69" s="824"/>
      <c r="NCY69" s="824"/>
      <c r="NDA69" s="824"/>
      <c r="NDC69" s="824"/>
      <c r="NDE69" s="824"/>
      <c r="NDG69" s="824"/>
      <c r="NDI69" s="824"/>
      <c r="NDK69" s="824"/>
      <c r="NDM69" s="824"/>
      <c r="NDO69" s="824"/>
      <c r="NDQ69" s="824"/>
      <c r="NDS69" s="824"/>
      <c r="NDU69" s="824"/>
      <c r="NDW69" s="824"/>
      <c r="NDY69" s="824"/>
      <c r="NEA69" s="824"/>
      <c r="NEC69" s="824"/>
      <c r="NEE69" s="824"/>
      <c r="NEG69" s="824"/>
      <c r="NEI69" s="824"/>
      <c r="NEK69" s="824"/>
      <c r="NEM69" s="824"/>
      <c r="NEO69" s="824"/>
      <c r="NEQ69" s="824"/>
      <c r="NES69" s="824"/>
      <c r="NEU69" s="824"/>
      <c r="NEW69" s="824"/>
      <c r="NEY69" s="824"/>
      <c r="NFA69" s="824"/>
      <c r="NFC69" s="824"/>
      <c r="NFE69" s="824"/>
      <c r="NFG69" s="824"/>
      <c r="NFI69" s="824"/>
      <c r="NFK69" s="824"/>
      <c r="NFM69" s="824"/>
      <c r="NFO69" s="824"/>
      <c r="NFQ69" s="824"/>
      <c r="NFS69" s="824"/>
      <c r="NFU69" s="824"/>
      <c r="NFW69" s="824"/>
      <c r="NFY69" s="824"/>
      <c r="NGA69" s="824"/>
      <c r="NGC69" s="824"/>
      <c r="NGE69" s="824"/>
      <c r="NGG69" s="824"/>
      <c r="NGI69" s="824"/>
      <c r="NGK69" s="824"/>
      <c r="NGM69" s="824"/>
      <c r="NGO69" s="824"/>
      <c r="NGQ69" s="824"/>
      <c r="NGS69" s="824"/>
      <c r="NGU69" s="824"/>
      <c r="NGW69" s="824"/>
      <c r="NGY69" s="824"/>
      <c r="NHA69" s="824"/>
      <c r="NHC69" s="824"/>
      <c r="NHE69" s="824"/>
      <c r="NHG69" s="824"/>
      <c r="NHI69" s="824"/>
      <c r="NHK69" s="824"/>
      <c r="NHM69" s="824"/>
      <c r="NHO69" s="824"/>
      <c r="NHQ69" s="824"/>
      <c r="NHS69" s="824"/>
      <c r="NHU69" s="824"/>
      <c r="NHW69" s="824"/>
      <c r="NHY69" s="824"/>
      <c r="NIA69" s="824"/>
      <c r="NIC69" s="824"/>
      <c r="NIE69" s="824"/>
      <c r="NIG69" s="824"/>
      <c r="NII69" s="824"/>
      <c r="NIK69" s="824"/>
      <c r="NIM69" s="824"/>
      <c r="NIO69" s="824"/>
      <c r="NIQ69" s="824"/>
      <c r="NIS69" s="824"/>
      <c r="NIU69" s="824"/>
      <c r="NIW69" s="824"/>
      <c r="NIY69" s="824"/>
      <c r="NJA69" s="824"/>
      <c r="NJC69" s="824"/>
      <c r="NJE69" s="824"/>
      <c r="NJG69" s="824"/>
      <c r="NJI69" s="824"/>
      <c r="NJK69" s="824"/>
      <c r="NJM69" s="824"/>
      <c r="NJO69" s="824"/>
      <c r="NJQ69" s="824"/>
      <c r="NJS69" s="824"/>
      <c r="NJU69" s="824"/>
      <c r="NJW69" s="824"/>
      <c r="NJY69" s="824"/>
      <c r="NKA69" s="824"/>
      <c r="NKC69" s="824"/>
      <c r="NKE69" s="824"/>
      <c r="NKG69" s="824"/>
      <c r="NKI69" s="824"/>
      <c r="NKK69" s="824"/>
      <c r="NKM69" s="824"/>
      <c r="NKO69" s="824"/>
      <c r="NKQ69" s="824"/>
      <c r="NKS69" s="824"/>
      <c r="NKU69" s="824"/>
      <c r="NKW69" s="824"/>
      <c r="NKY69" s="824"/>
      <c r="NLA69" s="824"/>
      <c r="NLC69" s="824"/>
      <c r="NLE69" s="824"/>
      <c r="NLG69" s="824"/>
      <c r="NLI69" s="824"/>
      <c r="NLK69" s="824"/>
      <c r="NLM69" s="824"/>
      <c r="NLO69" s="824"/>
      <c r="NLQ69" s="824"/>
      <c r="NLS69" s="824"/>
      <c r="NLU69" s="824"/>
      <c r="NLW69" s="824"/>
      <c r="NLY69" s="824"/>
      <c r="NMA69" s="824"/>
      <c r="NMC69" s="824"/>
      <c r="NME69" s="824"/>
      <c r="NMG69" s="824"/>
      <c r="NMI69" s="824"/>
      <c r="NMK69" s="824"/>
      <c r="NMM69" s="824"/>
      <c r="NMO69" s="824"/>
      <c r="NMQ69" s="824"/>
      <c r="NMS69" s="824"/>
      <c r="NMU69" s="824"/>
      <c r="NMW69" s="824"/>
      <c r="NMY69" s="824"/>
      <c r="NNA69" s="824"/>
      <c r="NNC69" s="824"/>
      <c r="NNE69" s="824"/>
      <c r="NNG69" s="824"/>
      <c r="NNI69" s="824"/>
      <c r="NNK69" s="824"/>
      <c r="NNM69" s="824"/>
      <c r="NNO69" s="824"/>
      <c r="NNQ69" s="824"/>
      <c r="NNS69" s="824"/>
      <c r="NNU69" s="824"/>
      <c r="NNW69" s="824"/>
      <c r="NNY69" s="824"/>
      <c r="NOA69" s="824"/>
      <c r="NOC69" s="824"/>
      <c r="NOE69" s="824"/>
      <c r="NOG69" s="824"/>
      <c r="NOI69" s="824"/>
      <c r="NOK69" s="824"/>
      <c r="NOM69" s="824"/>
      <c r="NOO69" s="824"/>
      <c r="NOQ69" s="824"/>
      <c r="NOS69" s="824"/>
      <c r="NOU69" s="824"/>
      <c r="NOW69" s="824"/>
      <c r="NOY69" s="824"/>
      <c r="NPA69" s="824"/>
      <c r="NPC69" s="824"/>
      <c r="NPE69" s="824"/>
      <c r="NPG69" s="824"/>
      <c r="NPI69" s="824"/>
      <c r="NPK69" s="824"/>
      <c r="NPM69" s="824"/>
      <c r="NPO69" s="824"/>
      <c r="NPQ69" s="824"/>
      <c r="NPS69" s="824"/>
      <c r="NPU69" s="824"/>
      <c r="NPW69" s="824"/>
      <c r="NPY69" s="824"/>
      <c r="NQA69" s="824"/>
      <c r="NQC69" s="824"/>
      <c r="NQE69" s="824"/>
      <c r="NQG69" s="824"/>
      <c r="NQI69" s="824"/>
      <c r="NQK69" s="824"/>
      <c r="NQM69" s="824"/>
      <c r="NQO69" s="824"/>
      <c r="NQQ69" s="824"/>
      <c r="NQS69" s="824"/>
      <c r="NQU69" s="824"/>
      <c r="NQW69" s="824"/>
      <c r="NQY69" s="824"/>
      <c r="NRA69" s="824"/>
      <c r="NRC69" s="824"/>
      <c r="NRE69" s="824"/>
      <c r="NRG69" s="824"/>
      <c r="NRI69" s="824"/>
      <c r="NRK69" s="824"/>
      <c r="NRM69" s="824"/>
      <c r="NRO69" s="824"/>
      <c r="NRQ69" s="824"/>
      <c r="NRS69" s="824"/>
      <c r="NRU69" s="824"/>
      <c r="NRW69" s="824"/>
      <c r="NRY69" s="824"/>
      <c r="NSA69" s="824"/>
      <c r="NSC69" s="824"/>
      <c r="NSE69" s="824"/>
      <c r="NSG69" s="824"/>
      <c r="NSI69" s="824"/>
      <c r="NSK69" s="824"/>
      <c r="NSM69" s="824"/>
      <c r="NSO69" s="824"/>
      <c r="NSQ69" s="824"/>
      <c r="NSS69" s="824"/>
      <c r="NSU69" s="824"/>
      <c r="NSW69" s="824"/>
      <c r="NSY69" s="824"/>
      <c r="NTA69" s="824"/>
      <c r="NTC69" s="824"/>
      <c r="NTE69" s="824"/>
      <c r="NTG69" s="824"/>
      <c r="NTI69" s="824"/>
      <c r="NTK69" s="824"/>
      <c r="NTM69" s="824"/>
      <c r="NTO69" s="824"/>
      <c r="NTQ69" s="824"/>
      <c r="NTS69" s="824"/>
      <c r="NTU69" s="824"/>
      <c r="NTW69" s="824"/>
      <c r="NTY69" s="824"/>
      <c r="NUA69" s="824"/>
      <c r="NUC69" s="824"/>
      <c r="NUE69" s="824"/>
      <c r="NUG69" s="824"/>
      <c r="NUI69" s="824"/>
      <c r="NUK69" s="824"/>
      <c r="NUM69" s="824"/>
      <c r="NUO69" s="824"/>
      <c r="NUQ69" s="824"/>
      <c r="NUS69" s="824"/>
      <c r="NUU69" s="824"/>
      <c r="NUW69" s="824"/>
      <c r="NUY69" s="824"/>
      <c r="NVA69" s="824"/>
      <c r="NVC69" s="824"/>
      <c r="NVE69" s="824"/>
      <c r="NVG69" s="824"/>
      <c r="NVI69" s="824"/>
      <c r="NVK69" s="824"/>
      <c r="NVM69" s="824"/>
      <c r="NVO69" s="824"/>
      <c r="NVQ69" s="824"/>
      <c r="NVS69" s="824"/>
      <c r="NVU69" s="824"/>
      <c r="NVW69" s="824"/>
      <c r="NVY69" s="824"/>
      <c r="NWA69" s="824"/>
      <c r="NWC69" s="824"/>
      <c r="NWE69" s="824"/>
      <c r="NWG69" s="824"/>
      <c r="NWI69" s="824"/>
      <c r="NWK69" s="824"/>
      <c r="NWM69" s="824"/>
      <c r="NWO69" s="824"/>
      <c r="NWQ69" s="824"/>
      <c r="NWS69" s="824"/>
      <c r="NWU69" s="824"/>
      <c r="NWW69" s="824"/>
      <c r="NWY69" s="824"/>
      <c r="NXA69" s="824"/>
      <c r="NXC69" s="824"/>
      <c r="NXE69" s="824"/>
      <c r="NXG69" s="824"/>
      <c r="NXI69" s="824"/>
      <c r="NXK69" s="824"/>
      <c r="NXM69" s="824"/>
      <c r="NXO69" s="824"/>
      <c r="NXQ69" s="824"/>
      <c r="NXS69" s="824"/>
      <c r="NXU69" s="824"/>
      <c r="NXW69" s="824"/>
      <c r="NXY69" s="824"/>
      <c r="NYA69" s="824"/>
      <c r="NYC69" s="824"/>
      <c r="NYE69" s="824"/>
      <c r="NYG69" s="824"/>
      <c r="NYI69" s="824"/>
      <c r="NYK69" s="824"/>
      <c r="NYM69" s="824"/>
      <c r="NYO69" s="824"/>
      <c r="NYQ69" s="824"/>
      <c r="NYS69" s="824"/>
      <c r="NYU69" s="824"/>
      <c r="NYW69" s="824"/>
      <c r="NYY69" s="824"/>
      <c r="NZA69" s="824"/>
      <c r="NZC69" s="824"/>
      <c r="NZE69" s="824"/>
      <c r="NZG69" s="824"/>
      <c r="NZI69" s="824"/>
      <c r="NZK69" s="824"/>
      <c r="NZM69" s="824"/>
      <c r="NZO69" s="824"/>
      <c r="NZQ69" s="824"/>
      <c r="NZS69" s="824"/>
      <c r="NZU69" s="824"/>
      <c r="NZW69" s="824"/>
      <c r="NZY69" s="824"/>
      <c r="OAA69" s="824"/>
      <c r="OAC69" s="824"/>
      <c r="OAE69" s="824"/>
      <c r="OAG69" s="824"/>
      <c r="OAI69" s="824"/>
      <c r="OAK69" s="824"/>
      <c r="OAM69" s="824"/>
      <c r="OAO69" s="824"/>
      <c r="OAQ69" s="824"/>
      <c r="OAS69" s="824"/>
      <c r="OAU69" s="824"/>
      <c r="OAW69" s="824"/>
      <c r="OAY69" s="824"/>
      <c r="OBA69" s="824"/>
      <c r="OBC69" s="824"/>
      <c r="OBE69" s="824"/>
      <c r="OBG69" s="824"/>
      <c r="OBI69" s="824"/>
      <c r="OBK69" s="824"/>
      <c r="OBM69" s="824"/>
      <c r="OBO69" s="824"/>
      <c r="OBQ69" s="824"/>
      <c r="OBS69" s="824"/>
      <c r="OBU69" s="824"/>
      <c r="OBW69" s="824"/>
      <c r="OBY69" s="824"/>
      <c r="OCA69" s="824"/>
      <c r="OCC69" s="824"/>
      <c r="OCE69" s="824"/>
      <c r="OCG69" s="824"/>
      <c r="OCI69" s="824"/>
      <c r="OCK69" s="824"/>
      <c r="OCM69" s="824"/>
      <c r="OCO69" s="824"/>
      <c r="OCQ69" s="824"/>
      <c r="OCS69" s="824"/>
      <c r="OCU69" s="824"/>
      <c r="OCW69" s="824"/>
      <c r="OCY69" s="824"/>
      <c r="ODA69" s="824"/>
      <c r="ODC69" s="824"/>
      <c r="ODE69" s="824"/>
      <c r="ODG69" s="824"/>
      <c r="ODI69" s="824"/>
      <c r="ODK69" s="824"/>
      <c r="ODM69" s="824"/>
      <c r="ODO69" s="824"/>
      <c r="ODQ69" s="824"/>
      <c r="ODS69" s="824"/>
      <c r="ODU69" s="824"/>
      <c r="ODW69" s="824"/>
      <c r="ODY69" s="824"/>
      <c r="OEA69" s="824"/>
      <c r="OEC69" s="824"/>
      <c r="OEE69" s="824"/>
      <c r="OEG69" s="824"/>
      <c r="OEI69" s="824"/>
      <c r="OEK69" s="824"/>
      <c r="OEM69" s="824"/>
      <c r="OEO69" s="824"/>
      <c r="OEQ69" s="824"/>
      <c r="OES69" s="824"/>
      <c r="OEU69" s="824"/>
      <c r="OEW69" s="824"/>
      <c r="OEY69" s="824"/>
      <c r="OFA69" s="824"/>
      <c r="OFC69" s="824"/>
      <c r="OFE69" s="824"/>
      <c r="OFG69" s="824"/>
      <c r="OFI69" s="824"/>
      <c r="OFK69" s="824"/>
      <c r="OFM69" s="824"/>
      <c r="OFO69" s="824"/>
      <c r="OFQ69" s="824"/>
      <c r="OFS69" s="824"/>
      <c r="OFU69" s="824"/>
      <c r="OFW69" s="824"/>
      <c r="OFY69" s="824"/>
      <c r="OGA69" s="824"/>
      <c r="OGC69" s="824"/>
      <c r="OGE69" s="824"/>
      <c r="OGG69" s="824"/>
      <c r="OGI69" s="824"/>
      <c r="OGK69" s="824"/>
      <c r="OGM69" s="824"/>
      <c r="OGO69" s="824"/>
      <c r="OGQ69" s="824"/>
      <c r="OGS69" s="824"/>
      <c r="OGU69" s="824"/>
      <c r="OGW69" s="824"/>
      <c r="OGY69" s="824"/>
      <c r="OHA69" s="824"/>
      <c r="OHC69" s="824"/>
      <c r="OHE69" s="824"/>
      <c r="OHG69" s="824"/>
      <c r="OHI69" s="824"/>
      <c r="OHK69" s="824"/>
      <c r="OHM69" s="824"/>
      <c r="OHO69" s="824"/>
      <c r="OHQ69" s="824"/>
      <c r="OHS69" s="824"/>
      <c r="OHU69" s="824"/>
      <c r="OHW69" s="824"/>
      <c r="OHY69" s="824"/>
      <c r="OIA69" s="824"/>
      <c r="OIC69" s="824"/>
      <c r="OIE69" s="824"/>
      <c r="OIG69" s="824"/>
      <c r="OII69" s="824"/>
      <c r="OIK69" s="824"/>
      <c r="OIM69" s="824"/>
      <c r="OIO69" s="824"/>
      <c r="OIQ69" s="824"/>
      <c r="OIS69" s="824"/>
      <c r="OIU69" s="824"/>
      <c r="OIW69" s="824"/>
      <c r="OIY69" s="824"/>
      <c r="OJA69" s="824"/>
      <c r="OJC69" s="824"/>
      <c r="OJE69" s="824"/>
      <c r="OJG69" s="824"/>
      <c r="OJI69" s="824"/>
      <c r="OJK69" s="824"/>
      <c r="OJM69" s="824"/>
      <c r="OJO69" s="824"/>
      <c r="OJQ69" s="824"/>
      <c r="OJS69" s="824"/>
      <c r="OJU69" s="824"/>
      <c r="OJW69" s="824"/>
      <c r="OJY69" s="824"/>
      <c r="OKA69" s="824"/>
      <c r="OKC69" s="824"/>
      <c r="OKE69" s="824"/>
      <c r="OKG69" s="824"/>
      <c r="OKI69" s="824"/>
      <c r="OKK69" s="824"/>
      <c r="OKM69" s="824"/>
      <c r="OKO69" s="824"/>
      <c r="OKQ69" s="824"/>
      <c r="OKS69" s="824"/>
      <c r="OKU69" s="824"/>
      <c r="OKW69" s="824"/>
      <c r="OKY69" s="824"/>
      <c r="OLA69" s="824"/>
      <c r="OLC69" s="824"/>
      <c r="OLE69" s="824"/>
      <c r="OLG69" s="824"/>
      <c r="OLI69" s="824"/>
      <c r="OLK69" s="824"/>
      <c r="OLM69" s="824"/>
      <c r="OLO69" s="824"/>
      <c r="OLQ69" s="824"/>
      <c r="OLS69" s="824"/>
      <c r="OLU69" s="824"/>
      <c r="OLW69" s="824"/>
      <c r="OLY69" s="824"/>
      <c r="OMA69" s="824"/>
      <c r="OMC69" s="824"/>
      <c r="OME69" s="824"/>
      <c r="OMG69" s="824"/>
      <c r="OMI69" s="824"/>
      <c r="OMK69" s="824"/>
      <c r="OMM69" s="824"/>
      <c r="OMO69" s="824"/>
      <c r="OMQ69" s="824"/>
      <c r="OMS69" s="824"/>
      <c r="OMU69" s="824"/>
      <c r="OMW69" s="824"/>
      <c r="OMY69" s="824"/>
      <c r="ONA69" s="824"/>
      <c r="ONC69" s="824"/>
      <c r="ONE69" s="824"/>
      <c r="ONG69" s="824"/>
      <c r="ONI69" s="824"/>
      <c r="ONK69" s="824"/>
      <c r="ONM69" s="824"/>
      <c r="ONO69" s="824"/>
      <c r="ONQ69" s="824"/>
      <c r="ONS69" s="824"/>
      <c r="ONU69" s="824"/>
      <c r="ONW69" s="824"/>
      <c r="ONY69" s="824"/>
      <c r="OOA69" s="824"/>
      <c r="OOC69" s="824"/>
      <c r="OOE69" s="824"/>
      <c r="OOG69" s="824"/>
      <c r="OOI69" s="824"/>
      <c r="OOK69" s="824"/>
      <c r="OOM69" s="824"/>
      <c r="OOO69" s="824"/>
      <c r="OOQ69" s="824"/>
      <c r="OOS69" s="824"/>
      <c r="OOU69" s="824"/>
      <c r="OOW69" s="824"/>
      <c r="OOY69" s="824"/>
      <c r="OPA69" s="824"/>
      <c r="OPC69" s="824"/>
      <c r="OPE69" s="824"/>
      <c r="OPG69" s="824"/>
      <c r="OPI69" s="824"/>
      <c r="OPK69" s="824"/>
      <c r="OPM69" s="824"/>
      <c r="OPO69" s="824"/>
      <c r="OPQ69" s="824"/>
      <c r="OPS69" s="824"/>
      <c r="OPU69" s="824"/>
      <c r="OPW69" s="824"/>
      <c r="OPY69" s="824"/>
      <c r="OQA69" s="824"/>
      <c r="OQC69" s="824"/>
      <c r="OQE69" s="824"/>
      <c r="OQG69" s="824"/>
      <c r="OQI69" s="824"/>
      <c r="OQK69" s="824"/>
      <c r="OQM69" s="824"/>
      <c r="OQO69" s="824"/>
      <c r="OQQ69" s="824"/>
      <c r="OQS69" s="824"/>
      <c r="OQU69" s="824"/>
      <c r="OQW69" s="824"/>
      <c r="OQY69" s="824"/>
      <c r="ORA69" s="824"/>
      <c r="ORC69" s="824"/>
      <c r="ORE69" s="824"/>
      <c r="ORG69" s="824"/>
      <c r="ORI69" s="824"/>
      <c r="ORK69" s="824"/>
      <c r="ORM69" s="824"/>
      <c r="ORO69" s="824"/>
      <c r="ORQ69" s="824"/>
      <c r="ORS69" s="824"/>
      <c r="ORU69" s="824"/>
      <c r="ORW69" s="824"/>
      <c r="ORY69" s="824"/>
      <c r="OSA69" s="824"/>
      <c r="OSC69" s="824"/>
      <c r="OSE69" s="824"/>
      <c r="OSG69" s="824"/>
      <c r="OSI69" s="824"/>
      <c r="OSK69" s="824"/>
      <c r="OSM69" s="824"/>
      <c r="OSO69" s="824"/>
      <c r="OSQ69" s="824"/>
      <c r="OSS69" s="824"/>
      <c r="OSU69" s="824"/>
      <c r="OSW69" s="824"/>
      <c r="OSY69" s="824"/>
      <c r="OTA69" s="824"/>
      <c r="OTC69" s="824"/>
      <c r="OTE69" s="824"/>
      <c r="OTG69" s="824"/>
      <c r="OTI69" s="824"/>
      <c r="OTK69" s="824"/>
      <c r="OTM69" s="824"/>
      <c r="OTO69" s="824"/>
      <c r="OTQ69" s="824"/>
      <c r="OTS69" s="824"/>
      <c r="OTU69" s="824"/>
      <c r="OTW69" s="824"/>
      <c r="OTY69" s="824"/>
      <c r="OUA69" s="824"/>
      <c r="OUC69" s="824"/>
      <c r="OUE69" s="824"/>
      <c r="OUG69" s="824"/>
      <c r="OUI69" s="824"/>
      <c r="OUK69" s="824"/>
      <c r="OUM69" s="824"/>
      <c r="OUO69" s="824"/>
      <c r="OUQ69" s="824"/>
      <c r="OUS69" s="824"/>
      <c r="OUU69" s="824"/>
      <c r="OUW69" s="824"/>
      <c r="OUY69" s="824"/>
      <c r="OVA69" s="824"/>
      <c r="OVC69" s="824"/>
      <c r="OVE69" s="824"/>
      <c r="OVG69" s="824"/>
      <c r="OVI69" s="824"/>
      <c r="OVK69" s="824"/>
      <c r="OVM69" s="824"/>
      <c r="OVO69" s="824"/>
      <c r="OVQ69" s="824"/>
      <c r="OVS69" s="824"/>
      <c r="OVU69" s="824"/>
      <c r="OVW69" s="824"/>
      <c r="OVY69" s="824"/>
      <c r="OWA69" s="824"/>
      <c r="OWC69" s="824"/>
      <c r="OWE69" s="824"/>
      <c r="OWG69" s="824"/>
      <c r="OWI69" s="824"/>
      <c r="OWK69" s="824"/>
      <c r="OWM69" s="824"/>
      <c r="OWO69" s="824"/>
      <c r="OWQ69" s="824"/>
      <c r="OWS69" s="824"/>
      <c r="OWU69" s="824"/>
      <c r="OWW69" s="824"/>
      <c r="OWY69" s="824"/>
      <c r="OXA69" s="824"/>
      <c r="OXC69" s="824"/>
      <c r="OXE69" s="824"/>
      <c r="OXG69" s="824"/>
      <c r="OXI69" s="824"/>
      <c r="OXK69" s="824"/>
      <c r="OXM69" s="824"/>
      <c r="OXO69" s="824"/>
      <c r="OXQ69" s="824"/>
      <c r="OXS69" s="824"/>
      <c r="OXU69" s="824"/>
      <c r="OXW69" s="824"/>
      <c r="OXY69" s="824"/>
      <c r="OYA69" s="824"/>
      <c r="OYC69" s="824"/>
      <c r="OYE69" s="824"/>
      <c r="OYG69" s="824"/>
      <c r="OYI69" s="824"/>
      <c r="OYK69" s="824"/>
      <c r="OYM69" s="824"/>
      <c r="OYO69" s="824"/>
      <c r="OYQ69" s="824"/>
      <c r="OYS69" s="824"/>
      <c r="OYU69" s="824"/>
      <c r="OYW69" s="824"/>
      <c r="OYY69" s="824"/>
      <c r="OZA69" s="824"/>
      <c r="OZC69" s="824"/>
      <c r="OZE69" s="824"/>
      <c r="OZG69" s="824"/>
      <c r="OZI69" s="824"/>
      <c r="OZK69" s="824"/>
      <c r="OZM69" s="824"/>
      <c r="OZO69" s="824"/>
      <c r="OZQ69" s="824"/>
      <c r="OZS69" s="824"/>
      <c r="OZU69" s="824"/>
      <c r="OZW69" s="824"/>
      <c r="OZY69" s="824"/>
      <c r="PAA69" s="824"/>
      <c r="PAC69" s="824"/>
      <c r="PAE69" s="824"/>
      <c r="PAG69" s="824"/>
      <c r="PAI69" s="824"/>
      <c r="PAK69" s="824"/>
      <c r="PAM69" s="824"/>
      <c r="PAO69" s="824"/>
      <c r="PAQ69" s="824"/>
      <c r="PAS69" s="824"/>
      <c r="PAU69" s="824"/>
      <c r="PAW69" s="824"/>
      <c r="PAY69" s="824"/>
      <c r="PBA69" s="824"/>
      <c r="PBC69" s="824"/>
      <c r="PBE69" s="824"/>
      <c r="PBG69" s="824"/>
      <c r="PBI69" s="824"/>
      <c r="PBK69" s="824"/>
      <c r="PBM69" s="824"/>
      <c r="PBO69" s="824"/>
      <c r="PBQ69" s="824"/>
      <c r="PBS69" s="824"/>
      <c r="PBU69" s="824"/>
      <c r="PBW69" s="824"/>
      <c r="PBY69" s="824"/>
      <c r="PCA69" s="824"/>
      <c r="PCC69" s="824"/>
      <c r="PCE69" s="824"/>
      <c r="PCG69" s="824"/>
      <c r="PCI69" s="824"/>
      <c r="PCK69" s="824"/>
      <c r="PCM69" s="824"/>
      <c r="PCO69" s="824"/>
      <c r="PCQ69" s="824"/>
      <c r="PCS69" s="824"/>
      <c r="PCU69" s="824"/>
      <c r="PCW69" s="824"/>
      <c r="PCY69" s="824"/>
      <c r="PDA69" s="824"/>
      <c r="PDC69" s="824"/>
      <c r="PDE69" s="824"/>
      <c r="PDG69" s="824"/>
      <c r="PDI69" s="824"/>
      <c r="PDK69" s="824"/>
      <c r="PDM69" s="824"/>
      <c r="PDO69" s="824"/>
      <c r="PDQ69" s="824"/>
      <c r="PDS69" s="824"/>
      <c r="PDU69" s="824"/>
      <c r="PDW69" s="824"/>
      <c r="PDY69" s="824"/>
      <c r="PEA69" s="824"/>
      <c r="PEC69" s="824"/>
      <c r="PEE69" s="824"/>
      <c r="PEG69" s="824"/>
      <c r="PEI69" s="824"/>
      <c r="PEK69" s="824"/>
      <c r="PEM69" s="824"/>
      <c r="PEO69" s="824"/>
      <c r="PEQ69" s="824"/>
      <c r="PES69" s="824"/>
      <c r="PEU69" s="824"/>
      <c r="PEW69" s="824"/>
      <c r="PEY69" s="824"/>
      <c r="PFA69" s="824"/>
      <c r="PFC69" s="824"/>
      <c r="PFE69" s="824"/>
      <c r="PFG69" s="824"/>
      <c r="PFI69" s="824"/>
      <c r="PFK69" s="824"/>
      <c r="PFM69" s="824"/>
      <c r="PFO69" s="824"/>
      <c r="PFQ69" s="824"/>
      <c r="PFS69" s="824"/>
      <c r="PFU69" s="824"/>
      <c r="PFW69" s="824"/>
      <c r="PFY69" s="824"/>
      <c r="PGA69" s="824"/>
      <c r="PGC69" s="824"/>
      <c r="PGE69" s="824"/>
      <c r="PGG69" s="824"/>
      <c r="PGI69" s="824"/>
      <c r="PGK69" s="824"/>
      <c r="PGM69" s="824"/>
      <c r="PGO69" s="824"/>
      <c r="PGQ69" s="824"/>
      <c r="PGS69" s="824"/>
      <c r="PGU69" s="824"/>
      <c r="PGW69" s="824"/>
      <c r="PGY69" s="824"/>
      <c r="PHA69" s="824"/>
      <c r="PHC69" s="824"/>
      <c r="PHE69" s="824"/>
      <c r="PHG69" s="824"/>
      <c r="PHI69" s="824"/>
      <c r="PHK69" s="824"/>
      <c r="PHM69" s="824"/>
      <c r="PHO69" s="824"/>
      <c r="PHQ69" s="824"/>
      <c r="PHS69" s="824"/>
      <c r="PHU69" s="824"/>
      <c r="PHW69" s="824"/>
      <c r="PHY69" s="824"/>
      <c r="PIA69" s="824"/>
      <c r="PIC69" s="824"/>
      <c r="PIE69" s="824"/>
      <c r="PIG69" s="824"/>
      <c r="PII69" s="824"/>
      <c r="PIK69" s="824"/>
      <c r="PIM69" s="824"/>
      <c r="PIO69" s="824"/>
      <c r="PIQ69" s="824"/>
      <c r="PIS69" s="824"/>
      <c r="PIU69" s="824"/>
      <c r="PIW69" s="824"/>
      <c r="PIY69" s="824"/>
      <c r="PJA69" s="824"/>
      <c r="PJC69" s="824"/>
      <c r="PJE69" s="824"/>
      <c r="PJG69" s="824"/>
      <c r="PJI69" s="824"/>
      <c r="PJK69" s="824"/>
      <c r="PJM69" s="824"/>
      <c r="PJO69" s="824"/>
      <c r="PJQ69" s="824"/>
      <c r="PJS69" s="824"/>
      <c r="PJU69" s="824"/>
      <c r="PJW69" s="824"/>
      <c r="PJY69" s="824"/>
      <c r="PKA69" s="824"/>
      <c r="PKC69" s="824"/>
      <c r="PKE69" s="824"/>
      <c r="PKG69" s="824"/>
      <c r="PKI69" s="824"/>
      <c r="PKK69" s="824"/>
      <c r="PKM69" s="824"/>
      <c r="PKO69" s="824"/>
      <c r="PKQ69" s="824"/>
      <c r="PKS69" s="824"/>
      <c r="PKU69" s="824"/>
      <c r="PKW69" s="824"/>
      <c r="PKY69" s="824"/>
      <c r="PLA69" s="824"/>
      <c r="PLC69" s="824"/>
      <c r="PLE69" s="824"/>
      <c r="PLG69" s="824"/>
      <c r="PLI69" s="824"/>
      <c r="PLK69" s="824"/>
      <c r="PLM69" s="824"/>
      <c r="PLO69" s="824"/>
      <c r="PLQ69" s="824"/>
      <c r="PLS69" s="824"/>
      <c r="PLU69" s="824"/>
      <c r="PLW69" s="824"/>
      <c r="PLY69" s="824"/>
      <c r="PMA69" s="824"/>
      <c r="PMC69" s="824"/>
      <c r="PME69" s="824"/>
      <c r="PMG69" s="824"/>
      <c r="PMI69" s="824"/>
      <c r="PMK69" s="824"/>
      <c r="PMM69" s="824"/>
      <c r="PMO69" s="824"/>
      <c r="PMQ69" s="824"/>
      <c r="PMS69" s="824"/>
      <c r="PMU69" s="824"/>
      <c r="PMW69" s="824"/>
      <c r="PMY69" s="824"/>
      <c r="PNA69" s="824"/>
      <c r="PNC69" s="824"/>
      <c r="PNE69" s="824"/>
      <c r="PNG69" s="824"/>
      <c r="PNI69" s="824"/>
      <c r="PNK69" s="824"/>
      <c r="PNM69" s="824"/>
      <c r="PNO69" s="824"/>
      <c r="PNQ69" s="824"/>
      <c r="PNS69" s="824"/>
      <c r="PNU69" s="824"/>
      <c r="PNW69" s="824"/>
      <c r="PNY69" s="824"/>
      <c r="POA69" s="824"/>
      <c r="POC69" s="824"/>
      <c r="POE69" s="824"/>
      <c r="POG69" s="824"/>
      <c r="POI69" s="824"/>
      <c r="POK69" s="824"/>
      <c r="POM69" s="824"/>
      <c r="POO69" s="824"/>
      <c r="POQ69" s="824"/>
      <c r="POS69" s="824"/>
      <c r="POU69" s="824"/>
      <c r="POW69" s="824"/>
      <c r="POY69" s="824"/>
      <c r="PPA69" s="824"/>
      <c r="PPC69" s="824"/>
      <c r="PPE69" s="824"/>
      <c r="PPG69" s="824"/>
      <c r="PPI69" s="824"/>
      <c r="PPK69" s="824"/>
      <c r="PPM69" s="824"/>
      <c r="PPO69" s="824"/>
      <c r="PPQ69" s="824"/>
      <c r="PPS69" s="824"/>
      <c r="PPU69" s="824"/>
      <c r="PPW69" s="824"/>
      <c r="PPY69" s="824"/>
      <c r="PQA69" s="824"/>
      <c r="PQC69" s="824"/>
      <c r="PQE69" s="824"/>
      <c r="PQG69" s="824"/>
      <c r="PQI69" s="824"/>
      <c r="PQK69" s="824"/>
      <c r="PQM69" s="824"/>
      <c r="PQO69" s="824"/>
      <c r="PQQ69" s="824"/>
      <c r="PQS69" s="824"/>
      <c r="PQU69" s="824"/>
      <c r="PQW69" s="824"/>
      <c r="PQY69" s="824"/>
      <c r="PRA69" s="824"/>
      <c r="PRC69" s="824"/>
      <c r="PRE69" s="824"/>
      <c r="PRG69" s="824"/>
      <c r="PRI69" s="824"/>
      <c r="PRK69" s="824"/>
      <c r="PRM69" s="824"/>
      <c r="PRO69" s="824"/>
      <c r="PRQ69" s="824"/>
      <c r="PRS69" s="824"/>
      <c r="PRU69" s="824"/>
      <c r="PRW69" s="824"/>
      <c r="PRY69" s="824"/>
      <c r="PSA69" s="824"/>
      <c r="PSC69" s="824"/>
      <c r="PSE69" s="824"/>
      <c r="PSG69" s="824"/>
      <c r="PSI69" s="824"/>
      <c r="PSK69" s="824"/>
      <c r="PSM69" s="824"/>
      <c r="PSO69" s="824"/>
      <c r="PSQ69" s="824"/>
      <c r="PSS69" s="824"/>
      <c r="PSU69" s="824"/>
      <c r="PSW69" s="824"/>
      <c r="PSY69" s="824"/>
      <c r="PTA69" s="824"/>
      <c r="PTC69" s="824"/>
      <c r="PTE69" s="824"/>
      <c r="PTG69" s="824"/>
      <c r="PTI69" s="824"/>
      <c r="PTK69" s="824"/>
      <c r="PTM69" s="824"/>
      <c r="PTO69" s="824"/>
      <c r="PTQ69" s="824"/>
      <c r="PTS69" s="824"/>
      <c r="PTU69" s="824"/>
      <c r="PTW69" s="824"/>
      <c r="PTY69" s="824"/>
      <c r="PUA69" s="824"/>
      <c r="PUC69" s="824"/>
      <c r="PUE69" s="824"/>
      <c r="PUG69" s="824"/>
      <c r="PUI69" s="824"/>
      <c r="PUK69" s="824"/>
      <c r="PUM69" s="824"/>
      <c r="PUO69" s="824"/>
      <c r="PUQ69" s="824"/>
      <c r="PUS69" s="824"/>
      <c r="PUU69" s="824"/>
      <c r="PUW69" s="824"/>
      <c r="PUY69" s="824"/>
      <c r="PVA69" s="824"/>
      <c r="PVC69" s="824"/>
      <c r="PVE69" s="824"/>
      <c r="PVG69" s="824"/>
      <c r="PVI69" s="824"/>
      <c r="PVK69" s="824"/>
      <c r="PVM69" s="824"/>
      <c r="PVO69" s="824"/>
      <c r="PVQ69" s="824"/>
      <c r="PVS69" s="824"/>
      <c r="PVU69" s="824"/>
      <c r="PVW69" s="824"/>
      <c r="PVY69" s="824"/>
      <c r="PWA69" s="824"/>
      <c r="PWC69" s="824"/>
      <c r="PWE69" s="824"/>
      <c r="PWG69" s="824"/>
      <c r="PWI69" s="824"/>
      <c r="PWK69" s="824"/>
      <c r="PWM69" s="824"/>
      <c r="PWO69" s="824"/>
      <c r="PWQ69" s="824"/>
      <c r="PWS69" s="824"/>
      <c r="PWU69" s="824"/>
      <c r="PWW69" s="824"/>
      <c r="PWY69" s="824"/>
      <c r="PXA69" s="824"/>
      <c r="PXC69" s="824"/>
      <c r="PXE69" s="824"/>
      <c r="PXG69" s="824"/>
      <c r="PXI69" s="824"/>
      <c r="PXK69" s="824"/>
      <c r="PXM69" s="824"/>
      <c r="PXO69" s="824"/>
      <c r="PXQ69" s="824"/>
      <c r="PXS69" s="824"/>
      <c r="PXU69" s="824"/>
      <c r="PXW69" s="824"/>
      <c r="PXY69" s="824"/>
      <c r="PYA69" s="824"/>
      <c r="PYC69" s="824"/>
      <c r="PYE69" s="824"/>
      <c r="PYG69" s="824"/>
      <c r="PYI69" s="824"/>
      <c r="PYK69" s="824"/>
      <c r="PYM69" s="824"/>
      <c r="PYO69" s="824"/>
      <c r="PYQ69" s="824"/>
      <c r="PYS69" s="824"/>
      <c r="PYU69" s="824"/>
      <c r="PYW69" s="824"/>
      <c r="PYY69" s="824"/>
      <c r="PZA69" s="824"/>
      <c r="PZC69" s="824"/>
      <c r="PZE69" s="824"/>
      <c r="PZG69" s="824"/>
      <c r="PZI69" s="824"/>
      <c r="PZK69" s="824"/>
      <c r="PZM69" s="824"/>
      <c r="PZO69" s="824"/>
      <c r="PZQ69" s="824"/>
      <c r="PZS69" s="824"/>
      <c r="PZU69" s="824"/>
      <c r="PZW69" s="824"/>
      <c r="PZY69" s="824"/>
      <c r="QAA69" s="824"/>
      <c r="QAC69" s="824"/>
      <c r="QAE69" s="824"/>
      <c r="QAG69" s="824"/>
      <c r="QAI69" s="824"/>
      <c r="QAK69" s="824"/>
      <c r="QAM69" s="824"/>
      <c r="QAO69" s="824"/>
      <c r="QAQ69" s="824"/>
      <c r="QAS69" s="824"/>
      <c r="QAU69" s="824"/>
      <c r="QAW69" s="824"/>
      <c r="QAY69" s="824"/>
      <c r="QBA69" s="824"/>
      <c r="QBC69" s="824"/>
      <c r="QBE69" s="824"/>
      <c r="QBG69" s="824"/>
      <c r="QBI69" s="824"/>
      <c r="QBK69" s="824"/>
      <c r="QBM69" s="824"/>
      <c r="QBO69" s="824"/>
      <c r="QBQ69" s="824"/>
      <c r="QBS69" s="824"/>
      <c r="QBU69" s="824"/>
      <c r="QBW69" s="824"/>
      <c r="QBY69" s="824"/>
      <c r="QCA69" s="824"/>
      <c r="QCC69" s="824"/>
      <c r="QCE69" s="824"/>
      <c r="QCG69" s="824"/>
      <c r="QCI69" s="824"/>
      <c r="QCK69" s="824"/>
      <c r="QCM69" s="824"/>
      <c r="QCO69" s="824"/>
      <c r="QCQ69" s="824"/>
      <c r="QCS69" s="824"/>
      <c r="QCU69" s="824"/>
      <c r="QCW69" s="824"/>
      <c r="QCY69" s="824"/>
      <c r="QDA69" s="824"/>
      <c r="QDC69" s="824"/>
      <c r="QDE69" s="824"/>
      <c r="QDG69" s="824"/>
      <c r="QDI69" s="824"/>
      <c r="QDK69" s="824"/>
      <c r="QDM69" s="824"/>
      <c r="QDO69" s="824"/>
      <c r="QDQ69" s="824"/>
      <c r="QDS69" s="824"/>
      <c r="QDU69" s="824"/>
      <c r="QDW69" s="824"/>
      <c r="QDY69" s="824"/>
      <c r="QEA69" s="824"/>
      <c r="QEC69" s="824"/>
      <c r="QEE69" s="824"/>
      <c r="QEG69" s="824"/>
      <c r="QEI69" s="824"/>
      <c r="QEK69" s="824"/>
      <c r="QEM69" s="824"/>
      <c r="QEO69" s="824"/>
      <c r="QEQ69" s="824"/>
      <c r="QES69" s="824"/>
      <c r="QEU69" s="824"/>
      <c r="QEW69" s="824"/>
      <c r="QEY69" s="824"/>
      <c r="QFA69" s="824"/>
      <c r="QFC69" s="824"/>
      <c r="QFE69" s="824"/>
      <c r="QFG69" s="824"/>
      <c r="QFI69" s="824"/>
      <c r="QFK69" s="824"/>
      <c r="QFM69" s="824"/>
      <c r="QFO69" s="824"/>
      <c r="QFQ69" s="824"/>
      <c r="QFS69" s="824"/>
      <c r="QFU69" s="824"/>
      <c r="QFW69" s="824"/>
      <c r="QFY69" s="824"/>
      <c r="QGA69" s="824"/>
      <c r="QGC69" s="824"/>
      <c r="QGE69" s="824"/>
      <c r="QGG69" s="824"/>
      <c r="QGI69" s="824"/>
      <c r="QGK69" s="824"/>
      <c r="QGM69" s="824"/>
      <c r="QGO69" s="824"/>
      <c r="QGQ69" s="824"/>
      <c r="QGS69" s="824"/>
      <c r="QGU69" s="824"/>
      <c r="QGW69" s="824"/>
      <c r="QGY69" s="824"/>
      <c r="QHA69" s="824"/>
      <c r="QHC69" s="824"/>
      <c r="QHE69" s="824"/>
      <c r="QHG69" s="824"/>
      <c r="QHI69" s="824"/>
      <c r="QHK69" s="824"/>
      <c r="QHM69" s="824"/>
      <c r="QHO69" s="824"/>
      <c r="QHQ69" s="824"/>
      <c r="QHS69" s="824"/>
      <c r="QHU69" s="824"/>
      <c r="QHW69" s="824"/>
      <c r="QHY69" s="824"/>
      <c r="QIA69" s="824"/>
      <c r="QIC69" s="824"/>
      <c r="QIE69" s="824"/>
      <c r="QIG69" s="824"/>
      <c r="QII69" s="824"/>
      <c r="QIK69" s="824"/>
      <c r="QIM69" s="824"/>
      <c r="QIO69" s="824"/>
      <c r="QIQ69" s="824"/>
      <c r="QIS69" s="824"/>
      <c r="QIU69" s="824"/>
      <c r="QIW69" s="824"/>
      <c r="QIY69" s="824"/>
      <c r="QJA69" s="824"/>
      <c r="QJC69" s="824"/>
      <c r="QJE69" s="824"/>
      <c r="QJG69" s="824"/>
      <c r="QJI69" s="824"/>
      <c r="QJK69" s="824"/>
      <c r="QJM69" s="824"/>
      <c r="QJO69" s="824"/>
      <c r="QJQ69" s="824"/>
      <c r="QJS69" s="824"/>
      <c r="QJU69" s="824"/>
      <c r="QJW69" s="824"/>
      <c r="QJY69" s="824"/>
      <c r="QKA69" s="824"/>
      <c r="QKC69" s="824"/>
      <c r="QKE69" s="824"/>
      <c r="QKG69" s="824"/>
      <c r="QKI69" s="824"/>
      <c r="QKK69" s="824"/>
      <c r="QKM69" s="824"/>
      <c r="QKO69" s="824"/>
      <c r="QKQ69" s="824"/>
      <c r="QKS69" s="824"/>
      <c r="QKU69" s="824"/>
      <c r="QKW69" s="824"/>
      <c r="QKY69" s="824"/>
      <c r="QLA69" s="824"/>
      <c r="QLC69" s="824"/>
      <c r="QLE69" s="824"/>
      <c r="QLG69" s="824"/>
      <c r="QLI69" s="824"/>
      <c r="QLK69" s="824"/>
      <c r="QLM69" s="824"/>
      <c r="QLO69" s="824"/>
      <c r="QLQ69" s="824"/>
      <c r="QLS69" s="824"/>
      <c r="QLU69" s="824"/>
      <c r="QLW69" s="824"/>
      <c r="QLY69" s="824"/>
      <c r="QMA69" s="824"/>
      <c r="QMC69" s="824"/>
      <c r="QME69" s="824"/>
      <c r="QMG69" s="824"/>
      <c r="QMI69" s="824"/>
      <c r="QMK69" s="824"/>
      <c r="QMM69" s="824"/>
      <c r="QMO69" s="824"/>
      <c r="QMQ69" s="824"/>
      <c r="QMS69" s="824"/>
      <c r="QMU69" s="824"/>
      <c r="QMW69" s="824"/>
      <c r="QMY69" s="824"/>
      <c r="QNA69" s="824"/>
      <c r="QNC69" s="824"/>
      <c r="QNE69" s="824"/>
      <c r="QNG69" s="824"/>
      <c r="QNI69" s="824"/>
      <c r="QNK69" s="824"/>
      <c r="QNM69" s="824"/>
      <c r="QNO69" s="824"/>
      <c r="QNQ69" s="824"/>
      <c r="QNS69" s="824"/>
      <c r="QNU69" s="824"/>
      <c r="QNW69" s="824"/>
      <c r="QNY69" s="824"/>
      <c r="QOA69" s="824"/>
      <c r="QOC69" s="824"/>
      <c r="QOE69" s="824"/>
      <c r="QOG69" s="824"/>
      <c r="QOI69" s="824"/>
      <c r="QOK69" s="824"/>
      <c r="QOM69" s="824"/>
      <c r="QOO69" s="824"/>
      <c r="QOQ69" s="824"/>
      <c r="QOS69" s="824"/>
      <c r="QOU69" s="824"/>
      <c r="QOW69" s="824"/>
      <c r="QOY69" s="824"/>
      <c r="QPA69" s="824"/>
      <c r="QPC69" s="824"/>
      <c r="QPE69" s="824"/>
      <c r="QPG69" s="824"/>
      <c r="QPI69" s="824"/>
      <c r="QPK69" s="824"/>
      <c r="QPM69" s="824"/>
      <c r="QPO69" s="824"/>
      <c r="QPQ69" s="824"/>
      <c r="QPS69" s="824"/>
      <c r="QPU69" s="824"/>
      <c r="QPW69" s="824"/>
      <c r="QPY69" s="824"/>
      <c r="QQA69" s="824"/>
      <c r="QQC69" s="824"/>
      <c r="QQE69" s="824"/>
      <c r="QQG69" s="824"/>
      <c r="QQI69" s="824"/>
      <c r="QQK69" s="824"/>
      <c r="QQM69" s="824"/>
      <c r="QQO69" s="824"/>
      <c r="QQQ69" s="824"/>
      <c r="QQS69" s="824"/>
      <c r="QQU69" s="824"/>
      <c r="QQW69" s="824"/>
      <c r="QQY69" s="824"/>
      <c r="QRA69" s="824"/>
      <c r="QRC69" s="824"/>
      <c r="QRE69" s="824"/>
      <c r="QRG69" s="824"/>
      <c r="QRI69" s="824"/>
      <c r="QRK69" s="824"/>
      <c r="QRM69" s="824"/>
      <c r="QRO69" s="824"/>
      <c r="QRQ69" s="824"/>
      <c r="QRS69" s="824"/>
      <c r="QRU69" s="824"/>
      <c r="QRW69" s="824"/>
      <c r="QRY69" s="824"/>
      <c r="QSA69" s="824"/>
      <c r="QSC69" s="824"/>
      <c r="QSE69" s="824"/>
      <c r="QSG69" s="824"/>
      <c r="QSI69" s="824"/>
      <c r="QSK69" s="824"/>
      <c r="QSM69" s="824"/>
      <c r="QSO69" s="824"/>
      <c r="QSQ69" s="824"/>
      <c r="QSS69" s="824"/>
      <c r="QSU69" s="824"/>
      <c r="QSW69" s="824"/>
      <c r="QSY69" s="824"/>
      <c r="QTA69" s="824"/>
      <c r="QTC69" s="824"/>
      <c r="QTE69" s="824"/>
      <c r="QTG69" s="824"/>
      <c r="QTI69" s="824"/>
      <c r="QTK69" s="824"/>
      <c r="QTM69" s="824"/>
      <c r="QTO69" s="824"/>
      <c r="QTQ69" s="824"/>
      <c r="QTS69" s="824"/>
      <c r="QTU69" s="824"/>
      <c r="QTW69" s="824"/>
      <c r="QTY69" s="824"/>
      <c r="QUA69" s="824"/>
      <c r="QUC69" s="824"/>
      <c r="QUE69" s="824"/>
      <c r="QUG69" s="824"/>
      <c r="QUI69" s="824"/>
      <c r="QUK69" s="824"/>
      <c r="QUM69" s="824"/>
      <c r="QUO69" s="824"/>
      <c r="QUQ69" s="824"/>
      <c r="QUS69" s="824"/>
      <c r="QUU69" s="824"/>
      <c r="QUW69" s="824"/>
      <c r="QUY69" s="824"/>
      <c r="QVA69" s="824"/>
      <c r="QVC69" s="824"/>
      <c r="QVE69" s="824"/>
      <c r="QVG69" s="824"/>
      <c r="QVI69" s="824"/>
      <c r="QVK69" s="824"/>
      <c r="QVM69" s="824"/>
      <c r="QVO69" s="824"/>
      <c r="QVQ69" s="824"/>
      <c r="QVS69" s="824"/>
      <c r="QVU69" s="824"/>
      <c r="QVW69" s="824"/>
      <c r="QVY69" s="824"/>
      <c r="QWA69" s="824"/>
      <c r="QWC69" s="824"/>
      <c r="QWE69" s="824"/>
      <c r="QWG69" s="824"/>
      <c r="QWI69" s="824"/>
      <c r="QWK69" s="824"/>
      <c r="QWM69" s="824"/>
      <c r="QWO69" s="824"/>
      <c r="QWQ69" s="824"/>
      <c r="QWS69" s="824"/>
      <c r="QWU69" s="824"/>
      <c r="QWW69" s="824"/>
      <c r="QWY69" s="824"/>
      <c r="QXA69" s="824"/>
      <c r="QXC69" s="824"/>
      <c r="QXE69" s="824"/>
      <c r="QXG69" s="824"/>
      <c r="QXI69" s="824"/>
      <c r="QXK69" s="824"/>
      <c r="QXM69" s="824"/>
      <c r="QXO69" s="824"/>
      <c r="QXQ69" s="824"/>
      <c r="QXS69" s="824"/>
      <c r="QXU69" s="824"/>
      <c r="QXW69" s="824"/>
      <c r="QXY69" s="824"/>
      <c r="QYA69" s="824"/>
      <c r="QYC69" s="824"/>
      <c r="QYE69" s="824"/>
      <c r="QYG69" s="824"/>
      <c r="QYI69" s="824"/>
      <c r="QYK69" s="824"/>
      <c r="QYM69" s="824"/>
      <c r="QYO69" s="824"/>
      <c r="QYQ69" s="824"/>
      <c r="QYS69" s="824"/>
      <c r="QYU69" s="824"/>
      <c r="QYW69" s="824"/>
      <c r="QYY69" s="824"/>
      <c r="QZA69" s="824"/>
      <c r="QZC69" s="824"/>
      <c r="QZE69" s="824"/>
      <c r="QZG69" s="824"/>
      <c r="QZI69" s="824"/>
      <c r="QZK69" s="824"/>
      <c r="QZM69" s="824"/>
      <c r="QZO69" s="824"/>
      <c r="QZQ69" s="824"/>
      <c r="QZS69" s="824"/>
      <c r="QZU69" s="824"/>
      <c r="QZW69" s="824"/>
      <c r="QZY69" s="824"/>
      <c r="RAA69" s="824"/>
      <c r="RAC69" s="824"/>
      <c r="RAE69" s="824"/>
      <c r="RAG69" s="824"/>
      <c r="RAI69" s="824"/>
      <c r="RAK69" s="824"/>
      <c r="RAM69" s="824"/>
      <c r="RAO69" s="824"/>
      <c r="RAQ69" s="824"/>
      <c r="RAS69" s="824"/>
      <c r="RAU69" s="824"/>
      <c r="RAW69" s="824"/>
      <c r="RAY69" s="824"/>
      <c r="RBA69" s="824"/>
      <c r="RBC69" s="824"/>
      <c r="RBE69" s="824"/>
      <c r="RBG69" s="824"/>
      <c r="RBI69" s="824"/>
      <c r="RBK69" s="824"/>
      <c r="RBM69" s="824"/>
      <c r="RBO69" s="824"/>
      <c r="RBQ69" s="824"/>
      <c r="RBS69" s="824"/>
      <c r="RBU69" s="824"/>
      <c r="RBW69" s="824"/>
      <c r="RBY69" s="824"/>
      <c r="RCA69" s="824"/>
      <c r="RCC69" s="824"/>
      <c r="RCE69" s="824"/>
      <c r="RCG69" s="824"/>
      <c r="RCI69" s="824"/>
      <c r="RCK69" s="824"/>
      <c r="RCM69" s="824"/>
      <c r="RCO69" s="824"/>
      <c r="RCQ69" s="824"/>
      <c r="RCS69" s="824"/>
      <c r="RCU69" s="824"/>
      <c r="RCW69" s="824"/>
      <c r="RCY69" s="824"/>
      <c r="RDA69" s="824"/>
      <c r="RDC69" s="824"/>
      <c r="RDE69" s="824"/>
      <c r="RDG69" s="824"/>
      <c r="RDI69" s="824"/>
      <c r="RDK69" s="824"/>
      <c r="RDM69" s="824"/>
      <c r="RDO69" s="824"/>
      <c r="RDQ69" s="824"/>
      <c r="RDS69" s="824"/>
      <c r="RDU69" s="824"/>
      <c r="RDW69" s="824"/>
      <c r="RDY69" s="824"/>
      <c r="REA69" s="824"/>
      <c r="REC69" s="824"/>
      <c r="REE69" s="824"/>
      <c r="REG69" s="824"/>
      <c r="REI69" s="824"/>
      <c r="REK69" s="824"/>
      <c r="REM69" s="824"/>
      <c r="REO69" s="824"/>
      <c r="REQ69" s="824"/>
      <c r="RES69" s="824"/>
      <c r="REU69" s="824"/>
      <c r="REW69" s="824"/>
      <c r="REY69" s="824"/>
      <c r="RFA69" s="824"/>
      <c r="RFC69" s="824"/>
      <c r="RFE69" s="824"/>
      <c r="RFG69" s="824"/>
      <c r="RFI69" s="824"/>
      <c r="RFK69" s="824"/>
      <c r="RFM69" s="824"/>
      <c r="RFO69" s="824"/>
      <c r="RFQ69" s="824"/>
      <c r="RFS69" s="824"/>
      <c r="RFU69" s="824"/>
      <c r="RFW69" s="824"/>
      <c r="RFY69" s="824"/>
      <c r="RGA69" s="824"/>
      <c r="RGC69" s="824"/>
      <c r="RGE69" s="824"/>
      <c r="RGG69" s="824"/>
      <c r="RGI69" s="824"/>
      <c r="RGK69" s="824"/>
      <c r="RGM69" s="824"/>
      <c r="RGO69" s="824"/>
      <c r="RGQ69" s="824"/>
      <c r="RGS69" s="824"/>
      <c r="RGU69" s="824"/>
      <c r="RGW69" s="824"/>
      <c r="RGY69" s="824"/>
      <c r="RHA69" s="824"/>
      <c r="RHC69" s="824"/>
      <c r="RHE69" s="824"/>
      <c r="RHG69" s="824"/>
      <c r="RHI69" s="824"/>
      <c r="RHK69" s="824"/>
      <c r="RHM69" s="824"/>
      <c r="RHO69" s="824"/>
      <c r="RHQ69" s="824"/>
      <c r="RHS69" s="824"/>
      <c r="RHU69" s="824"/>
      <c r="RHW69" s="824"/>
      <c r="RHY69" s="824"/>
      <c r="RIA69" s="824"/>
      <c r="RIC69" s="824"/>
      <c r="RIE69" s="824"/>
      <c r="RIG69" s="824"/>
      <c r="RII69" s="824"/>
      <c r="RIK69" s="824"/>
      <c r="RIM69" s="824"/>
      <c r="RIO69" s="824"/>
      <c r="RIQ69" s="824"/>
      <c r="RIS69" s="824"/>
      <c r="RIU69" s="824"/>
      <c r="RIW69" s="824"/>
      <c r="RIY69" s="824"/>
      <c r="RJA69" s="824"/>
      <c r="RJC69" s="824"/>
      <c r="RJE69" s="824"/>
      <c r="RJG69" s="824"/>
      <c r="RJI69" s="824"/>
      <c r="RJK69" s="824"/>
      <c r="RJM69" s="824"/>
      <c r="RJO69" s="824"/>
      <c r="RJQ69" s="824"/>
      <c r="RJS69" s="824"/>
      <c r="RJU69" s="824"/>
      <c r="RJW69" s="824"/>
      <c r="RJY69" s="824"/>
      <c r="RKA69" s="824"/>
      <c r="RKC69" s="824"/>
      <c r="RKE69" s="824"/>
      <c r="RKG69" s="824"/>
      <c r="RKI69" s="824"/>
      <c r="RKK69" s="824"/>
      <c r="RKM69" s="824"/>
      <c r="RKO69" s="824"/>
      <c r="RKQ69" s="824"/>
      <c r="RKS69" s="824"/>
      <c r="RKU69" s="824"/>
      <c r="RKW69" s="824"/>
      <c r="RKY69" s="824"/>
      <c r="RLA69" s="824"/>
      <c r="RLC69" s="824"/>
      <c r="RLE69" s="824"/>
      <c r="RLG69" s="824"/>
      <c r="RLI69" s="824"/>
      <c r="RLK69" s="824"/>
      <c r="RLM69" s="824"/>
      <c r="RLO69" s="824"/>
      <c r="RLQ69" s="824"/>
      <c r="RLS69" s="824"/>
      <c r="RLU69" s="824"/>
      <c r="RLW69" s="824"/>
      <c r="RLY69" s="824"/>
      <c r="RMA69" s="824"/>
      <c r="RMC69" s="824"/>
      <c r="RME69" s="824"/>
      <c r="RMG69" s="824"/>
      <c r="RMI69" s="824"/>
      <c r="RMK69" s="824"/>
      <c r="RMM69" s="824"/>
      <c r="RMO69" s="824"/>
      <c r="RMQ69" s="824"/>
      <c r="RMS69" s="824"/>
      <c r="RMU69" s="824"/>
      <c r="RMW69" s="824"/>
      <c r="RMY69" s="824"/>
      <c r="RNA69" s="824"/>
      <c r="RNC69" s="824"/>
      <c r="RNE69" s="824"/>
      <c r="RNG69" s="824"/>
      <c r="RNI69" s="824"/>
      <c r="RNK69" s="824"/>
      <c r="RNM69" s="824"/>
      <c r="RNO69" s="824"/>
      <c r="RNQ69" s="824"/>
      <c r="RNS69" s="824"/>
      <c r="RNU69" s="824"/>
      <c r="RNW69" s="824"/>
      <c r="RNY69" s="824"/>
      <c r="ROA69" s="824"/>
      <c r="ROC69" s="824"/>
      <c r="ROE69" s="824"/>
      <c r="ROG69" s="824"/>
      <c r="ROI69" s="824"/>
      <c r="ROK69" s="824"/>
      <c r="ROM69" s="824"/>
      <c r="ROO69" s="824"/>
      <c r="ROQ69" s="824"/>
      <c r="ROS69" s="824"/>
      <c r="ROU69" s="824"/>
      <c r="ROW69" s="824"/>
      <c r="ROY69" s="824"/>
      <c r="RPA69" s="824"/>
      <c r="RPC69" s="824"/>
      <c r="RPE69" s="824"/>
      <c r="RPG69" s="824"/>
      <c r="RPI69" s="824"/>
      <c r="RPK69" s="824"/>
      <c r="RPM69" s="824"/>
      <c r="RPO69" s="824"/>
      <c r="RPQ69" s="824"/>
      <c r="RPS69" s="824"/>
      <c r="RPU69" s="824"/>
      <c r="RPW69" s="824"/>
      <c r="RPY69" s="824"/>
      <c r="RQA69" s="824"/>
      <c r="RQC69" s="824"/>
      <c r="RQE69" s="824"/>
      <c r="RQG69" s="824"/>
      <c r="RQI69" s="824"/>
      <c r="RQK69" s="824"/>
      <c r="RQM69" s="824"/>
      <c r="RQO69" s="824"/>
      <c r="RQQ69" s="824"/>
      <c r="RQS69" s="824"/>
      <c r="RQU69" s="824"/>
      <c r="RQW69" s="824"/>
      <c r="RQY69" s="824"/>
      <c r="RRA69" s="824"/>
      <c r="RRC69" s="824"/>
      <c r="RRE69" s="824"/>
      <c r="RRG69" s="824"/>
      <c r="RRI69" s="824"/>
      <c r="RRK69" s="824"/>
      <c r="RRM69" s="824"/>
      <c r="RRO69" s="824"/>
      <c r="RRQ69" s="824"/>
      <c r="RRS69" s="824"/>
      <c r="RRU69" s="824"/>
      <c r="RRW69" s="824"/>
      <c r="RRY69" s="824"/>
      <c r="RSA69" s="824"/>
      <c r="RSC69" s="824"/>
      <c r="RSE69" s="824"/>
      <c r="RSG69" s="824"/>
      <c r="RSI69" s="824"/>
      <c r="RSK69" s="824"/>
      <c r="RSM69" s="824"/>
      <c r="RSO69" s="824"/>
      <c r="RSQ69" s="824"/>
      <c r="RSS69" s="824"/>
      <c r="RSU69" s="824"/>
      <c r="RSW69" s="824"/>
      <c r="RSY69" s="824"/>
      <c r="RTA69" s="824"/>
      <c r="RTC69" s="824"/>
      <c r="RTE69" s="824"/>
      <c r="RTG69" s="824"/>
      <c r="RTI69" s="824"/>
      <c r="RTK69" s="824"/>
      <c r="RTM69" s="824"/>
      <c r="RTO69" s="824"/>
      <c r="RTQ69" s="824"/>
      <c r="RTS69" s="824"/>
      <c r="RTU69" s="824"/>
      <c r="RTW69" s="824"/>
      <c r="RTY69" s="824"/>
      <c r="RUA69" s="824"/>
      <c r="RUC69" s="824"/>
      <c r="RUE69" s="824"/>
      <c r="RUG69" s="824"/>
      <c r="RUI69" s="824"/>
      <c r="RUK69" s="824"/>
      <c r="RUM69" s="824"/>
      <c r="RUO69" s="824"/>
      <c r="RUQ69" s="824"/>
      <c r="RUS69" s="824"/>
      <c r="RUU69" s="824"/>
      <c r="RUW69" s="824"/>
      <c r="RUY69" s="824"/>
      <c r="RVA69" s="824"/>
      <c r="RVC69" s="824"/>
      <c r="RVE69" s="824"/>
      <c r="RVG69" s="824"/>
      <c r="RVI69" s="824"/>
      <c r="RVK69" s="824"/>
      <c r="RVM69" s="824"/>
      <c r="RVO69" s="824"/>
      <c r="RVQ69" s="824"/>
      <c r="RVS69" s="824"/>
      <c r="RVU69" s="824"/>
      <c r="RVW69" s="824"/>
      <c r="RVY69" s="824"/>
      <c r="RWA69" s="824"/>
      <c r="RWC69" s="824"/>
      <c r="RWE69" s="824"/>
      <c r="RWG69" s="824"/>
      <c r="RWI69" s="824"/>
      <c r="RWK69" s="824"/>
      <c r="RWM69" s="824"/>
      <c r="RWO69" s="824"/>
      <c r="RWQ69" s="824"/>
      <c r="RWS69" s="824"/>
      <c r="RWU69" s="824"/>
      <c r="RWW69" s="824"/>
      <c r="RWY69" s="824"/>
      <c r="RXA69" s="824"/>
      <c r="RXC69" s="824"/>
      <c r="RXE69" s="824"/>
      <c r="RXG69" s="824"/>
      <c r="RXI69" s="824"/>
      <c r="RXK69" s="824"/>
      <c r="RXM69" s="824"/>
      <c r="RXO69" s="824"/>
      <c r="RXQ69" s="824"/>
      <c r="RXS69" s="824"/>
      <c r="RXU69" s="824"/>
      <c r="RXW69" s="824"/>
      <c r="RXY69" s="824"/>
      <c r="RYA69" s="824"/>
      <c r="RYC69" s="824"/>
      <c r="RYE69" s="824"/>
      <c r="RYG69" s="824"/>
      <c r="RYI69" s="824"/>
      <c r="RYK69" s="824"/>
      <c r="RYM69" s="824"/>
      <c r="RYO69" s="824"/>
      <c r="RYQ69" s="824"/>
      <c r="RYS69" s="824"/>
      <c r="RYU69" s="824"/>
      <c r="RYW69" s="824"/>
      <c r="RYY69" s="824"/>
      <c r="RZA69" s="824"/>
      <c r="RZC69" s="824"/>
      <c r="RZE69" s="824"/>
      <c r="RZG69" s="824"/>
      <c r="RZI69" s="824"/>
      <c r="RZK69" s="824"/>
      <c r="RZM69" s="824"/>
      <c r="RZO69" s="824"/>
      <c r="RZQ69" s="824"/>
      <c r="RZS69" s="824"/>
      <c r="RZU69" s="824"/>
      <c r="RZW69" s="824"/>
      <c r="RZY69" s="824"/>
      <c r="SAA69" s="824"/>
      <c r="SAC69" s="824"/>
      <c r="SAE69" s="824"/>
      <c r="SAG69" s="824"/>
      <c r="SAI69" s="824"/>
      <c r="SAK69" s="824"/>
      <c r="SAM69" s="824"/>
      <c r="SAO69" s="824"/>
      <c r="SAQ69" s="824"/>
      <c r="SAS69" s="824"/>
      <c r="SAU69" s="824"/>
      <c r="SAW69" s="824"/>
      <c r="SAY69" s="824"/>
      <c r="SBA69" s="824"/>
      <c r="SBC69" s="824"/>
      <c r="SBE69" s="824"/>
      <c r="SBG69" s="824"/>
      <c r="SBI69" s="824"/>
      <c r="SBK69" s="824"/>
      <c r="SBM69" s="824"/>
      <c r="SBO69" s="824"/>
      <c r="SBQ69" s="824"/>
      <c r="SBS69" s="824"/>
      <c r="SBU69" s="824"/>
      <c r="SBW69" s="824"/>
      <c r="SBY69" s="824"/>
      <c r="SCA69" s="824"/>
      <c r="SCC69" s="824"/>
      <c r="SCE69" s="824"/>
      <c r="SCG69" s="824"/>
      <c r="SCI69" s="824"/>
      <c r="SCK69" s="824"/>
      <c r="SCM69" s="824"/>
      <c r="SCO69" s="824"/>
      <c r="SCQ69" s="824"/>
      <c r="SCS69" s="824"/>
      <c r="SCU69" s="824"/>
      <c r="SCW69" s="824"/>
      <c r="SCY69" s="824"/>
      <c r="SDA69" s="824"/>
      <c r="SDC69" s="824"/>
      <c r="SDE69" s="824"/>
      <c r="SDG69" s="824"/>
      <c r="SDI69" s="824"/>
      <c r="SDK69" s="824"/>
      <c r="SDM69" s="824"/>
      <c r="SDO69" s="824"/>
      <c r="SDQ69" s="824"/>
      <c r="SDS69" s="824"/>
      <c r="SDU69" s="824"/>
      <c r="SDW69" s="824"/>
      <c r="SDY69" s="824"/>
      <c r="SEA69" s="824"/>
      <c r="SEC69" s="824"/>
      <c r="SEE69" s="824"/>
      <c r="SEG69" s="824"/>
      <c r="SEI69" s="824"/>
      <c r="SEK69" s="824"/>
      <c r="SEM69" s="824"/>
      <c r="SEO69" s="824"/>
      <c r="SEQ69" s="824"/>
      <c r="SES69" s="824"/>
      <c r="SEU69" s="824"/>
      <c r="SEW69" s="824"/>
      <c r="SEY69" s="824"/>
      <c r="SFA69" s="824"/>
      <c r="SFC69" s="824"/>
      <c r="SFE69" s="824"/>
      <c r="SFG69" s="824"/>
      <c r="SFI69" s="824"/>
      <c r="SFK69" s="824"/>
      <c r="SFM69" s="824"/>
      <c r="SFO69" s="824"/>
      <c r="SFQ69" s="824"/>
      <c r="SFS69" s="824"/>
      <c r="SFU69" s="824"/>
      <c r="SFW69" s="824"/>
      <c r="SFY69" s="824"/>
      <c r="SGA69" s="824"/>
      <c r="SGC69" s="824"/>
      <c r="SGE69" s="824"/>
      <c r="SGG69" s="824"/>
      <c r="SGI69" s="824"/>
      <c r="SGK69" s="824"/>
      <c r="SGM69" s="824"/>
      <c r="SGO69" s="824"/>
      <c r="SGQ69" s="824"/>
      <c r="SGS69" s="824"/>
      <c r="SGU69" s="824"/>
      <c r="SGW69" s="824"/>
      <c r="SGY69" s="824"/>
      <c r="SHA69" s="824"/>
      <c r="SHC69" s="824"/>
      <c r="SHE69" s="824"/>
      <c r="SHG69" s="824"/>
      <c r="SHI69" s="824"/>
      <c r="SHK69" s="824"/>
      <c r="SHM69" s="824"/>
      <c r="SHO69" s="824"/>
      <c r="SHQ69" s="824"/>
      <c r="SHS69" s="824"/>
      <c r="SHU69" s="824"/>
      <c r="SHW69" s="824"/>
      <c r="SHY69" s="824"/>
      <c r="SIA69" s="824"/>
      <c r="SIC69" s="824"/>
      <c r="SIE69" s="824"/>
      <c r="SIG69" s="824"/>
      <c r="SII69" s="824"/>
      <c r="SIK69" s="824"/>
      <c r="SIM69" s="824"/>
      <c r="SIO69" s="824"/>
      <c r="SIQ69" s="824"/>
      <c r="SIS69" s="824"/>
      <c r="SIU69" s="824"/>
      <c r="SIW69" s="824"/>
      <c r="SIY69" s="824"/>
      <c r="SJA69" s="824"/>
      <c r="SJC69" s="824"/>
      <c r="SJE69" s="824"/>
      <c r="SJG69" s="824"/>
      <c r="SJI69" s="824"/>
      <c r="SJK69" s="824"/>
      <c r="SJM69" s="824"/>
      <c r="SJO69" s="824"/>
      <c r="SJQ69" s="824"/>
      <c r="SJS69" s="824"/>
      <c r="SJU69" s="824"/>
      <c r="SJW69" s="824"/>
      <c r="SJY69" s="824"/>
      <c r="SKA69" s="824"/>
      <c r="SKC69" s="824"/>
      <c r="SKE69" s="824"/>
      <c r="SKG69" s="824"/>
      <c r="SKI69" s="824"/>
      <c r="SKK69" s="824"/>
      <c r="SKM69" s="824"/>
      <c r="SKO69" s="824"/>
      <c r="SKQ69" s="824"/>
      <c r="SKS69" s="824"/>
      <c r="SKU69" s="824"/>
      <c r="SKW69" s="824"/>
      <c r="SKY69" s="824"/>
      <c r="SLA69" s="824"/>
      <c r="SLC69" s="824"/>
      <c r="SLE69" s="824"/>
      <c r="SLG69" s="824"/>
      <c r="SLI69" s="824"/>
      <c r="SLK69" s="824"/>
      <c r="SLM69" s="824"/>
      <c r="SLO69" s="824"/>
      <c r="SLQ69" s="824"/>
      <c r="SLS69" s="824"/>
      <c r="SLU69" s="824"/>
      <c r="SLW69" s="824"/>
      <c r="SLY69" s="824"/>
      <c r="SMA69" s="824"/>
      <c r="SMC69" s="824"/>
      <c r="SME69" s="824"/>
      <c r="SMG69" s="824"/>
      <c r="SMI69" s="824"/>
      <c r="SMK69" s="824"/>
      <c r="SMM69" s="824"/>
      <c r="SMO69" s="824"/>
      <c r="SMQ69" s="824"/>
      <c r="SMS69" s="824"/>
      <c r="SMU69" s="824"/>
      <c r="SMW69" s="824"/>
      <c r="SMY69" s="824"/>
      <c r="SNA69" s="824"/>
      <c r="SNC69" s="824"/>
      <c r="SNE69" s="824"/>
      <c r="SNG69" s="824"/>
      <c r="SNI69" s="824"/>
      <c r="SNK69" s="824"/>
      <c r="SNM69" s="824"/>
      <c r="SNO69" s="824"/>
      <c r="SNQ69" s="824"/>
      <c r="SNS69" s="824"/>
      <c r="SNU69" s="824"/>
      <c r="SNW69" s="824"/>
      <c r="SNY69" s="824"/>
      <c r="SOA69" s="824"/>
      <c r="SOC69" s="824"/>
      <c r="SOE69" s="824"/>
      <c r="SOG69" s="824"/>
      <c r="SOI69" s="824"/>
      <c r="SOK69" s="824"/>
      <c r="SOM69" s="824"/>
      <c r="SOO69" s="824"/>
      <c r="SOQ69" s="824"/>
      <c r="SOS69" s="824"/>
      <c r="SOU69" s="824"/>
      <c r="SOW69" s="824"/>
      <c r="SOY69" s="824"/>
      <c r="SPA69" s="824"/>
      <c r="SPC69" s="824"/>
      <c r="SPE69" s="824"/>
      <c r="SPG69" s="824"/>
      <c r="SPI69" s="824"/>
      <c r="SPK69" s="824"/>
      <c r="SPM69" s="824"/>
      <c r="SPO69" s="824"/>
      <c r="SPQ69" s="824"/>
      <c r="SPS69" s="824"/>
      <c r="SPU69" s="824"/>
      <c r="SPW69" s="824"/>
      <c r="SPY69" s="824"/>
      <c r="SQA69" s="824"/>
      <c r="SQC69" s="824"/>
      <c r="SQE69" s="824"/>
      <c r="SQG69" s="824"/>
      <c r="SQI69" s="824"/>
      <c r="SQK69" s="824"/>
      <c r="SQM69" s="824"/>
      <c r="SQO69" s="824"/>
      <c r="SQQ69" s="824"/>
      <c r="SQS69" s="824"/>
      <c r="SQU69" s="824"/>
      <c r="SQW69" s="824"/>
      <c r="SQY69" s="824"/>
      <c r="SRA69" s="824"/>
      <c r="SRC69" s="824"/>
      <c r="SRE69" s="824"/>
      <c r="SRG69" s="824"/>
      <c r="SRI69" s="824"/>
      <c r="SRK69" s="824"/>
      <c r="SRM69" s="824"/>
      <c r="SRO69" s="824"/>
      <c r="SRQ69" s="824"/>
      <c r="SRS69" s="824"/>
      <c r="SRU69" s="824"/>
      <c r="SRW69" s="824"/>
      <c r="SRY69" s="824"/>
      <c r="SSA69" s="824"/>
      <c r="SSC69" s="824"/>
      <c r="SSE69" s="824"/>
      <c r="SSG69" s="824"/>
      <c r="SSI69" s="824"/>
      <c r="SSK69" s="824"/>
      <c r="SSM69" s="824"/>
      <c r="SSO69" s="824"/>
      <c r="SSQ69" s="824"/>
      <c r="SSS69" s="824"/>
      <c r="SSU69" s="824"/>
      <c r="SSW69" s="824"/>
      <c r="SSY69" s="824"/>
      <c r="STA69" s="824"/>
      <c r="STC69" s="824"/>
      <c r="STE69" s="824"/>
      <c r="STG69" s="824"/>
      <c r="STI69" s="824"/>
      <c r="STK69" s="824"/>
      <c r="STM69" s="824"/>
      <c r="STO69" s="824"/>
      <c r="STQ69" s="824"/>
      <c r="STS69" s="824"/>
      <c r="STU69" s="824"/>
      <c r="STW69" s="824"/>
      <c r="STY69" s="824"/>
      <c r="SUA69" s="824"/>
      <c r="SUC69" s="824"/>
      <c r="SUE69" s="824"/>
      <c r="SUG69" s="824"/>
      <c r="SUI69" s="824"/>
      <c r="SUK69" s="824"/>
      <c r="SUM69" s="824"/>
      <c r="SUO69" s="824"/>
      <c r="SUQ69" s="824"/>
      <c r="SUS69" s="824"/>
      <c r="SUU69" s="824"/>
      <c r="SUW69" s="824"/>
      <c r="SUY69" s="824"/>
      <c r="SVA69" s="824"/>
      <c r="SVC69" s="824"/>
      <c r="SVE69" s="824"/>
      <c r="SVG69" s="824"/>
      <c r="SVI69" s="824"/>
      <c r="SVK69" s="824"/>
      <c r="SVM69" s="824"/>
      <c r="SVO69" s="824"/>
      <c r="SVQ69" s="824"/>
      <c r="SVS69" s="824"/>
      <c r="SVU69" s="824"/>
      <c r="SVW69" s="824"/>
      <c r="SVY69" s="824"/>
      <c r="SWA69" s="824"/>
      <c r="SWC69" s="824"/>
      <c r="SWE69" s="824"/>
      <c r="SWG69" s="824"/>
      <c r="SWI69" s="824"/>
      <c r="SWK69" s="824"/>
      <c r="SWM69" s="824"/>
      <c r="SWO69" s="824"/>
      <c r="SWQ69" s="824"/>
      <c r="SWS69" s="824"/>
      <c r="SWU69" s="824"/>
      <c r="SWW69" s="824"/>
      <c r="SWY69" s="824"/>
      <c r="SXA69" s="824"/>
      <c r="SXC69" s="824"/>
      <c r="SXE69" s="824"/>
      <c r="SXG69" s="824"/>
      <c r="SXI69" s="824"/>
      <c r="SXK69" s="824"/>
      <c r="SXM69" s="824"/>
      <c r="SXO69" s="824"/>
      <c r="SXQ69" s="824"/>
      <c r="SXS69" s="824"/>
      <c r="SXU69" s="824"/>
      <c r="SXW69" s="824"/>
      <c r="SXY69" s="824"/>
      <c r="SYA69" s="824"/>
      <c r="SYC69" s="824"/>
      <c r="SYE69" s="824"/>
      <c r="SYG69" s="824"/>
      <c r="SYI69" s="824"/>
      <c r="SYK69" s="824"/>
      <c r="SYM69" s="824"/>
      <c r="SYO69" s="824"/>
      <c r="SYQ69" s="824"/>
      <c r="SYS69" s="824"/>
      <c r="SYU69" s="824"/>
      <c r="SYW69" s="824"/>
      <c r="SYY69" s="824"/>
      <c r="SZA69" s="824"/>
      <c r="SZC69" s="824"/>
      <c r="SZE69" s="824"/>
      <c r="SZG69" s="824"/>
      <c r="SZI69" s="824"/>
      <c r="SZK69" s="824"/>
      <c r="SZM69" s="824"/>
      <c r="SZO69" s="824"/>
      <c r="SZQ69" s="824"/>
      <c r="SZS69" s="824"/>
      <c r="SZU69" s="824"/>
      <c r="SZW69" s="824"/>
      <c r="SZY69" s="824"/>
      <c r="TAA69" s="824"/>
      <c r="TAC69" s="824"/>
      <c r="TAE69" s="824"/>
      <c r="TAG69" s="824"/>
      <c r="TAI69" s="824"/>
      <c r="TAK69" s="824"/>
      <c r="TAM69" s="824"/>
      <c r="TAO69" s="824"/>
      <c r="TAQ69" s="824"/>
      <c r="TAS69" s="824"/>
      <c r="TAU69" s="824"/>
      <c r="TAW69" s="824"/>
      <c r="TAY69" s="824"/>
      <c r="TBA69" s="824"/>
      <c r="TBC69" s="824"/>
      <c r="TBE69" s="824"/>
      <c r="TBG69" s="824"/>
      <c r="TBI69" s="824"/>
      <c r="TBK69" s="824"/>
      <c r="TBM69" s="824"/>
      <c r="TBO69" s="824"/>
      <c r="TBQ69" s="824"/>
      <c r="TBS69" s="824"/>
      <c r="TBU69" s="824"/>
      <c r="TBW69" s="824"/>
      <c r="TBY69" s="824"/>
      <c r="TCA69" s="824"/>
      <c r="TCC69" s="824"/>
      <c r="TCE69" s="824"/>
      <c r="TCG69" s="824"/>
      <c r="TCI69" s="824"/>
      <c r="TCK69" s="824"/>
      <c r="TCM69" s="824"/>
      <c r="TCO69" s="824"/>
      <c r="TCQ69" s="824"/>
      <c r="TCS69" s="824"/>
      <c r="TCU69" s="824"/>
      <c r="TCW69" s="824"/>
      <c r="TCY69" s="824"/>
      <c r="TDA69" s="824"/>
      <c r="TDC69" s="824"/>
      <c r="TDE69" s="824"/>
      <c r="TDG69" s="824"/>
      <c r="TDI69" s="824"/>
      <c r="TDK69" s="824"/>
      <c r="TDM69" s="824"/>
      <c r="TDO69" s="824"/>
      <c r="TDQ69" s="824"/>
      <c r="TDS69" s="824"/>
      <c r="TDU69" s="824"/>
      <c r="TDW69" s="824"/>
      <c r="TDY69" s="824"/>
      <c r="TEA69" s="824"/>
      <c r="TEC69" s="824"/>
      <c r="TEE69" s="824"/>
      <c r="TEG69" s="824"/>
      <c r="TEI69" s="824"/>
      <c r="TEK69" s="824"/>
      <c r="TEM69" s="824"/>
      <c r="TEO69" s="824"/>
      <c r="TEQ69" s="824"/>
      <c r="TES69" s="824"/>
      <c r="TEU69" s="824"/>
      <c r="TEW69" s="824"/>
      <c r="TEY69" s="824"/>
      <c r="TFA69" s="824"/>
      <c r="TFC69" s="824"/>
      <c r="TFE69" s="824"/>
      <c r="TFG69" s="824"/>
      <c r="TFI69" s="824"/>
      <c r="TFK69" s="824"/>
      <c r="TFM69" s="824"/>
      <c r="TFO69" s="824"/>
      <c r="TFQ69" s="824"/>
      <c r="TFS69" s="824"/>
      <c r="TFU69" s="824"/>
      <c r="TFW69" s="824"/>
      <c r="TFY69" s="824"/>
      <c r="TGA69" s="824"/>
      <c r="TGC69" s="824"/>
      <c r="TGE69" s="824"/>
      <c r="TGG69" s="824"/>
      <c r="TGI69" s="824"/>
      <c r="TGK69" s="824"/>
      <c r="TGM69" s="824"/>
      <c r="TGO69" s="824"/>
      <c r="TGQ69" s="824"/>
      <c r="TGS69" s="824"/>
      <c r="TGU69" s="824"/>
      <c r="TGW69" s="824"/>
      <c r="TGY69" s="824"/>
      <c r="THA69" s="824"/>
      <c r="THC69" s="824"/>
      <c r="THE69" s="824"/>
      <c r="THG69" s="824"/>
      <c r="THI69" s="824"/>
      <c r="THK69" s="824"/>
      <c r="THM69" s="824"/>
      <c r="THO69" s="824"/>
      <c r="THQ69" s="824"/>
      <c r="THS69" s="824"/>
      <c r="THU69" s="824"/>
      <c r="THW69" s="824"/>
      <c r="THY69" s="824"/>
      <c r="TIA69" s="824"/>
      <c r="TIC69" s="824"/>
      <c r="TIE69" s="824"/>
      <c r="TIG69" s="824"/>
      <c r="TII69" s="824"/>
      <c r="TIK69" s="824"/>
      <c r="TIM69" s="824"/>
      <c r="TIO69" s="824"/>
      <c r="TIQ69" s="824"/>
      <c r="TIS69" s="824"/>
      <c r="TIU69" s="824"/>
      <c r="TIW69" s="824"/>
      <c r="TIY69" s="824"/>
      <c r="TJA69" s="824"/>
      <c r="TJC69" s="824"/>
      <c r="TJE69" s="824"/>
      <c r="TJG69" s="824"/>
      <c r="TJI69" s="824"/>
      <c r="TJK69" s="824"/>
      <c r="TJM69" s="824"/>
      <c r="TJO69" s="824"/>
      <c r="TJQ69" s="824"/>
      <c r="TJS69" s="824"/>
      <c r="TJU69" s="824"/>
      <c r="TJW69" s="824"/>
      <c r="TJY69" s="824"/>
      <c r="TKA69" s="824"/>
      <c r="TKC69" s="824"/>
      <c r="TKE69" s="824"/>
      <c r="TKG69" s="824"/>
      <c r="TKI69" s="824"/>
      <c r="TKK69" s="824"/>
      <c r="TKM69" s="824"/>
      <c r="TKO69" s="824"/>
      <c r="TKQ69" s="824"/>
      <c r="TKS69" s="824"/>
      <c r="TKU69" s="824"/>
      <c r="TKW69" s="824"/>
      <c r="TKY69" s="824"/>
      <c r="TLA69" s="824"/>
      <c r="TLC69" s="824"/>
      <c r="TLE69" s="824"/>
      <c r="TLG69" s="824"/>
      <c r="TLI69" s="824"/>
      <c r="TLK69" s="824"/>
      <c r="TLM69" s="824"/>
      <c r="TLO69" s="824"/>
      <c r="TLQ69" s="824"/>
      <c r="TLS69" s="824"/>
      <c r="TLU69" s="824"/>
      <c r="TLW69" s="824"/>
      <c r="TLY69" s="824"/>
      <c r="TMA69" s="824"/>
      <c r="TMC69" s="824"/>
      <c r="TME69" s="824"/>
      <c r="TMG69" s="824"/>
      <c r="TMI69" s="824"/>
      <c r="TMK69" s="824"/>
      <c r="TMM69" s="824"/>
      <c r="TMO69" s="824"/>
      <c r="TMQ69" s="824"/>
      <c r="TMS69" s="824"/>
      <c r="TMU69" s="824"/>
      <c r="TMW69" s="824"/>
      <c r="TMY69" s="824"/>
      <c r="TNA69" s="824"/>
      <c r="TNC69" s="824"/>
      <c r="TNE69" s="824"/>
      <c r="TNG69" s="824"/>
      <c r="TNI69" s="824"/>
      <c r="TNK69" s="824"/>
      <c r="TNM69" s="824"/>
      <c r="TNO69" s="824"/>
      <c r="TNQ69" s="824"/>
      <c r="TNS69" s="824"/>
      <c r="TNU69" s="824"/>
      <c r="TNW69" s="824"/>
      <c r="TNY69" s="824"/>
      <c r="TOA69" s="824"/>
      <c r="TOC69" s="824"/>
      <c r="TOE69" s="824"/>
      <c r="TOG69" s="824"/>
      <c r="TOI69" s="824"/>
      <c r="TOK69" s="824"/>
      <c r="TOM69" s="824"/>
      <c r="TOO69" s="824"/>
      <c r="TOQ69" s="824"/>
      <c r="TOS69" s="824"/>
      <c r="TOU69" s="824"/>
      <c r="TOW69" s="824"/>
      <c r="TOY69" s="824"/>
      <c r="TPA69" s="824"/>
      <c r="TPC69" s="824"/>
      <c r="TPE69" s="824"/>
      <c r="TPG69" s="824"/>
      <c r="TPI69" s="824"/>
      <c r="TPK69" s="824"/>
      <c r="TPM69" s="824"/>
      <c r="TPO69" s="824"/>
      <c r="TPQ69" s="824"/>
      <c r="TPS69" s="824"/>
      <c r="TPU69" s="824"/>
      <c r="TPW69" s="824"/>
      <c r="TPY69" s="824"/>
      <c r="TQA69" s="824"/>
      <c r="TQC69" s="824"/>
      <c r="TQE69" s="824"/>
      <c r="TQG69" s="824"/>
      <c r="TQI69" s="824"/>
      <c r="TQK69" s="824"/>
      <c r="TQM69" s="824"/>
      <c r="TQO69" s="824"/>
      <c r="TQQ69" s="824"/>
      <c r="TQS69" s="824"/>
      <c r="TQU69" s="824"/>
      <c r="TQW69" s="824"/>
      <c r="TQY69" s="824"/>
      <c r="TRA69" s="824"/>
      <c r="TRC69" s="824"/>
      <c r="TRE69" s="824"/>
      <c r="TRG69" s="824"/>
      <c r="TRI69" s="824"/>
      <c r="TRK69" s="824"/>
      <c r="TRM69" s="824"/>
      <c r="TRO69" s="824"/>
      <c r="TRQ69" s="824"/>
      <c r="TRS69" s="824"/>
      <c r="TRU69" s="824"/>
      <c r="TRW69" s="824"/>
      <c r="TRY69" s="824"/>
      <c r="TSA69" s="824"/>
      <c r="TSC69" s="824"/>
      <c r="TSE69" s="824"/>
      <c r="TSG69" s="824"/>
      <c r="TSI69" s="824"/>
      <c r="TSK69" s="824"/>
      <c r="TSM69" s="824"/>
      <c r="TSO69" s="824"/>
      <c r="TSQ69" s="824"/>
      <c r="TSS69" s="824"/>
      <c r="TSU69" s="824"/>
      <c r="TSW69" s="824"/>
      <c r="TSY69" s="824"/>
      <c r="TTA69" s="824"/>
      <c r="TTC69" s="824"/>
      <c r="TTE69" s="824"/>
      <c r="TTG69" s="824"/>
      <c r="TTI69" s="824"/>
      <c r="TTK69" s="824"/>
      <c r="TTM69" s="824"/>
      <c r="TTO69" s="824"/>
      <c r="TTQ69" s="824"/>
      <c r="TTS69" s="824"/>
      <c r="TTU69" s="824"/>
      <c r="TTW69" s="824"/>
      <c r="TTY69" s="824"/>
      <c r="TUA69" s="824"/>
      <c r="TUC69" s="824"/>
      <c r="TUE69" s="824"/>
      <c r="TUG69" s="824"/>
      <c r="TUI69" s="824"/>
      <c r="TUK69" s="824"/>
      <c r="TUM69" s="824"/>
      <c r="TUO69" s="824"/>
      <c r="TUQ69" s="824"/>
      <c r="TUS69" s="824"/>
      <c r="TUU69" s="824"/>
      <c r="TUW69" s="824"/>
      <c r="TUY69" s="824"/>
      <c r="TVA69" s="824"/>
      <c r="TVC69" s="824"/>
      <c r="TVE69" s="824"/>
      <c r="TVG69" s="824"/>
      <c r="TVI69" s="824"/>
      <c r="TVK69" s="824"/>
      <c r="TVM69" s="824"/>
      <c r="TVO69" s="824"/>
      <c r="TVQ69" s="824"/>
      <c r="TVS69" s="824"/>
      <c r="TVU69" s="824"/>
      <c r="TVW69" s="824"/>
      <c r="TVY69" s="824"/>
      <c r="TWA69" s="824"/>
      <c r="TWC69" s="824"/>
      <c r="TWE69" s="824"/>
      <c r="TWG69" s="824"/>
      <c r="TWI69" s="824"/>
      <c r="TWK69" s="824"/>
      <c r="TWM69" s="824"/>
      <c r="TWO69" s="824"/>
      <c r="TWQ69" s="824"/>
      <c r="TWS69" s="824"/>
      <c r="TWU69" s="824"/>
      <c r="TWW69" s="824"/>
      <c r="TWY69" s="824"/>
      <c r="TXA69" s="824"/>
      <c r="TXC69" s="824"/>
      <c r="TXE69" s="824"/>
      <c r="TXG69" s="824"/>
      <c r="TXI69" s="824"/>
      <c r="TXK69" s="824"/>
      <c r="TXM69" s="824"/>
      <c r="TXO69" s="824"/>
      <c r="TXQ69" s="824"/>
      <c r="TXS69" s="824"/>
      <c r="TXU69" s="824"/>
      <c r="TXW69" s="824"/>
      <c r="TXY69" s="824"/>
      <c r="TYA69" s="824"/>
      <c r="TYC69" s="824"/>
      <c r="TYE69" s="824"/>
      <c r="TYG69" s="824"/>
      <c r="TYI69" s="824"/>
      <c r="TYK69" s="824"/>
      <c r="TYM69" s="824"/>
      <c r="TYO69" s="824"/>
      <c r="TYQ69" s="824"/>
      <c r="TYS69" s="824"/>
      <c r="TYU69" s="824"/>
      <c r="TYW69" s="824"/>
      <c r="TYY69" s="824"/>
      <c r="TZA69" s="824"/>
      <c r="TZC69" s="824"/>
      <c r="TZE69" s="824"/>
      <c r="TZG69" s="824"/>
      <c r="TZI69" s="824"/>
      <c r="TZK69" s="824"/>
      <c r="TZM69" s="824"/>
      <c r="TZO69" s="824"/>
      <c r="TZQ69" s="824"/>
      <c r="TZS69" s="824"/>
      <c r="TZU69" s="824"/>
      <c r="TZW69" s="824"/>
      <c r="TZY69" s="824"/>
      <c r="UAA69" s="824"/>
      <c r="UAC69" s="824"/>
      <c r="UAE69" s="824"/>
      <c r="UAG69" s="824"/>
      <c r="UAI69" s="824"/>
      <c r="UAK69" s="824"/>
      <c r="UAM69" s="824"/>
      <c r="UAO69" s="824"/>
      <c r="UAQ69" s="824"/>
      <c r="UAS69" s="824"/>
      <c r="UAU69" s="824"/>
      <c r="UAW69" s="824"/>
      <c r="UAY69" s="824"/>
      <c r="UBA69" s="824"/>
      <c r="UBC69" s="824"/>
      <c r="UBE69" s="824"/>
      <c r="UBG69" s="824"/>
      <c r="UBI69" s="824"/>
      <c r="UBK69" s="824"/>
      <c r="UBM69" s="824"/>
      <c r="UBO69" s="824"/>
      <c r="UBQ69" s="824"/>
      <c r="UBS69" s="824"/>
      <c r="UBU69" s="824"/>
      <c r="UBW69" s="824"/>
      <c r="UBY69" s="824"/>
      <c r="UCA69" s="824"/>
      <c r="UCC69" s="824"/>
      <c r="UCE69" s="824"/>
      <c r="UCG69" s="824"/>
      <c r="UCI69" s="824"/>
      <c r="UCK69" s="824"/>
      <c r="UCM69" s="824"/>
      <c r="UCO69" s="824"/>
      <c r="UCQ69" s="824"/>
      <c r="UCS69" s="824"/>
      <c r="UCU69" s="824"/>
      <c r="UCW69" s="824"/>
      <c r="UCY69" s="824"/>
      <c r="UDA69" s="824"/>
      <c r="UDC69" s="824"/>
      <c r="UDE69" s="824"/>
      <c r="UDG69" s="824"/>
      <c r="UDI69" s="824"/>
      <c r="UDK69" s="824"/>
      <c r="UDM69" s="824"/>
      <c r="UDO69" s="824"/>
      <c r="UDQ69" s="824"/>
      <c r="UDS69" s="824"/>
      <c r="UDU69" s="824"/>
      <c r="UDW69" s="824"/>
      <c r="UDY69" s="824"/>
      <c r="UEA69" s="824"/>
      <c r="UEC69" s="824"/>
      <c r="UEE69" s="824"/>
      <c r="UEG69" s="824"/>
      <c r="UEI69" s="824"/>
      <c r="UEK69" s="824"/>
      <c r="UEM69" s="824"/>
      <c r="UEO69" s="824"/>
      <c r="UEQ69" s="824"/>
      <c r="UES69" s="824"/>
      <c r="UEU69" s="824"/>
      <c r="UEW69" s="824"/>
      <c r="UEY69" s="824"/>
      <c r="UFA69" s="824"/>
      <c r="UFC69" s="824"/>
      <c r="UFE69" s="824"/>
      <c r="UFG69" s="824"/>
      <c r="UFI69" s="824"/>
      <c r="UFK69" s="824"/>
      <c r="UFM69" s="824"/>
      <c r="UFO69" s="824"/>
      <c r="UFQ69" s="824"/>
      <c r="UFS69" s="824"/>
      <c r="UFU69" s="824"/>
      <c r="UFW69" s="824"/>
      <c r="UFY69" s="824"/>
      <c r="UGA69" s="824"/>
      <c r="UGC69" s="824"/>
      <c r="UGE69" s="824"/>
      <c r="UGG69" s="824"/>
      <c r="UGI69" s="824"/>
      <c r="UGK69" s="824"/>
      <c r="UGM69" s="824"/>
      <c r="UGO69" s="824"/>
      <c r="UGQ69" s="824"/>
      <c r="UGS69" s="824"/>
      <c r="UGU69" s="824"/>
      <c r="UGW69" s="824"/>
      <c r="UGY69" s="824"/>
      <c r="UHA69" s="824"/>
      <c r="UHC69" s="824"/>
      <c r="UHE69" s="824"/>
      <c r="UHG69" s="824"/>
      <c r="UHI69" s="824"/>
      <c r="UHK69" s="824"/>
      <c r="UHM69" s="824"/>
      <c r="UHO69" s="824"/>
      <c r="UHQ69" s="824"/>
      <c r="UHS69" s="824"/>
      <c r="UHU69" s="824"/>
      <c r="UHW69" s="824"/>
      <c r="UHY69" s="824"/>
      <c r="UIA69" s="824"/>
      <c r="UIC69" s="824"/>
      <c r="UIE69" s="824"/>
      <c r="UIG69" s="824"/>
      <c r="UII69" s="824"/>
      <c r="UIK69" s="824"/>
      <c r="UIM69" s="824"/>
      <c r="UIO69" s="824"/>
      <c r="UIQ69" s="824"/>
      <c r="UIS69" s="824"/>
      <c r="UIU69" s="824"/>
      <c r="UIW69" s="824"/>
      <c r="UIY69" s="824"/>
      <c r="UJA69" s="824"/>
      <c r="UJC69" s="824"/>
      <c r="UJE69" s="824"/>
      <c r="UJG69" s="824"/>
      <c r="UJI69" s="824"/>
      <c r="UJK69" s="824"/>
      <c r="UJM69" s="824"/>
      <c r="UJO69" s="824"/>
      <c r="UJQ69" s="824"/>
      <c r="UJS69" s="824"/>
      <c r="UJU69" s="824"/>
      <c r="UJW69" s="824"/>
      <c r="UJY69" s="824"/>
      <c r="UKA69" s="824"/>
      <c r="UKC69" s="824"/>
      <c r="UKE69" s="824"/>
      <c r="UKG69" s="824"/>
      <c r="UKI69" s="824"/>
      <c r="UKK69" s="824"/>
      <c r="UKM69" s="824"/>
      <c r="UKO69" s="824"/>
      <c r="UKQ69" s="824"/>
      <c r="UKS69" s="824"/>
      <c r="UKU69" s="824"/>
      <c r="UKW69" s="824"/>
      <c r="UKY69" s="824"/>
      <c r="ULA69" s="824"/>
      <c r="ULC69" s="824"/>
      <c r="ULE69" s="824"/>
      <c r="ULG69" s="824"/>
      <c r="ULI69" s="824"/>
      <c r="ULK69" s="824"/>
      <c r="ULM69" s="824"/>
      <c r="ULO69" s="824"/>
      <c r="ULQ69" s="824"/>
      <c r="ULS69" s="824"/>
      <c r="ULU69" s="824"/>
      <c r="ULW69" s="824"/>
      <c r="ULY69" s="824"/>
      <c r="UMA69" s="824"/>
      <c r="UMC69" s="824"/>
      <c r="UME69" s="824"/>
      <c r="UMG69" s="824"/>
      <c r="UMI69" s="824"/>
      <c r="UMK69" s="824"/>
      <c r="UMM69" s="824"/>
      <c r="UMO69" s="824"/>
      <c r="UMQ69" s="824"/>
      <c r="UMS69" s="824"/>
      <c r="UMU69" s="824"/>
      <c r="UMW69" s="824"/>
      <c r="UMY69" s="824"/>
      <c r="UNA69" s="824"/>
      <c r="UNC69" s="824"/>
      <c r="UNE69" s="824"/>
      <c r="UNG69" s="824"/>
      <c r="UNI69" s="824"/>
      <c r="UNK69" s="824"/>
      <c r="UNM69" s="824"/>
      <c r="UNO69" s="824"/>
      <c r="UNQ69" s="824"/>
      <c r="UNS69" s="824"/>
      <c r="UNU69" s="824"/>
      <c r="UNW69" s="824"/>
      <c r="UNY69" s="824"/>
      <c r="UOA69" s="824"/>
      <c r="UOC69" s="824"/>
      <c r="UOE69" s="824"/>
      <c r="UOG69" s="824"/>
      <c r="UOI69" s="824"/>
      <c r="UOK69" s="824"/>
      <c r="UOM69" s="824"/>
      <c r="UOO69" s="824"/>
      <c r="UOQ69" s="824"/>
      <c r="UOS69" s="824"/>
      <c r="UOU69" s="824"/>
      <c r="UOW69" s="824"/>
      <c r="UOY69" s="824"/>
      <c r="UPA69" s="824"/>
      <c r="UPC69" s="824"/>
      <c r="UPE69" s="824"/>
      <c r="UPG69" s="824"/>
      <c r="UPI69" s="824"/>
      <c r="UPK69" s="824"/>
      <c r="UPM69" s="824"/>
      <c r="UPO69" s="824"/>
      <c r="UPQ69" s="824"/>
      <c r="UPS69" s="824"/>
      <c r="UPU69" s="824"/>
      <c r="UPW69" s="824"/>
      <c r="UPY69" s="824"/>
      <c r="UQA69" s="824"/>
      <c r="UQC69" s="824"/>
      <c r="UQE69" s="824"/>
      <c r="UQG69" s="824"/>
      <c r="UQI69" s="824"/>
      <c r="UQK69" s="824"/>
      <c r="UQM69" s="824"/>
      <c r="UQO69" s="824"/>
      <c r="UQQ69" s="824"/>
      <c r="UQS69" s="824"/>
      <c r="UQU69" s="824"/>
      <c r="UQW69" s="824"/>
      <c r="UQY69" s="824"/>
      <c r="URA69" s="824"/>
      <c r="URC69" s="824"/>
      <c r="URE69" s="824"/>
      <c r="URG69" s="824"/>
      <c r="URI69" s="824"/>
      <c r="URK69" s="824"/>
      <c r="URM69" s="824"/>
      <c r="URO69" s="824"/>
      <c r="URQ69" s="824"/>
      <c r="URS69" s="824"/>
      <c r="URU69" s="824"/>
      <c r="URW69" s="824"/>
      <c r="URY69" s="824"/>
      <c r="USA69" s="824"/>
      <c r="USC69" s="824"/>
      <c r="USE69" s="824"/>
      <c r="USG69" s="824"/>
      <c r="USI69" s="824"/>
      <c r="USK69" s="824"/>
      <c r="USM69" s="824"/>
      <c r="USO69" s="824"/>
      <c r="USQ69" s="824"/>
      <c r="USS69" s="824"/>
      <c r="USU69" s="824"/>
      <c r="USW69" s="824"/>
      <c r="USY69" s="824"/>
      <c r="UTA69" s="824"/>
      <c r="UTC69" s="824"/>
      <c r="UTE69" s="824"/>
      <c r="UTG69" s="824"/>
      <c r="UTI69" s="824"/>
      <c r="UTK69" s="824"/>
      <c r="UTM69" s="824"/>
      <c r="UTO69" s="824"/>
      <c r="UTQ69" s="824"/>
      <c r="UTS69" s="824"/>
      <c r="UTU69" s="824"/>
      <c r="UTW69" s="824"/>
      <c r="UTY69" s="824"/>
      <c r="UUA69" s="824"/>
      <c r="UUC69" s="824"/>
      <c r="UUE69" s="824"/>
      <c r="UUG69" s="824"/>
      <c r="UUI69" s="824"/>
      <c r="UUK69" s="824"/>
      <c r="UUM69" s="824"/>
      <c r="UUO69" s="824"/>
      <c r="UUQ69" s="824"/>
      <c r="UUS69" s="824"/>
      <c r="UUU69" s="824"/>
      <c r="UUW69" s="824"/>
      <c r="UUY69" s="824"/>
      <c r="UVA69" s="824"/>
      <c r="UVC69" s="824"/>
      <c r="UVE69" s="824"/>
      <c r="UVG69" s="824"/>
      <c r="UVI69" s="824"/>
      <c r="UVK69" s="824"/>
      <c r="UVM69" s="824"/>
      <c r="UVO69" s="824"/>
      <c r="UVQ69" s="824"/>
      <c r="UVS69" s="824"/>
      <c r="UVU69" s="824"/>
      <c r="UVW69" s="824"/>
      <c r="UVY69" s="824"/>
      <c r="UWA69" s="824"/>
      <c r="UWC69" s="824"/>
      <c r="UWE69" s="824"/>
      <c r="UWG69" s="824"/>
      <c r="UWI69" s="824"/>
      <c r="UWK69" s="824"/>
      <c r="UWM69" s="824"/>
      <c r="UWO69" s="824"/>
      <c r="UWQ69" s="824"/>
      <c r="UWS69" s="824"/>
      <c r="UWU69" s="824"/>
      <c r="UWW69" s="824"/>
      <c r="UWY69" s="824"/>
      <c r="UXA69" s="824"/>
      <c r="UXC69" s="824"/>
      <c r="UXE69" s="824"/>
      <c r="UXG69" s="824"/>
      <c r="UXI69" s="824"/>
      <c r="UXK69" s="824"/>
      <c r="UXM69" s="824"/>
      <c r="UXO69" s="824"/>
      <c r="UXQ69" s="824"/>
      <c r="UXS69" s="824"/>
      <c r="UXU69" s="824"/>
      <c r="UXW69" s="824"/>
      <c r="UXY69" s="824"/>
      <c r="UYA69" s="824"/>
      <c r="UYC69" s="824"/>
      <c r="UYE69" s="824"/>
      <c r="UYG69" s="824"/>
      <c r="UYI69" s="824"/>
      <c r="UYK69" s="824"/>
      <c r="UYM69" s="824"/>
      <c r="UYO69" s="824"/>
      <c r="UYQ69" s="824"/>
      <c r="UYS69" s="824"/>
      <c r="UYU69" s="824"/>
      <c r="UYW69" s="824"/>
      <c r="UYY69" s="824"/>
      <c r="UZA69" s="824"/>
      <c r="UZC69" s="824"/>
      <c r="UZE69" s="824"/>
      <c r="UZG69" s="824"/>
      <c r="UZI69" s="824"/>
      <c r="UZK69" s="824"/>
      <c r="UZM69" s="824"/>
      <c r="UZO69" s="824"/>
      <c r="UZQ69" s="824"/>
      <c r="UZS69" s="824"/>
      <c r="UZU69" s="824"/>
      <c r="UZW69" s="824"/>
      <c r="UZY69" s="824"/>
      <c r="VAA69" s="824"/>
      <c r="VAC69" s="824"/>
      <c r="VAE69" s="824"/>
      <c r="VAG69" s="824"/>
      <c r="VAI69" s="824"/>
      <c r="VAK69" s="824"/>
      <c r="VAM69" s="824"/>
      <c r="VAO69" s="824"/>
      <c r="VAQ69" s="824"/>
      <c r="VAS69" s="824"/>
      <c r="VAU69" s="824"/>
      <c r="VAW69" s="824"/>
      <c r="VAY69" s="824"/>
      <c r="VBA69" s="824"/>
      <c r="VBC69" s="824"/>
      <c r="VBE69" s="824"/>
      <c r="VBG69" s="824"/>
      <c r="VBI69" s="824"/>
      <c r="VBK69" s="824"/>
      <c r="VBM69" s="824"/>
      <c r="VBO69" s="824"/>
      <c r="VBQ69" s="824"/>
      <c r="VBS69" s="824"/>
      <c r="VBU69" s="824"/>
      <c r="VBW69" s="824"/>
      <c r="VBY69" s="824"/>
      <c r="VCA69" s="824"/>
      <c r="VCC69" s="824"/>
      <c r="VCE69" s="824"/>
      <c r="VCG69" s="824"/>
      <c r="VCI69" s="824"/>
      <c r="VCK69" s="824"/>
      <c r="VCM69" s="824"/>
      <c r="VCO69" s="824"/>
      <c r="VCQ69" s="824"/>
      <c r="VCS69" s="824"/>
      <c r="VCU69" s="824"/>
      <c r="VCW69" s="824"/>
      <c r="VCY69" s="824"/>
      <c r="VDA69" s="824"/>
      <c r="VDC69" s="824"/>
      <c r="VDE69" s="824"/>
      <c r="VDG69" s="824"/>
      <c r="VDI69" s="824"/>
      <c r="VDK69" s="824"/>
      <c r="VDM69" s="824"/>
      <c r="VDO69" s="824"/>
      <c r="VDQ69" s="824"/>
      <c r="VDS69" s="824"/>
      <c r="VDU69" s="824"/>
      <c r="VDW69" s="824"/>
      <c r="VDY69" s="824"/>
      <c r="VEA69" s="824"/>
      <c r="VEC69" s="824"/>
      <c r="VEE69" s="824"/>
      <c r="VEG69" s="824"/>
      <c r="VEI69" s="824"/>
      <c r="VEK69" s="824"/>
      <c r="VEM69" s="824"/>
      <c r="VEO69" s="824"/>
      <c r="VEQ69" s="824"/>
      <c r="VES69" s="824"/>
      <c r="VEU69" s="824"/>
      <c r="VEW69" s="824"/>
      <c r="VEY69" s="824"/>
      <c r="VFA69" s="824"/>
      <c r="VFC69" s="824"/>
      <c r="VFE69" s="824"/>
      <c r="VFG69" s="824"/>
      <c r="VFI69" s="824"/>
      <c r="VFK69" s="824"/>
      <c r="VFM69" s="824"/>
      <c r="VFO69" s="824"/>
      <c r="VFQ69" s="824"/>
      <c r="VFS69" s="824"/>
      <c r="VFU69" s="824"/>
      <c r="VFW69" s="824"/>
      <c r="VFY69" s="824"/>
      <c r="VGA69" s="824"/>
      <c r="VGC69" s="824"/>
      <c r="VGE69" s="824"/>
      <c r="VGG69" s="824"/>
      <c r="VGI69" s="824"/>
      <c r="VGK69" s="824"/>
      <c r="VGM69" s="824"/>
      <c r="VGO69" s="824"/>
      <c r="VGQ69" s="824"/>
      <c r="VGS69" s="824"/>
      <c r="VGU69" s="824"/>
      <c r="VGW69" s="824"/>
      <c r="VGY69" s="824"/>
      <c r="VHA69" s="824"/>
      <c r="VHC69" s="824"/>
      <c r="VHE69" s="824"/>
      <c r="VHG69" s="824"/>
      <c r="VHI69" s="824"/>
      <c r="VHK69" s="824"/>
      <c r="VHM69" s="824"/>
      <c r="VHO69" s="824"/>
      <c r="VHQ69" s="824"/>
      <c r="VHS69" s="824"/>
      <c r="VHU69" s="824"/>
      <c r="VHW69" s="824"/>
      <c r="VHY69" s="824"/>
      <c r="VIA69" s="824"/>
      <c r="VIC69" s="824"/>
      <c r="VIE69" s="824"/>
      <c r="VIG69" s="824"/>
      <c r="VII69" s="824"/>
      <c r="VIK69" s="824"/>
      <c r="VIM69" s="824"/>
      <c r="VIO69" s="824"/>
      <c r="VIQ69" s="824"/>
      <c r="VIS69" s="824"/>
      <c r="VIU69" s="824"/>
      <c r="VIW69" s="824"/>
      <c r="VIY69" s="824"/>
      <c r="VJA69" s="824"/>
      <c r="VJC69" s="824"/>
      <c r="VJE69" s="824"/>
      <c r="VJG69" s="824"/>
      <c r="VJI69" s="824"/>
      <c r="VJK69" s="824"/>
      <c r="VJM69" s="824"/>
      <c r="VJO69" s="824"/>
      <c r="VJQ69" s="824"/>
      <c r="VJS69" s="824"/>
      <c r="VJU69" s="824"/>
      <c r="VJW69" s="824"/>
      <c r="VJY69" s="824"/>
      <c r="VKA69" s="824"/>
      <c r="VKC69" s="824"/>
      <c r="VKE69" s="824"/>
      <c r="VKG69" s="824"/>
      <c r="VKI69" s="824"/>
      <c r="VKK69" s="824"/>
      <c r="VKM69" s="824"/>
      <c r="VKO69" s="824"/>
      <c r="VKQ69" s="824"/>
      <c r="VKS69" s="824"/>
      <c r="VKU69" s="824"/>
      <c r="VKW69" s="824"/>
      <c r="VKY69" s="824"/>
      <c r="VLA69" s="824"/>
      <c r="VLC69" s="824"/>
      <c r="VLE69" s="824"/>
      <c r="VLG69" s="824"/>
      <c r="VLI69" s="824"/>
      <c r="VLK69" s="824"/>
      <c r="VLM69" s="824"/>
      <c r="VLO69" s="824"/>
      <c r="VLQ69" s="824"/>
      <c r="VLS69" s="824"/>
      <c r="VLU69" s="824"/>
      <c r="VLW69" s="824"/>
      <c r="VLY69" s="824"/>
      <c r="VMA69" s="824"/>
      <c r="VMC69" s="824"/>
      <c r="VME69" s="824"/>
      <c r="VMG69" s="824"/>
      <c r="VMI69" s="824"/>
      <c r="VMK69" s="824"/>
      <c r="VMM69" s="824"/>
      <c r="VMO69" s="824"/>
      <c r="VMQ69" s="824"/>
      <c r="VMS69" s="824"/>
      <c r="VMU69" s="824"/>
      <c r="VMW69" s="824"/>
      <c r="VMY69" s="824"/>
      <c r="VNA69" s="824"/>
      <c r="VNC69" s="824"/>
      <c r="VNE69" s="824"/>
      <c r="VNG69" s="824"/>
      <c r="VNI69" s="824"/>
      <c r="VNK69" s="824"/>
      <c r="VNM69" s="824"/>
      <c r="VNO69" s="824"/>
      <c r="VNQ69" s="824"/>
      <c r="VNS69" s="824"/>
      <c r="VNU69" s="824"/>
      <c r="VNW69" s="824"/>
      <c r="VNY69" s="824"/>
      <c r="VOA69" s="824"/>
      <c r="VOC69" s="824"/>
      <c r="VOE69" s="824"/>
      <c r="VOG69" s="824"/>
      <c r="VOI69" s="824"/>
      <c r="VOK69" s="824"/>
      <c r="VOM69" s="824"/>
      <c r="VOO69" s="824"/>
      <c r="VOQ69" s="824"/>
      <c r="VOS69" s="824"/>
      <c r="VOU69" s="824"/>
      <c r="VOW69" s="824"/>
      <c r="VOY69" s="824"/>
      <c r="VPA69" s="824"/>
      <c r="VPC69" s="824"/>
      <c r="VPE69" s="824"/>
      <c r="VPG69" s="824"/>
      <c r="VPI69" s="824"/>
      <c r="VPK69" s="824"/>
      <c r="VPM69" s="824"/>
      <c r="VPO69" s="824"/>
      <c r="VPQ69" s="824"/>
      <c r="VPS69" s="824"/>
      <c r="VPU69" s="824"/>
      <c r="VPW69" s="824"/>
      <c r="VPY69" s="824"/>
      <c r="VQA69" s="824"/>
      <c r="VQC69" s="824"/>
      <c r="VQE69" s="824"/>
      <c r="VQG69" s="824"/>
      <c r="VQI69" s="824"/>
      <c r="VQK69" s="824"/>
      <c r="VQM69" s="824"/>
      <c r="VQO69" s="824"/>
      <c r="VQQ69" s="824"/>
      <c r="VQS69" s="824"/>
      <c r="VQU69" s="824"/>
      <c r="VQW69" s="824"/>
      <c r="VQY69" s="824"/>
      <c r="VRA69" s="824"/>
      <c r="VRC69" s="824"/>
      <c r="VRE69" s="824"/>
      <c r="VRG69" s="824"/>
      <c r="VRI69" s="824"/>
      <c r="VRK69" s="824"/>
      <c r="VRM69" s="824"/>
      <c r="VRO69" s="824"/>
      <c r="VRQ69" s="824"/>
      <c r="VRS69" s="824"/>
      <c r="VRU69" s="824"/>
      <c r="VRW69" s="824"/>
      <c r="VRY69" s="824"/>
      <c r="VSA69" s="824"/>
      <c r="VSC69" s="824"/>
      <c r="VSE69" s="824"/>
      <c r="VSG69" s="824"/>
      <c r="VSI69" s="824"/>
      <c r="VSK69" s="824"/>
      <c r="VSM69" s="824"/>
      <c r="VSO69" s="824"/>
      <c r="VSQ69" s="824"/>
      <c r="VSS69" s="824"/>
      <c r="VSU69" s="824"/>
      <c r="VSW69" s="824"/>
      <c r="VSY69" s="824"/>
      <c r="VTA69" s="824"/>
      <c r="VTC69" s="824"/>
      <c r="VTE69" s="824"/>
      <c r="VTG69" s="824"/>
      <c r="VTI69" s="824"/>
      <c r="VTK69" s="824"/>
      <c r="VTM69" s="824"/>
      <c r="VTO69" s="824"/>
      <c r="VTQ69" s="824"/>
      <c r="VTS69" s="824"/>
      <c r="VTU69" s="824"/>
      <c r="VTW69" s="824"/>
      <c r="VTY69" s="824"/>
      <c r="VUA69" s="824"/>
      <c r="VUC69" s="824"/>
      <c r="VUE69" s="824"/>
      <c r="VUG69" s="824"/>
      <c r="VUI69" s="824"/>
      <c r="VUK69" s="824"/>
      <c r="VUM69" s="824"/>
      <c r="VUO69" s="824"/>
      <c r="VUQ69" s="824"/>
      <c r="VUS69" s="824"/>
      <c r="VUU69" s="824"/>
      <c r="VUW69" s="824"/>
      <c r="VUY69" s="824"/>
      <c r="VVA69" s="824"/>
      <c r="VVC69" s="824"/>
      <c r="VVE69" s="824"/>
      <c r="VVG69" s="824"/>
      <c r="VVI69" s="824"/>
      <c r="VVK69" s="824"/>
      <c r="VVM69" s="824"/>
      <c r="VVO69" s="824"/>
      <c r="VVQ69" s="824"/>
      <c r="VVS69" s="824"/>
      <c r="VVU69" s="824"/>
      <c r="VVW69" s="824"/>
      <c r="VVY69" s="824"/>
      <c r="VWA69" s="824"/>
      <c r="VWC69" s="824"/>
      <c r="VWE69" s="824"/>
      <c r="VWG69" s="824"/>
      <c r="VWI69" s="824"/>
      <c r="VWK69" s="824"/>
      <c r="VWM69" s="824"/>
      <c r="VWO69" s="824"/>
      <c r="VWQ69" s="824"/>
      <c r="VWS69" s="824"/>
      <c r="VWU69" s="824"/>
      <c r="VWW69" s="824"/>
      <c r="VWY69" s="824"/>
      <c r="VXA69" s="824"/>
      <c r="VXC69" s="824"/>
      <c r="VXE69" s="824"/>
      <c r="VXG69" s="824"/>
      <c r="VXI69" s="824"/>
      <c r="VXK69" s="824"/>
      <c r="VXM69" s="824"/>
      <c r="VXO69" s="824"/>
      <c r="VXQ69" s="824"/>
      <c r="VXS69" s="824"/>
      <c r="VXU69" s="824"/>
      <c r="VXW69" s="824"/>
      <c r="VXY69" s="824"/>
      <c r="VYA69" s="824"/>
      <c r="VYC69" s="824"/>
      <c r="VYE69" s="824"/>
      <c r="VYG69" s="824"/>
      <c r="VYI69" s="824"/>
      <c r="VYK69" s="824"/>
      <c r="VYM69" s="824"/>
      <c r="VYO69" s="824"/>
      <c r="VYQ69" s="824"/>
      <c r="VYS69" s="824"/>
      <c r="VYU69" s="824"/>
      <c r="VYW69" s="824"/>
      <c r="VYY69" s="824"/>
      <c r="VZA69" s="824"/>
      <c r="VZC69" s="824"/>
      <c r="VZE69" s="824"/>
      <c r="VZG69" s="824"/>
      <c r="VZI69" s="824"/>
      <c r="VZK69" s="824"/>
      <c r="VZM69" s="824"/>
      <c r="VZO69" s="824"/>
      <c r="VZQ69" s="824"/>
      <c r="VZS69" s="824"/>
      <c r="VZU69" s="824"/>
      <c r="VZW69" s="824"/>
      <c r="VZY69" s="824"/>
      <c r="WAA69" s="824"/>
      <c r="WAC69" s="824"/>
      <c r="WAE69" s="824"/>
      <c r="WAG69" s="824"/>
      <c r="WAI69" s="824"/>
      <c r="WAK69" s="824"/>
      <c r="WAM69" s="824"/>
      <c r="WAO69" s="824"/>
      <c r="WAQ69" s="824"/>
      <c r="WAS69" s="824"/>
      <c r="WAU69" s="824"/>
      <c r="WAW69" s="824"/>
      <c r="WAY69" s="824"/>
      <c r="WBA69" s="824"/>
      <c r="WBC69" s="824"/>
      <c r="WBE69" s="824"/>
      <c r="WBG69" s="824"/>
      <c r="WBI69" s="824"/>
      <c r="WBK69" s="824"/>
      <c r="WBM69" s="824"/>
      <c r="WBO69" s="824"/>
      <c r="WBQ69" s="824"/>
      <c r="WBS69" s="824"/>
      <c r="WBU69" s="824"/>
      <c r="WBW69" s="824"/>
      <c r="WBY69" s="824"/>
      <c r="WCA69" s="824"/>
      <c r="WCC69" s="824"/>
      <c r="WCE69" s="824"/>
      <c r="WCG69" s="824"/>
      <c r="WCI69" s="824"/>
      <c r="WCK69" s="824"/>
      <c r="WCM69" s="824"/>
      <c r="WCO69" s="824"/>
      <c r="WCQ69" s="824"/>
      <c r="WCS69" s="824"/>
      <c r="WCU69" s="824"/>
      <c r="WCW69" s="824"/>
      <c r="WCY69" s="824"/>
      <c r="WDA69" s="824"/>
      <c r="WDC69" s="824"/>
      <c r="WDE69" s="824"/>
      <c r="WDG69" s="824"/>
      <c r="WDI69" s="824"/>
      <c r="WDK69" s="824"/>
      <c r="WDM69" s="824"/>
      <c r="WDO69" s="824"/>
      <c r="WDQ69" s="824"/>
      <c r="WDS69" s="824"/>
      <c r="WDU69" s="824"/>
      <c r="WDW69" s="824"/>
      <c r="WDY69" s="824"/>
      <c r="WEA69" s="824"/>
      <c r="WEC69" s="824"/>
      <c r="WEE69" s="824"/>
      <c r="WEG69" s="824"/>
      <c r="WEI69" s="824"/>
      <c r="WEK69" s="824"/>
      <c r="WEM69" s="824"/>
      <c r="WEO69" s="824"/>
      <c r="WEQ69" s="824"/>
      <c r="WES69" s="824"/>
      <c r="WEU69" s="824"/>
      <c r="WEW69" s="824"/>
      <c r="WEY69" s="824"/>
      <c r="WFA69" s="824"/>
      <c r="WFC69" s="824"/>
      <c r="WFE69" s="824"/>
      <c r="WFG69" s="824"/>
      <c r="WFI69" s="824"/>
      <c r="WFK69" s="824"/>
      <c r="WFM69" s="824"/>
      <c r="WFO69" s="824"/>
      <c r="WFQ69" s="824"/>
      <c r="WFS69" s="824"/>
      <c r="WFU69" s="824"/>
      <c r="WFW69" s="824"/>
      <c r="WFY69" s="824"/>
      <c r="WGA69" s="824"/>
      <c r="WGC69" s="824"/>
      <c r="WGE69" s="824"/>
      <c r="WGG69" s="824"/>
      <c r="WGI69" s="824"/>
      <c r="WGK69" s="824"/>
      <c r="WGM69" s="824"/>
      <c r="WGO69" s="824"/>
      <c r="WGQ69" s="824"/>
      <c r="WGS69" s="824"/>
      <c r="WGU69" s="824"/>
      <c r="WGW69" s="824"/>
      <c r="WGY69" s="824"/>
      <c r="WHA69" s="824"/>
      <c r="WHC69" s="824"/>
      <c r="WHE69" s="824"/>
      <c r="WHG69" s="824"/>
      <c r="WHI69" s="824"/>
      <c r="WHK69" s="824"/>
      <c r="WHM69" s="824"/>
      <c r="WHO69" s="824"/>
      <c r="WHQ69" s="824"/>
      <c r="WHS69" s="824"/>
      <c r="WHU69" s="824"/>
      <c r="WHW69" s="824"/>
      <c r="WHY69" s="824"/>
      <c r="WIA69" s="824"/>
      <c r="WIC69" s="824"/>
      <c r="WIE69" s="824"/>
      <c r="WIG69" s="824"/>
      <c r="WII69" s="824"/>
      <c r="WIK69" s="824"/>
      <c r="WIM69" s="824"/>
      <c r="WIO69" s="824"/>
      <c r="WIQ69" s="824"/>
      <c r="WIS69" s="824"/>
      <c r="WIU69" s="824"/>
      <c r="WIW69" s="824"/>
      <c r="WIY69" s="824"/>
      <c r="WJA69" s="824"/>
      <c r="WJC69" s="824"/>
      <c r="WJE69" s="824"/>
      <c r="WJG69" s="824"/>
      <c r="WJI69" s="824"/>
      <c r="WJK69" s="824"/>
      <c r="WJM69" s="824"/>
      <c r="WJO69" s="824"/>
      <c r="WJQ69" s="824"/>
      <c r="WJS69" s="824"/>
      <c r="WJU69" s="824"/>
      <c r="WJW69" s="824"/>
      <c r="WJY69" s="824"/>
      <c r="WKA69" s="824"/>
      <c r="WKC69" s="824"/>
      <c r="WKE69" s="824"/>
      <c r="WKG69" s="824"/>
      <c r="WKI69" s="824"/>
      <c r="WKK69" s="824"/>
      <c r="WKM69" s="824"/>
      <c r="WKO69" s="824"/>
      <c r="WKQ69" s="824"/>
      <c r="WKS69" s="824"/>
      <c r="WKU69" s="824"/>
      <c r="WKW69" s="824"/>
      <c r="WKY69" s="824"/>
      <c r="WLA69" s="824"/>
      <c r="WLC69" s="824"/>
      <c r="WLE69" s="824"/>
      <c r="WLG69" s="824"/>
      <c r="WLI69" s="824"/>
      <c r="WLK69" s="824"/>
      <c r="WLM69" s="824"/>
      <c r="WLO69" s="824"/>
      <c r="WLQ69" s="824"/>
      <c r="WLS69" s="824"/>
      <c r="WLU69" s="824"/>
      <c r="WLW69" s="824"/>
      <c r="WLY69" s="824"/>
      <c r="WMA69" s="824"/>
      <c r="WMC69" s="824"/>
      <c r="WME69" s="824"/>
      <c r="WMG69" s="824"/>
      <c r="WMI69" s="824"/>
      <c r="WMK69" s="824"/>
      <c r="WMM69" s="824"/>
      <c r="WMO69" s="824"/>
      <c r="WMQ69" s="824"/>
      <c r="WMS69" s="824"/>
      <c r="WMU69" s="824"/>
      <c r="WMW69" s="824"/>
      <c r="WMY69" s="824"/>
      <c r="WNA69" s="824"/>
      <c r="WNC69" s="824"/>
      <c r="WNE69" s="824"/>
      <c r="WNG69" s="824"/>
      <c r="WNI69" s="824"/>
      <c r="WNK69" s="824"/>
      <c r="WNM69" s="824"/>
      <c r="WNO69" s="824"/>
      <c r="WNQ69" s="824"/>
      <c r="WNS69" s="824"/>
      <c r="WNU69" s="824"/>
      <c r="WNW69" s="824"/>
      <c r="WNY69" s="824"/>
      <c r="WOA69" s="824"/>
      <c r="WOC69" s="824"/>
      <c r="WOE69" s="824"/>
      <c r="WOG69" s="824"/>
      <c r="WOI69" s="824"/>
      <c r="WOK69" s="824"/>
      <c r="WOM69" s="824"/>
      <c r="WOO69" s="824"/>
      <c r="WOQ69" s="824"/>
      <c r="WOS69" s="824"/>
      <c r="WOU69" s="824"/>
      <c r="WOW69" s="824"/>
      <c r="WOY69" s="824"/>
      <c r="WPA69" s="824"/>
      <c r="WPC69" s="824"/>
      <c r="WPE69" s="824"/>
      <c r="WPG69" s="824"/>
      <c r="WPI69" s="824"/>
      <c r="WPK69" s="824"/>
      <c r="WPM69" s="824"/>
      <c r="WPO69" s="824"/>
      <c r="WPQ69" s="824"/>
      <c r="WPS69" s="824"/>
      <c r="WPU69" s="824"/>
      <c r="WPW69" s="824"/>
      <c r="WPY69" s="824"/>
      <c r="WQA69" s="824"/>
      <c r="WQC69" s="824"/>
      <c r="WQE69" s="824"/>
      <c r="WQG69" s="824"/>
      <c r="WQI69" s="824"/>
      <c r="WQK69" s="824"/>
      <c r="WQM69" s="824"/>
      <c r="WQO69" s="824"/>
      <c r="WQQ69" s="824"/>
      <c r="WQS69" s="824"/>
      <c r="WQU69" s="824"/>
      <c r="WQW69" s="824"/>
      <c r="WQY69" s="824"/>
      <c r="WRA69" s="824"/>
      <c r="WRC69" s="824"/>
      <c r="WRE69" s="824"/>
      <c r="WRG69" s="824"/>
      <c r="WRI69" s="824"/>
      <c r="WRK69" s="824"/>
      <c r="WRM69" s="824"/>
      <c r="WRO69" s="824"/>
      <c r="WRQ69" s="824"/>
      <c r="WRS69" s="824"/>
      <c r="WRU69" s="824"/>
      <c r="WRW69" s="824"/>
      <c r="WRY69" s="824"/>
      <c r="WSA69" s="824"/>
      <c r="WSC69" s="824"/>
      <c r="WSE69" s="824"/>
      <c r="WSG69" s="824"/>
      <c r="WSI69" s="824"/>
      <c r="WSK69" s="824"/>
      <c r="WSM69" s="824"/>
      <c r="WSO69" s="824"/>
      <c r="WSQ69" s="824"/>
      <c r="WSS69" s="824"/>
      <c r="WSU69" s="824"/>
      <c r="WSW69" s="824"/>
      <c r="WSY69" s="824"/>
      <c r="WTA69" s="824"/>
      <c r="WTC69" s="824"/>
      <c r="WTE69" s="824"/>
      <c r="WTG69" s="824"/>
      <c r="WTI69" s="824"/>
      <c r="WTK69" s="824"/>
      <c r="WTM69" s="824"/>
      <c r="WTO69" s="824"/>
      <c r="WTQ69" s="824"/>
      <c r="WTS69" s="824"/>
      <c r="WTU69" s="824"/>
      <c r="WTW69" s="824"/>
      <c r="WTY69" s="824"/>
      <c r="WUA69" s="824"/>
      <c r="WUC69" s="824"/>
      <c r="WUE69" s="824"/>
      <c r="WUG69" s="824"/>
      <c r="WUI69" s="824"/>
      <c r="WUK69" s="824"/>
      <c r="WUM69" s="824"/>
      <c r="WUO69" s="824"/>
      <c r="WUQ69" s="824"/>
      <c r="WUS69" s="824"/>
      <c r="WUU69" s="824"/>
      <c r="WUW69" s="824"/>
      <c r="WUY69" s="824"/>
      <c r="WVA69" s="824"/>
      <c r="WVC69" s="824"/>
      <c r="WVE69" s="824"/>
      <c r="WVG69" s="824"/>
      <c r="WVI69" s="824"/>
      <c r="WVK69" s="824"/>
      <c r="WVM69" s="824"/>
      <c r="WVO69" s="824"/>
      <c r="WVQ69" s="824"/>
      <c r="WVS69" s="824"/>
      <c r="WVU69" s="824"/>
      <c r="WVW69" s="824"/>
      <c r="WVY69" s="824"/>
      <c r="WWA69" s="824"/>
      <c r="WWC69" s="824"/>
      <c r="WWE69" s="824"/>
      <c r="WWG69" s="824"/>
      <c r="WWI69" s="824"/>
      <c r="WWK69" s="824"/>
      <c r="WWM69" s="824"/>
      <c r="WWO69" s="824"/>
      <c r="WWQ69" s="824"/>
      <c r="WWS69" s="824"/>
      <c r="WWU69" s="824"/>
      <c r="WWW69" s="824"/>
      <c r="WWY69" s="824"/>
      <c r="WXA69" s="824"/>
      <c r="WXC69" s="824"/>
      <c r="WXE69" s="824"/>
      <c r="WXG69" s="824"/>
      <c r="WXI69" s="824"/>
      <c r="WXK69" s="824"/>
      <c r="WXM69" s="824"/>
      <c r="WXO69" s="824"/>
      <c r="WXQ69" s="824"/>
      <c r="WXS69" s="824"/>
      <c r="WXU69" s="824"/>
      <c r="WXW69" s="824"/>
      <c r="WXY69" s="824"/>
      <c r="WYA69" s="824"/>
      <c r="WYC69" s="824"/>
      <c r="WYE69" s="824"/>
      <c r="WYG69" s="824"/>
      <c r="WYI69" s="824"/>
      <c r="WYK69" s="824"/>
      <c r="WYM69" s="824"/>
      <c r="WYO69" s="824"/>
      <c r="WYQ69" s="824"/>
      <c r="WYS69" s="824"/>
      <c r="WYU69" s="824"/>
      <c r="WYW69" s="824"/>
      <c r="WYY69" s="824"/>
      <c r="WZA69" s="824"/>
      <c r="WZC69" s="824"/>
      <c r="WZE69" s="824"/>
      <c r="WZG69" s="824"/>
      <c r="WZI69" s="824"/>
      <c r="WZK69" s="824"/>
      <c r="WZM69" s="824"/>
      <c r="WZO69" s="824"/>
      <c r="WZQ69" s="824"/>
      <c r="WZS69" s="824"/>
      <c r="WZU69" s="824"/>
      <c r="WZW69" s="824"/>
      <c r="WZY69" s="824"/>
      <c r="XAA69" s="824"/>
      <c r="XAC69" s="824"/>
      <c r="XAE69" s="824"/>
      <c r="XAG69" s="824"/>
      <c r="XAI69" s="824"/>
      <c r="XAK69" s="824"/>
      <c r="XAM69" s="824"/>
      <c r="XAO69" s="824"/>
      <c r="XAQ69" s="824"/>
      <c r="XAS69" s="824"/>
      <c r="XAU69" s="824"/>
      <c r="XAW69" s="824"/>
      <c r="XAY69" s="824"/>
      <c r="XBA69" s="824"/>
      <c r="XBC69" s="824"/>
      <c r="XBE69" s="824"/>
      <c r="XBG69" s="824"/>
      <c r="XBI69" s="824"/>
      <c r="XBK69" s="824"/>
      <c r="XBM69" s="824"/>
      <c r="XBO69" s="824"/>
      <c r="XBQ69" s="824"/>
      <c r="XBS69" s="824"/>
      <c r="XBU69" s="824"/>
      <c r="XBW69" s="824"/>
      <c r="XBY69" s="824"/>
      <c r="XCA69" s="824"/>
      <c r="XCC69" s="824"/>
      <c r="XCE69" s="824"/>
      <c r="XCG69" s="824"/>
      <c r="XCI69" s="824"/>
      <c r="XCK69" s="824"/>
      <c r="XCM69" s="824"/>
      <c r="XCO69" s="824"/>
      <c r="XCQ69" s="824"/>
      <c r="XCS69" s="824"/>
      <c r="XCU69" s="824"/>
      <c r="XCW69" s="824"/>
      <c r="XCY69" s="824"/>
      <c r="XDA69" s="824"/>
      <c r="XDC69" s="824"/>
      <c r="XDE69" s="824"/>
      <c r="XDG69" s="824"/>
      <c r="XDI69" s="824"/>
      <c r="XDK69" s="824"/>
      <c r="XDM69" s="824"/>
      <c r="XDO69" s="824"/>
      <c r="XDQ69" s="824"/>
      <c r="XDS69" s="824"/>
      <c r="XDU69" s="824"/>
      <c r="XDW69" s="824"/>
      <c r="XDY69" s="824"/>
      <c r="XEA69" s="824"/>
      <c r="XEC69" s="824"/>
      <c r="XEE69" s="824"/>
      <c r="XEG69" s="824"/>
      <c r="XEI69" s="824"/>
      <c r="XEK69" s="824"/>
      <c r="XEM69" s="824"/>
      <c r="XEO69" s="824"/>
      <c r="XEQ69" s="824"/>
      <c r="XES69" s="824"/>
      <c r="XEU69" s="824"/>
      <c r="XEW69" s="824"/>
      <c r="XEY69" s="824"/>
      <c r="XFA69" s="824"/>
      <c r="XFC69" s="824"/>
    </row>
    <row r="70" spans="1:1023 1025:2047 2049:3071 3073:4095 4097:5119 5121:6143 6145:7167 7169:8191 8193:9215 9217:10239 10241:11263 11265:12287 12289:13311 13313:14335 14337:15359 15361:16383">
      <c r="A70" s="821"/>
      <c r="B70" s="380"/>
      <c r="C70" s="382"/>
      <c r="D70" s="380"/>
      <c r="E70" s="374"/>
      <c r="F70" s="374"/>
      <c r="G70" s="374"/>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74"/>
      <c r="AH70" s="380"/>
      <c r="AI70" s="380"/>
    </row>
    <row r="71" spans="1:1023 1025:2047 2049:3071 3073:4095 4097:5119 5121:6143 6145:7167 7169:8191 8193:9215 9217:10239 10241:11263 11265:12287 12289:13311 13313:14335 14337:15359 15361:16383">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1023 1025:2047 2049:3071 3073:4095 4097:5119 5121:6143 6145:7167 7169:8191 8193:9215 9217:10239 10241:11263 11265:12287 12289:13311 13313:14335 14337:15359 15361:16383">
      <c r="A72" s="821"/>
      <c r="B72" s="380"/>
      <c r="C72" s="382"/>
      <c r="D72" s="380"/>
      <c r="E72" s="374"/>
      <c r="F72" s="380"/>
      <c r="G72" s="374"/>
      <c r="H72" s="380"/>
      <c r="I72" s="374"/>
      <c r="J72" s="380"/>
      <c r="K72" s="374"/>
      <c r="L72" s="380"/>
      <c r="M72" s="374"/>
      <c r="N72" s="380"/>
      <c r="O72" s="374"/>
      <c r="P72" s="380"/>
      <c r="Q72" s="374"/>
      <c r="R72" s="380"/>
      <c r="S72" s="374"/>
      <c r="T72" s="380"/>
      <c r="U72" s="374"/>
      <c r="V72" s="380"/>
      <c r="W72" s="374"/>
      <c r="X72" s="380"/>
      <c r="Y72" s="374"/>
      <c r="Z72" s="380"/>
      <c r="AA72" s="374"/>
      <c r="AB72" s="380"/>
      <c r="AC72" s="374"/>
      <c r="AD72" s="380"/>
      <c r="AE72" s="374"/>
      <c r="AF72" s="380"/>
      <c r="AG72" s="374"/>
      <c r="AH72" s="380"/>
      <c r="AI72" s="380"/>
    </row>
    <row r="73" spans="1:1023 1025:2047 2049:3071 3073:4095 4097:5119 5121:6143 6145:7167 7169:8191 8193:9215 9217:10239 10241:11263 11265:12287 12289:13311 13313:14335 14337:15359 15361:16383">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1023 1025:2047 2049:3071 3073:4095 4097:5119 5121:6143 6145:7167 7169:8191 8193:9215 9217:10239 10241:11263 11265:12287 12289:13311 13313:14335 14337:15359 15361:16383">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1023 1025:2047 2049:3071 3073:4095 4097:5119 5121:6143 6145:7167 7169:8191 8193:9215 9217:10239 10241:11263 11265:12287 12289:13311 13313:14335 14337:15359 15361:16383">
      <c r="A75" s="380" t="s">
        <v>1353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1023 1025:2047 2049:3071 3073:4095 4097:5119 5121:6143 6145:7167 7169:8191 8193:9215 9217:10239 10241:11263 11265:12287 12289:13311 13313:14335 14337:15359 15361:16383">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1023 1025:2047 2049:3071 3073:4095 4097:5119 5121:6143 6145:7167 7169:8191 8193:9215 9217:10239 10241:11263 11265:12287 12289:13311 13313:14335 14337:15359 15361:16383" ht="30" customHeight="1">
      <c r="A77" s="1962" t="s">
        <v>1090</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1023 1025:2047 2049:3071 3073:4095 4097:5119 5121:6143 6145:7167 7169:8191 8193:9215 9217:10239 10241:11263 11265:12287 12289:13311 13313:14335 14337:15359 15361:16383"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1023 1025:2047 2049:3071 3073:4095 4097:5119 5121:6143 6145:7167 7169:8191 8193:9215 9217:10239 10241:11263 11265:12287 12289:13311 13313:14335 14337:15359 15361:16383" hidden="1">
      <c r="C79" s="382"/>
    </row>
    <row r="80" spans="1:1023 1025:2047 2049:3071 3073:4095 4097:5119 5121:6143 6145:7167 7169:8191 8193:9215 9217:10239 10241:11263 11265:12287 12289:13311 13313:14335 14337:15359 15361:16383"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3" t="s">
        <v>1161</v>
      </c>
      <c r="B1" s="1963"/>
      <c r="C1" s="1963"/>
      <c r="D1" s="1963"/>
      <c r="E1" s="1963"/>
      <c r="F1" s="1963"/>
      <c r="G1" s="1963"/>
      <c r="H1" s="1963"/>
      <c r="I1" s="1963"/>
    </row>
    <row r="2" spans="1:9">
      <c r="A2" s="599"/>
      <c r="B2" s="599"/>
      <c r="C2" s="599"/>
      <c r="D2" s="599"/>
      <c r="E2" s="599"/>
      <c r="F2" s="599"/>
      <c r="G2" s="599"/>
      <c r="H2" s="599"/>
      <c r="I2" s="599"/>
    </row>
    <row r="3" spans="1:9" ht="105" customHeight="1">
      <c r="A3" s="600" t="s">
        <v>1154</v>
      </c>
      <c r="B3" s="600" t="s">
        <v>1354</v>
      </c>
      <c r="C3" s="469" t="s">
        <v>1156</v>
      </c>
      <c r="D3" s="599"/>
      <c r="E3" s="469" t="s">
        <v>1157</v>
      </c>
      <c r="F3" s="600" t="s">
        <v>1158</v>
      </c>
      <c r="G3" s="601"/>
      <c r="H3" s="600" t="s">
        <v>1155</v>
      </c>
      <c r="I3" s="600" t="s">
        <v>1159</v>
      </c>
    </row>
    <row r="4" spans="1:9">
      <c r="A4" s="602" t="str">
        <f>Application!$B695</f>
        <v>1 Bedroom</v>
      </c>
      <c r="B4" s="943">
        <f>Application!$G695</f>
        <v>18</v>
      </c>
      <c r="C4" s="602">
        <f>Application!$O695</f>
        <v>1006</v>
      </c>
      <c r="D4" s="603"/>
      <c r="E4" s="941">
        <v>2723</v>
      </c>
      <c r="F4" s="602">
        <f>$E4*$B4</f>
        <v>49014</v>
      </c>
      <c r="G4" s="603"/>
      <c r="H4" s="602">
        <f>IF($E4=0,0,MAX($E4-$C4,0))</f>
        <v>1717</v>
      </c>
      <c r="I4" s="602">
        <f>IF($H4=0,0,($H4*$B4))</f>
        <v>30906</v>
      </c>
    </row>
    <row r="5" spans="1:9">
      <c r="A5" s="602" t="str">
        <f>Application!$B696</f>
        <v>2 Bedrooms</v>
      </c>
      <c r="B5" s="942">
        <f>Application!$G696</f>
        <v>2</v>
      </c>
      <c r="C5" s="602">
        <f>Application!$O696</f>
        <v>1189</v>
      </c>
      <c r="D5" s="603"/>
      <c r="E5" s="941"/>
      <c r="F5" s="602">
        <f t="shared" ref="F5:F38" si="0">$E5*$B5</f>
        <v>0</v>
      </c>
      <c r="G5" s="603"/>
      <c r="H5" s="602">
        <f t="shared" ref="H5:H38" si="1">IF($E5=0,0,MAX($E5-$C5,0))</f>
        <v>0</v>
      </c>
      <c r="I5" s="602">
        <f t="shared" ref="I5:I38" si="2">IF($H5=0,0,($H5*$B5))</f>
        <v>0</v>
      </c>
    </row>
    <row r="6" spans="1:9">
      <c r="A6" s="602" t="str">
        <f>Application!$B697</f>
        <v>3 Bedrooms</v>
      </c>
      <c r="B6" s="942">
        <f>Application!$G697</f>
        <v>2</v>
      </c>
      <c r="C6" s="602">
        <f>Application!$O697</f>
        <v>1351</v>
      </c>
      <c r="D6" s="603"/>
      <c r="E6" s="941"/>
      <c r="F6" s="602">
        <f t="shared" si="0"/>
        <v>0</v>
      </c>
      <c r="G6" s="603"/>
      <c r="H6" s="602">
        <f t="shared" si="1"/>
        <v>0</v>
      </c>
      <c r="I6" s="602">
        <f t="shared" si="2"/>
        <v>0</v>
      </c>
    </row>
    <row r="7" spans="1:9">
      <c r="A7" s="602" t="str">
        <f>Application!$B698</f>
        <v>2 Bedrooms</v>
      </c>
      <c r="B7" s="942">
        <f>Application!$G698</f>
        <v>7</v>
      </c>
      <c r="C7" s="602">
        <f>Application!$O698</f>
        <v>2952</v>
      </c>
      <c r="D7" s="603"/>
      <c r="E7" s="941"/>
      <c r="F7" s="602">
        <f t="shared" si="0"/>
        <v>0</v>
      </c>
      <c r="G7" s="603"/>
      <c r="H7" s="602">
        <f t="shared" si="1"/>
        <v>0</v>
      </c>
      <c r="I7" s="602">
        <f t="shared" si="2"/>
        <v>0</v>
      </c>
    </row>
    <row r="8" spans="1:9">
      <c r="A8" s="602" t="str">
        <f>Application!$B699</f>
        <v>3 Bedrooms</v>
      </c>
      <c r="B8" s="942">
        <f>Application!$G699</f>
        <v>7</v>
      </c>
      <c r="C8" s="602">
        <f>Application!$O699</f>
        <v>3897</v>
      </c>
      <c r="D8" s="603"/>
      <c r="E8" s="941"/>
      <c r="F8" s="602">
        <f t="shared" si="0"/>
        <v>0</v>
      </c>
      <c r="G8" s="603"/>
      <c r="H8" s="602">
        <f t="shared" si="1"/>
        <v>0</v>
      </c>
      <c r="I8" s="602">
        <f t="shared" si="2"/>
        <v>0</v>
      </c>
    </row>
    <row r="9" spans="1:9">
      <c r="A9" s="602">
        <f>Application!$B700</f>
        <v>0</v>
      </c>
      <c r="B9" s="942">
        <f>Application!$G700</f>
        <v>0</v>
      </c>
      <c r="C9" s="602">
        <f>Application!$O700</f>
        <v>0</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1160</v>
      </c>
      <c r="B40" s="605"/>
      <c r="C40" s="606">
        <f>Application!$T$730*12</f>
        <v>853572</v>
      </c>
      <c r="D40" s="603"/>
      <c r="E40" s="603"/>
      <c r="F40" s="606">
        <f>SUM(F4:F38)*12</f>
        <v>588168</v>
      </c>
      <c r="G40" s="607"/>
      <c r="H40" s="605"/>
      <c r="I40" s="606">
        <f>SUM(I4:I38)*12</f>
        <v>370872</v>
      </c>
    </row>
    <row r="41" spans="1:9">
      <c r="A41" s="604"/>
      <c r="B41" s="605"/>
      <c r="C41" s="607"/>
      <c r="D41" s="603"/>
      <c r="E41" s="603"/>
      <c r="F41" s="607"/>
      <c r="G41" s="607"/>
      <c r="H41" s="605"/>
      <c r="I41" s="607"/>
    </row>
    <row r="42" spans="1:9">
      <c r="A42" s="599" t="s">
        <v>1162</v>
      </c>
      <c r="B42" s="599"/>
      <c r="C42" s="599"/>
      <c r="D42" s="599"/>
      <c r="E42" s="599"/>
      <c r="F42" s="599"/>
      <c r="G42" s="599"/>
      <c r="H42" s="599"/>
      <c r="I42" s="599"/>
    </row>
    <row r="43" spans="1:9">
      <c r="A43" s="599" t="s">
        <v>1164</v>
      </c>
      <c r="B43" s="599"/>
      <c r="C43" s="599"/>
      <c r="D43" s="599"/>
      <c r="E43" s="599"/>
      <c r="F43" s="599"/>
      <c r="G43" s="599"/>
      <c r="H43" s="599"/>
      <c r="I43" s="599"/>
    </row>
    <row r="44" spans="1:9">
      <c r="A44" s="599" t="s">
        <v>2114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7" t="s">
        <v>1220</v>
      </c>
    </row>
    <row r="2" spans="1:1" ht="15.6">
      <c r="A2" s="485"/>
    </row>
    <row r="3" spans="1:1" ht="15.6">
      <c r="A3" s="486" t="s">
        <v>1215</v>
      </c>
    </row>
    <row r="4" spans="1:1" ht="15.6">
      <c r="A4" s="486" t="s">
        <v>1216</v>
      </c>
    </row>
    <row r="5" spans="1:1" ht="15.6">
      <c r="A5" s="486" t="s">
        <v>1217</v>
      </c>
    </row>
    <row r="6" spans="1:1" ht="15.6">
      <c r="A6" s="486" t="s">
        <v>1218</v>
      </c>
    </row>
    <row r="7" spans="1:1" ht="15.6">
      <c r="A7" s="486" t="s">
        <v>1219</v>
      </c>
    </row>
    <row r="8" spans="1:1" ht="15.6">
      <c r="A8" s="564" t="s">
        <v>1335</v>
      </c>
    </row>
    <row r="9" spans="1:1" ht="15.6">
      <c r="A9" s="486" t="s">
        <v>1336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1091</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1597</v>
      </c>
      <c r="U7" s="1614"/>
      <c r="V7" s="1614"/>
      <c r="W7" s="1614"/>
      <c r="X7" s="1614"/>
      <c r="Y7" s="1614" t="s">
        <v>1739</v>
      </c>
      <c r="Z7" s="1614"/>
      <c r="AA7" s="1614"/>
      <c r="AB7" s="1614"/>
      <c r="AC7" s="1614"/>
      <c r="AD7" s="1614" t="s">
        <v>1351</v>
      </c>
      <c r="AE7" s="1614"/>
      <c r="AF7" s="1614"/>
      <c r="AG7" s="1614"/>
      <c r="AH7" s="1614"/>
      <c r="AI7" s="1614" t="s">
        <v>1740</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4" t="s">
        <v>507</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37957353</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8" t="s">
        <v>1355</v>
      </c>
      <c r="D18" s="1619"/>
      <c r="E18" s="1619"/>
      <c r="F18" s="1619"/>
      <c r="G18" s="1619"/>
      <c r="H18" s="1619"/>
      <c r="I18" s="1619"/>
      <c r="J18" s="1619"/>
      <c r="K18" s="1619"/>
      <c r="L18" s="1619"/>
      <c r="M18" s="1619"/>
      <c r="N18" s="1619"/>
      <c r="O18" s="1619"/>
      <c r="P18" s="1619"/>
      <c r="Q18" s="1619"/>
      <c r="R18" s="1619"/>
      <c r="S18" s="1620"/>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1702</v>
      </c>
      <c r="C21" s="1185"/>
      <c r="D21" s="1185"/>
      <c r="E21" s="1185"/>
      <c r="F21" s="1185"/>
      <c r="G21" s="1185"/>
      <c r="H21" s="1185"/>
      <c r="I21" s="1185"/>
      <c r="J21" s="1185"/>
      <c r="K21" s="1185"/>
      <c r="L21" s="1185"/>
      <c r="M21" s="1185"/>
      <c r="N21" s="1185"/>
      <c r="O21" s="1185"/>
      <c r="P21" s="1185"/>
      <c r="Q21" s="1185"/>
      <c r="R21" s="1185"/>
      <c r="S21" s="1186"/>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20741432</v>
      </c>
      <c r="AJ21" s="1066"/>
      <c r="AK21" s="1066"/>
      <c r="AL21" s="1066"/>
      <c r="AM21" s="1066"/>
    </row>
    <row r="22" spans="1:39" ht="12.9" customHeight="1">
      <c r="B22" s="1184" t="s">
        <v>771</v>
      </c>
      <c r="C22" s="1185"/>
      <c r="D22" s="1185"/>
      <c r="E22" s="1185"/>
      <c r="F22" s="1185"/>
      <c r="G22" s="1185"/>
      <c r="H22" s="1185"/>
      <c r="I22" s="1185"/>
      <c r="J22" s="1185"/>
      <c r="K22" s="1185"/>
      <c r="L22" s="1185"/>
      <c r="M22" s="1185"/>
      <c r="N22" s="1185"/>
      <c r="O22" s="1185"/>
      <c r="P22" s="1185"/>
      <c r="Q22" s="1185"/>
      <c r="R22" s="1185"/>
      <c r="S22" s="1186"/>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-20741432</v>
      </c>
      <c r="AJ22" s="1609"/>
      <c r="AK22" s="1609"/>
      <c r="AL22" s="1609"/>
      <c r="AM22" s="1609"/>
    </row>
    <row r="23" spans="1:39" ht="12.9" customHeight="1">
      <c r="B23" s="1184" t="s">
        <v>772</v>
      </c>
      <c r="C23" s="1185"/>
      <c r="D23" s="1185"/>
      <c r="E23" s="1185"/>
      <c r="F23" s="1185"/>
      <c r="G23" s="1185"/>
      <c r="H23" s="1185"/>
      <c r="I23" s="1185"/>
      <c r="J23" s="1185"/>
      <c r="K23" s="1185"/>
      <c r="L23" s="1185"/>
      <c r="M23" s="1185"/>
      <c r="N23" s="1185"/>
      <c r="O23" s="1185"/>
      <c r="P23" s="1185"/>
      <c r="Q23" s="1185"/>
      <c r="R23" s="1185"/>
      <c r="S23" s="1186"/>
      <c r="T23" s="1607">
        <f>T11+T22</f>
        <v>37957353</v>
      </c>
      <c r="U23" s="1204"/>
      <c r="V23" s="1204"/>
      <c r="W23" s="1204"/>
      <c r="X23" s="1204"/>
      <c r="Y23" s="1607">
        <f>Y11+Y22</f>
        <v>0</v>
      </c>
      <c r="Z23" s="1204"/>
      <c r="AA23" s="1204"/>
      <c r="AB23" s="1204"/>
      <c r="AC23" s="1204"/>
      <c r="AD23" s="1607">
        <f>AD11+AD22</f>
        <v>0</v>
      </c>
      <c r="AE23" s="1204"/>
      <c r="AF23" s="1204"/>
      <c r="AG23" s="1204"/>
      <c r="AH23" s="1204"/>
      <c r="AI23" s="1607">
        <f>AI11+AI22</f>
        <v>-20741432</v>
      </c>
      <c r="AJ23" s="1204"/>
      <c r="AK23" s="1204"/>
      <c r="AL23" s="1204"/>
      <c r="AM23" s="1204"/>
    </row>
    <row r="24" spans="1:39" ht="12.9" customHeight="1">
      <c r="B24" s="1184" t="s">
        <v>1209</v>
      </c>
      <c r="C24" s="1185"/>
      <c r="D24" s="1185"/>
      <c r="E24" s="1185"/>
      <c r="F24" s="1185"/>
      <c r="G24" s="1185"/>
      <c r="H24" s="1185"/>
      <c r="I24" s="1185"/>
      <c r="J24" s="1185"/>
      <c r="K24" s="1185"/>
      <c r="L24" s="1185"/>
      <c r="M24" s="1185"/>
      <c r="N24" s="1185"/>
      <c r="O24" s="1185"/>
      <c r="P24" s="1185"/>
      <c r="Q24" s="1185"/>
      <c r="R24" s="1185"/>
      <c r="S24" s="1186"/>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1738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2.9"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37957353</v>
      </c>
      <c r="U26" s="1610"/>
      <c r="V26" s="1610"/>
      <c r="W26" s="1610"/>
      <c r="X26" s="1610"/>
      <c r="Y26" s="1228">
        <f>Y23*Y25</f>
        <v>0</v>
      </c>
      <c r="Z26" s="1610"/>
      <c r="AA26" s="1610"/>
      <c r="AB26" s="1610"/>
      <c r="AC26" s="1610"/>
      <c r="AD26" s="1228">
        <f>AD23*AD25</f>
        <v>0</v>
      </c>
      <c r="AE26" s="1610"/>
      <c r="AF26" s="1610"/>
      <c r="AG26" s="1610"/>
      <c r="AH26" s="1610"/>
      <c r="AI26" s="1228">
        <f>AI23*AI25</f>
        <v>-20741432</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37957353</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-20741432</v>
      </c>
      <c r="AJ28" s="1610"/>
      <c r="AK28" s="1610"/>
      <c r="AL28" s="1610"/>
      <c r="AM28" s="1610"/>
    </row>
    <row r="29" spans="1:39" ht="12.9"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17215921</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1596</v>
      </c>
      <c r="Z35" s="1614"/>
      <c r="AA35" s="1614"/>
      <c r="AB35" s="1614"/>
      <c r="AC35" s="1614"/>
      <c r="AD35" s="1502" t="s">
        <v>41</v>
      </c>
      <c r="AE35" s="1502"/>
      <c r="AF35" s="1502"/>
      <c r="AG35" s="1502"/>
      <c r="AH35" s="1502"/>
    </row>
    <row r="36" spans="1:40" ht="12.9" customHeight="1">
      <c r="B36" s="204"/>
      <c r="X36" s="71"/>
      <c r="Y36" s="1614"/>
      <c r="Z36" s="1614"/>
      <c r="AA36" s="1614"/>
      <c r="AB36" s="1614"/>
      <c r="AC36" s="1614"/>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 customHeight="1">
      <c r="B39" s="1184" t="s">
        <v>764</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4">
        <v>0.09</v>
      </c>
      <c r="Z39" s="1964"/>
      <c r="AA39" s="1964"/>
      <c r="AB39" s="1964"/>
      <c r="AC39" s="1964"/>
      <c r="AD39" s="1645">
        <v>0.04</v>
      </c>
      <c r="AE39" s="1645"/>
      <c r="AF39" s="1645"/>
      <c r="AG39" s="1645"/>
      <c r="AH39" s="1645"/>
    </row>
    <row r="40" spans="1:40"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7">
        <f>ROUND(AD38*AD39,0)</f>
        <v>0</v>
      </c>
      <c r="AE40" s="1204"/>
      <c r="AF40" s="1204"/>
      <c r="AG40" s="1204"/>
      <c r="AH40" s="1204"/>
    </row>
    <row r="41" spans="1:40" ht="12.9"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IF((Y40+AD40)&gt;2500000,2500000,Y40+AD40)</f>
        <v>0</v>
      </c>
      <c r="Z41" s="1606"/>
      <c r="AA41" s="1606"/>
      <c r="AB41" s="1606"/>
      <c r="AC41" s="1606"/>
      <c r="AD41" s="1606"/>
      <c r="AE41" s="1606"/>
      <c r="AF41" s="1606"/>
      <c r="AG41" s="1606"/>
      <c r="AH41" s="1607"/>
    </row>
    <row r="42" spans="1:40" ht="12.9" customHeight="1">
      <c r="A42" s="3"/>
      <c r="B42" s="1639" t="s">
        <v>1153</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5">
        <f>'Sources and Uses Budget'!B104-'Sources and Uses Budget'!$B$15</f>
        <v>44780948</v>
      </c>
      <c r="AC46" s="1196"/>
      <c r="AD46" s="1196"/>
      <c r="AE46" s="1196"/>
      <c r="AF46" s="1197"/>
    </row>
    <row r="47" spans="1:40" ht="12.9" customHeight="1">
      <c r="D47" s="3" t="s">
        <v>836</v>
      </c>
      <c r="AB47" s="1195">
        <f>Application!AG633-MIN('Sources and Uses Budget'!B15,Application!AG385)</f>
        <v>0</v>
      </c>
      <c r="AC47" s="1196"/>
      <c r="AD47" s="1196"/>
      <c r="AE47" s="1196"/>
      <c r="AF47" s="1197"/>
    </row>
    <row r="48" spans="1:40" ht="12.9" customHeight="1">
      <c r="D48" s="3" t="s">
        <v>377</v>
      </c>
      <c r="AB48" s="1195">
        <f>AB46-AB47</f>
        <v>44780948</v>
      </c>
      <c r="AC48" s="1196"/>
      <c r="AD48" s="1196"/>
      <c r="AE48" s="1196"/>
      <c r="AF48" s="1197"/>
    </row>
    <row r="49" spans="1:40" ht="12.9" customHeight="1">
      <c r="D49" s="3" t="s">
        <v>871</v>
      </c>
      <c r="AA49" s="34"/>
      <c r="AB49" s="1634"/>
      <c r="AC49" s="1635"/>
      <c r="AD49" s="1635"/>
      <c r="AE49" s="1635"/>
      <c r="AF49" s="1636"/>
    </row>
    <row r="50" spans="1:40" s="323" customFormat="1" ht="12.9" customHeight="1">
      <c r="A50"/>
      <c r="B50"/>
      <c r="C50"/>
      <c r="D50"/>
      <c r="E50" s="1640" t="s">
        <v>1344</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0</v>
      </c>
      <c r="AC53" s="1196"/>
      <c r="AD53" s="1196"/>
      <c r="AE53" s="1196"/>
      <c r="AF53" s="1197"/>
    </row>
    <row r="54" spans="1:40" ht="12.9" customHeight="1">
      <c r="D54" s="3" t="s">
        <v>560</v>
      </c>
      <c r="AB54" s="1195">
        <f>(AB53/10)</f>
        <v>0</v>
      </c>
      <c r="AC54" s="1196"/>
      <c r="AD54" s="1196"/>
      <c r="AE54" s="1196"/>
      <c r="AF54" s="1197"/>
    </row>
    <row r="55" spans="1:40" ht="12.9" customHeight="1">
      <c r="D55" s="3" t="s">
        <v>340</v>
      </c>
      <c r="AB55" s="1195">
        <f>(IF((Y41&lt;AB54),Y41,AB54))</f>
        <v>0</v>
      </c>
      <c r="AC55" s="1196"/>
      <c r="AD55" s="1196"/>
      <c r="AE55" s="1196"/>
      <c r="AF55" s="1197"/>
    </row>
    <row r="56" spans="1:40" ht="12.9" customHeight="1">
      <c r="D56" s="3" t="s">
        <v>106</v>
      </c>
      <c r="AB56" s="1195">
        <f>ROUND((10*AB55*AB49),0)</f>
        <v>0</v>
      </c>
      <c r="AC56" s="1196"/>
      <c r="AD56" s="1196"/>
      <c r="AE56" s="1196"/>
      <c r="AF56" s="1197"/>
    </row>
    <row r="57" spans="1:40" ht="12.9" customHeight="1">
      <c r="D57" s="3"/>
      <c r="AB57" s="276"/>
      <c r="AC57" s="276"/>
      <c r="AD57" s="276"/>
      <c r="AE57" s="276"/>
      <c r="AF57" s="276"/>
    </row>
    <row r="58" spans="1:40" ht="12.9" customHeight="1">
      <c r="D58" s="3" t="s">
        <v>105</v>
      </c>
      <c r="AB58" s="1217">
        <f>AB48-AB56</f>
        <v>44780948</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121</v>
      </c>
      <c r="C62" s="3" t="s">
        <v>508</v>
      </c>
      <c r="Y62" s="1171" t="s">
        <v>297</v>
      </c>
      <c r="Z62" s="1171"/>
      <c r="AA62" s="1171"/>
      <c r="AB62" s="1171"/>
      <c r="AC62" s="1171"/>
      <c r="AD62" s="1171" t="s">
        <v>41</v>
      </c>
      <c r="AE62" s="1171"/>
      <c r="AF62" s="1171"/>
      <c r="AG62" s="1171"/>
      <c r="AH62" s="1171"/>
    </row>
    <row r="63" spans="1:40" ht="12.9" customHeight="1">
      <c r="C63" s="3"/>
      <c r="D63" s="128" t="s">
        <v>1232</v>
      </c>
      <c r="E63" s="15"/>
      <c r="F63" s="15"/>
      <c r="G63" s="15"/>
      <c r="H63" s="15"/>
      <c r="I63" s="15"/>
      <c r="J63" s="15"/>
      <c r="K63" s="15"/>
      <c r="L63" s="15"/>
      <c r="M63" s="15"/>
      <c r="N63" s="15"/>
      <c r="O63" s="15"/>
      <c r="P63" s="15"/>
      <c r="Q63" s="15"/>
      <c r="R63" s="15"/>
      <c r="S63" s="15"/>
      <c r="T63" s="15"/>
      <c r="U63" s="15"/>
      <c r="V63" s="15"/>
      <c r="W63" s="15"/>
      <c r="X63" s="15"/>
      <c r="Y63" s="1204">
        <f>Y28</f>
        <v>0</v>
      </c>
      <c r="Z63" s="1637"/>
      <c r="AA63" s="1637"/>
      <c r="AB63" s="1637"/>
      <c r="AC63" s="1637"/>
      <c r="AD63" s="1204">
        <f>AI28</f>
        <v>-20741432</v>
      </c>
      <c r="AE63" s="1637"/>
      <c r="AF63" s="1637"/>
      <c r="AG63" s="1637"/>
      <c r="AH63" s="1637"/>
    </row>
    <row r="64" spans="1:40" ht="12.9" customHeight="1">
      <c r="C64" s="3"/>
      <c r="E64" s="1644" t="s">
        <v>1280</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4"/>
      <c r="AC70" s="1635"/>
      <c r="AD70" s="1635"/>
      <c r="AE70" s="1635"/>
      <c r="AF70" s="1636"/>
    </row>
    <row r="71" spans="1:34" ht="12.9" customHeight="1">
      <c r="A71" s="3"/>
      <c r="C71" s="3"/>
      <c r="D71" s="3"/>
      <c r="E71" s="1638" t="s">
        <v>1736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105</v>
      </c>
      <c r="AB79" s="1217">
        <f>AB48-(AB56+AB77)</f>
        <v>44780948</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1345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1597</v>
      </c>
      <c r="U7" s="1614"/>
      <c r="V7" s="1614"/>
      <c r="W7" s="1614"/>
      <c r="X7" s="1614"/>
      <c r="Y7" s="1614" t="s">
        <v>1739</v>
      </c>
      <c r="Z7" s="1614"/>
      <c r="AA7" s="1614"/>
      <c r="AB7" s="1614"/>
      <c r="AC7" s="1614"/>
      <c r="AD7" s="1614" t="s">
        <v>1351</v>
      </c>
      <c r="AE7" s="1614"/>
      <c r="AF7" s="1614"/>
      <c r="AG7" s="1614"/>
      <c r="AH7" s="1614"/>
      <c r="AI7" s="1614" t="s">
        <v>1740</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4" t="s">
        <v>507</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37957353</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8" t="s">
        <v>1355</v>
      </c>
      <c r="D18" s="1619"/>
      <c r="E18" s="1619"/>
      <c r="F18" s="1619"/>
      <c r="G18" s="1619"/>
      <c r="H18" s="1619"/>
      <c r="I18" s="1619"/>
      <c r="J18" s="1619"/>
      <c r="K18" s="1619"/>
      <c r="L18" s="1619"/>
      <c r="M18" s="1619"/>
      <c r="N18" s="1619"/>
      <c r="O18" s="1619"/>
      <c r="P18" s="1619"/>
      <c r="Q18" s="1619"/>
      <c r="R18" s="1619"/>
      <c r="S18" s="1620"/>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1702</v>
      </c>
      <c r="C21" s="1185"/>
      <c r="D21" s="1185"/>
      <c r="E21" s="1185"/>
      <c r="F21" s="1185"/>
      <c r="G21" s="1185"/>
      <c r="H21" s="1185"/>
      <c r="I21" s="1185"/>
      <c r="J21" s="1185"/>
      <c r="K21" s="1185"/>
      <c r="L21" s="1185"/>
      <c r="M21" s="1185"/>
      <c r="N21" s="1185"/>
      <c r="O21" s="1185"/>
      <c r="P21" s="1185"/>
      <c r="Q21" s="1185"/>
      <c r="R21" s="1185"/>
      <c r="S21" s="1186"/>
      <c r="T21" s="1213">
        <f>'Basis &amp; Credits'!T21</f>
        <v>20741432</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4" t="s">
        <v>771</v>
      </c>
      <c r="C22" s="1185"/>
      <c r="D22" s="1185"/>
      <c r="E22" s="1185"/>
      <c r="F22" s="1185"/>
      <c r="G22" s="1185"/>
      <c r="H22" s="1185"/>
      <c r="I22" s="1185"/>
      <c r="J22" s="1185"/>
      <c r="K22" s="1185"/>
      <c r="L22" s="1185"/>
      <c r="M22" s="1185"/>
      <c r="N22" s="1185"/>
      <c r="O22" s="1185"/>
      <c r="P22" s="1185"/>
      <c r="Q22" s="1185"/>
      <c r="R22" s="1185"/>
      <c r="S22" s="1186"/>
      <c r="T22" s="1608">
        <f>(T20+T21)*-1</f>
        <v>-20741432</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2.9" customHeight="1">
      <c r="B23" s="1184" t="s">
        <v>772</v>
      </c>
      <c r="C23" s="1185"/>
      <c r="D23" s="1185"/>
      <c r="E23" s="1185"/>
      <c r="F23" s="1185"/>
      <c r="G23" s="1185"/>
      <c r="H23" s="1185"/>
      <c r="I23" s="1185"/>
      <c r="J23" s="1185"/>
      <c r="K23" s="1185"/>
      <c r="L23" s="1185"/>
      <c r="M23" s="1185"/>
      <c r="N23" s="1185"/>
      <c r="O23" s="1185"/>
      <c r="P23" s="1185"/>
      <c r="Q23" s="1185"/>
      <c r="R23" s="1185"/>
      <c r="S23" s="1186"/>
      <c r="T23" s="1607">
        <f>T11+T22</f>
        <v>17215921</v>
      </c>
      <c r="U23" s="1204"/>
      <c r="V23" s="1204"/>
      <c r="W23" s="1204"/>
      <c r="X23" s="1204"/>
      <c r="Y23" s="1607">
        <f>Y11+Y22</f>
        <v>0</v>
      </c>
      <c r="Z23" s="1204"/>
      <c r="AA23" s="1204"/>
      <c r="AB23" s="1204"/>
      <c r="AC23" s="1204"/>
      <c r="AD23" s="1607">
        <f>AD11+AD22</f>
        <v>0</v>
      </c>
      <c r="AE23" s="1204"/>
      <c r="AF23" s="1204"/>
      <c r="AG23" s="1204"/>
      <c r="AH23" s="1204"/>
      <c r="AI23" s="1607">
        <f>AI11+AI22</f>
        <v>0</v>
      </c>
      <c r="AJ23" s="1204"/>
      <c r="AK23" s="1204"/>
      <c r="AL23" s="1204"/>
      <c r="AM23" s="1204"/>
    </row>
    <row r="24" spans="1:39" ht="12.9" customHeight="1">
      <c r="B24" s="1184" t="s">
        <v>1209</v>
      </c>
      <c r="C24" s="1185"/>
      <c r="D24" s="1185"/>
      <c r="E24" s="1185"/>
      <c r="F24" s="1185"/>
      <c r="G24" s="1185"/>
      <c r="H24" s="1185"/>
      <c r="I24" s="1185"/>
      <c r="J24" s="1185"/>
      <c r="K24" s="1185"/>
      <c r="L24" s="1185"/>
      <c r="M24" s="1185"/>
      <c r="N24" s="1185"/>
      <c r="O24" s="1185"/>
      <c r="P24" s="1185"/>
      <c r="Q24" s="1185"/>
      <c r="R24" s="1185"/>
      <c r="S24" s="1186"/>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1738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17215921</v>
      </c>
      <c r="U26" s="1610"/>
      <c r="V26" s="1610"/>
      <c r="W26" s="1610"/>
      <c r="X26" s="1610"/>
      <c r="Y26" s="1228">
        <f>Y23*Y25</f>
        <v>0</v>
      </c>
      <c r="Z26" s="1610"/>
      <c r="AA26" s="1610"/>
      <c r="AB26" s="1610"/>
      <c r="AC26" s="1610"/>
      <c r="AD26" s="1228">
        <f>AD23*AD25</f>
        <v>0</v>
      </c>
      <c r="AE26" s="1610"/>
      <c r="AF26" s="1610"/>
      <c r="AG26" s="1610"/>
      <c r="AH26" s="1610"/>
      <c r="AI26" s="1228">
        <f>AI23*AI25</f>
        <v>0</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17215921</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0</v>
      </c>
      <c r="AJ28" s="1610"/>
      <c r="AK28" s="1610"/>
      <c r="AL28" s="1610"/>
      <c r="AM28" s="1610"/>
    </row>
    <row r="29" spans="1:39" ht="12.9"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17215921</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1596</v>
      </c>
      <c r="Z35" s="1614"/>
      <c r="AA35" s="1614"/>
      <c r="AB35" s="1614"/>
      <c r="AC35" s="1614"/>
      <c r="AD35" s="1502" t="s">
        <v>41</v>
      </c>
      <c r="AE35" s="1502"/>
      <c r="AF35" s="1502"/>
      <c r="AG35" s="1502"/>
      <c r="AH35" s="1502"/>
    </row>
    <row r="36" spans="1:40" ht="12.9" customHeight="1">
      <c r="B36" s="204"/>
      <c r="X36" s="71"/>
      <c r="Y36" s="1614"/>
      <c r="Z36" s="1614"/>
      <c r="AA36" s="1614"/>
      <c r="AB36" s="1614"/>
      <c r="AC36" s="1614"/>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 customHeight="1">
      <c r="B39" s="1184" t="s">
        <v>764</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4">
        <v>0.09</v>
      </c>
      <c r="Z39" s="1964"/>
      <c r="AA39" s="1964"/>
      <c r="AB39" s="1964"/>
      <c r="AC39" s="1964"/>
      <c r="AD39" s="1964">
        <f>'Basis &amp; Credits'!AD39:AH39</f>
        <v>0.04</v>
      </c>
      <c r="AE39" s="1964"/>
      <c r="AF39" s="1964"/>
      <c r="AG39" s="1964"/>
      <c r="AH39" s="1964"/>
    </row>
    <row r="40" spans="1:40"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7">
        <f>ROUND(AD38*AD39,0)</f>
        <v>0</v>
      </c>
      <c r="AE40" s="1204"/>
      <c r="AF40" s="1204"/>
      <c r="AG40" s="1204"/>
      <c r="AH40" s="1204"/>
    </row>
    <row r="41" spans="1:40" ht="12.9"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IF((Y40+AD40)&gt;2500000,2500000,Y40+AD40)</f>
        <v>0</v>
      </c>
      <c r="Z41" s="1606"/>
      <c r="AA41" s="1606"/>
      <c r="AB41" s="1606"/>
      <c r="AC41" s="1606"/>
      <c r="AD41" s="1606"/>
      <c r="AE41" s="1606"/>
      <c r="AF41" s="1606"/>
      <c r="AG41" s="1606"/>
      <c r="AH41" s="1607"/>
    </row>
    <row r="42" spans="1:40" ht="12.9" customHeight="1">
      <c r="A42" s="3"/>
      <c r="B42" s="1639" t="s">
        <v>1153</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5">
        <f>'Sources and Uses Budget'!B104-'Sources and Uses Budget'!$B$15</f>
        <v>44780948</v>
      </c>
      <c r="AC46" s="1196"/>
      <c r="AD46" s="1196"/>
      <c r="AE46" s="1196"/>
      <c r="AF46" s="1197"/>
    </row>
    <row r="47" spans="1:40" ht="12.9" customHeight="1">
      <c r="D47" s="3" t="s">
        <v>836</v>
      </c>
      <c r="AB47" s="1195">
        <f>Application!AG633-MIN('Sources and Uses Budget'!B15,Application!AG385)</f>
        <v>0</v>
      </c>
      <c r="AC47" s="1196"/>
      <c r="AD47" s="1196"/>
      <c r="AE47" s="1196"/>
      <c r="AF47" s="1197"/>
    </row>
    <row r="48" spans="1:40" ht="12.9" customHeight="1">
      <c r="D48" s="3" t="s">
        <v>377</v>
      </c>
      <c r="AB48" s="1195">
        <f>AB46-AB47</f>
        <v>44780948</v>
      </c>
      <c r="AC48" s="1196"/>
      <c r="AD48" s="1196"/>
      <c r="AE48" s="1196"/>
      <c r="AF48" s="1197"/>
    </row>
    <row r="49" spans="1:40" ht="12.9" customHeight="1">
      <c r="D49" s="3" t="s">
        <v>871</v>
      </c>
      <c r="AA49" s="34"/>
      <c r="AB49" s="1634"/>
      <c r="AC49" s="1635"/>
      <c r="AD49" s="1635"/>
      <c r="AE49" s="1635"/>
      <c r="AF49" s="1636"/>
    </row>
    <row r="50" spans="1:40" s="323" customFormat="1" ht="12.9" customHeight="1">
      <c r="A50"/>
      <c r="B50"/>
      <c r="C50"/>
      <c r="D50"/>
      <c r="E50" s="1640" t="s">
        <v>1344</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0</v>
      </c>
      <c r="AC53" s="1196"/>
      <c r="AD53" s="1196"/>
      <c r="AE53" s="1196"/>
      <c r="AF53" s="1197"/>
    </row>
    <row r="54" spans="1:40" ht="12.9" customHeight="1">
      <c r="D54" s="3" t="s">
        <v>560</v>
      </c>
      <c r="AB54" s="1195">
        <f>(AB53/10)</f>
        <v>0</v>
      </c>
      <c r="AC54" s="1196"/>
      <c r="AD54" s="1196"/>
      <c r="AE54" s="1196"/>
      <c r="AF54" s="1197"/>
    </row>
    <row r="55" spans="1:40" ht="12.9" customHeight="1">
      <c r="D55" s="3" t="s">
        <v>340</v>
      </c>
      <c r="AB55" s="1966">
        <f>(IF((Y41&lt;AB54),Y41,AB54))</f>
        <v>0</v>
      </c>
      <c r="AC55" s="1967"/>
      <c r="AD55" s="1967"/>
      <c r="AE55" s="1967"/>
      <c r="AF55" s="1968"/>
    </row>
    <row r="56" spans="1:40" ht="12.9" customHeight="1">
      <c r="D56" s="3" t="s">
        <v>106</v>
      </c>
      <c r="AB56" s="1195">
        <f>ROUND((10*AB55*AB49),0)</f>
        <v>0</v>
      </c>
      <c r="AC56" s="1196"/>
      <c r="AD56" s="1196"/>
      <c r="AE56" s="1196"/>
      <c r="AF56" s="1197"/>
    </row>
    <row r="57" spans="1:40" ht="12.9" customHeight="1">
      <c r="D57" s="3"/>
      <c r="AB57" s="276"/>
      <c r="AC57" s="276"/>
      <c r="AD57" s="276"/>
      <c r="AE57" s="276"/>
      <c r="AF57" s="276"/>
    </row>
    <row r="58" spans="1:40" ht="12.9" customHeight="1">
      <c r="D58" s="3" t="s">
        <v>105</v>
      </c>
      <c r="AB58" s="1217">
        <f>AB48-AB56</f>
        <v>44780948</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121</v>
      </c>
      <c r="C62" s="3" t="s">
        <v>508</v>
      </c>
      <c r="Y62" s="1171" t="s">
        <v>297</v>
      </c>
      <c r="Z62" s="1171"/>
      <c r="AA62" s="1171"/>
      <c r="AB62" s="1171"/>
      <c r="AC62" s="1171"/>
      <c r="AD62" s="1171" t="s">
        <v>41</v>
      </c>
      <c r="AE62" s="1171"/>
      <c r="AF62" s="1171"/>
      <c r="AG62" s="1171"/>
      <c r="AH62" s="1171"/>
    </row>
    <row r="63" spans="1:40" ht="12.9" customHeight="1">
      <c r="C63" s="3"/>
      <c r="D63" s="128" t="s">
        <v>1232</v>
      </c>
      <c r="E63" s="15"/>
      <c r="F63" s="15"/>
      <c r="G63" s="15"/>
      <c r="H63" s="15"/>
      <c r="I63" s="15"/>
      <c r="J63" s="15"/>
      <c r="K63" s="15"/>
      <c r="L63" s="15"/>
      <c r="M63" s="15"/>
      <c r="N63" s="15"/>
      <c r="O63" s="15"/>
      <c r="P63" s="15"/>
      <c r="Q63" s="15"/>
      <c r="R63" s="15"/>
      <c r="S63" s="15"/>
      <c r="T63" s="15"/>
      <c r="U63" s="15"/>
      <c r="V63" s="15"/>
      <c r="W63" s="15"/>
      <c r="X63" s="15"/>
      <c r="Y63" s="1204">
        <f>Y28</f>
        <v>0</v>
      </c>
      <c r="Z63" s="1637"/>
      <c r="AA63" s="1637"/>
      <c r="AB63" s="1637"/>
      <c r="AC63" s="1637"/>
      <c r="AD63" s="1204">
        <f>AI28</f>
        <v>0</v>
      </c>
      <c r="AE63" s="1637"/>
      <c r="AF63" s="1637"/>
      <c r="AG63" s="1637"/>
      <c r="AH63" s="1637"/>
    </row>
    <row r="64" spans="1:40" ht="12.9" customHeight="1">
      <c r="C64" s="3"/>
      <c r="E64" s="1644" t="s">
        <v>1280</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4"/>
      <c r="AC70" s="1635"/>
      <c r="AD70" s="1635"/>
      <c r="AE70" s="1635"/>
      <c r="AF70" s="1636"/>
    </row>
    <row r="71" spans="1:34" ht="12.9" customHeight="1">
      <c r="A71" s="3"/>
      <c r="C71" s="3"/>
      <c r="D71" s="3"/>
      <c r="E71" s="1638" t="s">
        <v>1736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105</v>
      </c>
      <c r="AB79" s="1217">
        <f>AB48-(AB56+AB77)</f>
        <v>44780948</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1221</v>
      </c>
      <c r="G1" s="566"/>
    </row>
    <row r="2" spans="1:7" ht="13.2">
      <c r="A2" s="264" t="s">
        <v>951</v>
      </c>
      <c r="B2" s="227"/>
      <c r="C2" s="324"/>
      <c r="D2" s="324"/>
      <c r="E2" s="227"/>
      <c r="F2" s="325"/>
      <c r="G2" s="325"/>
    </row>
    <row r="3" spans="1:7" s="567" customFormat="1" ht="80.25" customHeight="1">
      <c r="A3" s="336"/>
      <c r="B3" s="326" t="s">
        <v>950</v>
      </c>
      <c r="C3" s="326" t="s">
        <v>1168</v>
      </c>
      <c r="D3" s="326" t="s">
        <v>953</v>
      </c>
      <c r="E3" s="326" t="s">
        <v>954</v>
      </c>
      <c r="F3" s="322" t="s">
        <v>952</v>
      </c>
      <c r="G3" s="326"/>
    </row>
    <row r="4" spans="1:7" s="568" customFormat="1" ht="13.2">
      <c r="A4" s="882" t="s">
        <v>341</v>
      </c>
      <c r="B4" s="327"/>
      <c r="C4" s="327"/>
      <c r="D4" s="327"/>
      <c r="E4" s="327"/>
      <c r="F4" s="327"/>
      <c r="G4" s="327"/>
    </row>
    <row r="5" spans="1:7" s="568" customFormat="1" ht="13.2">
      <c r="A5" s="883" t="s">
        <v>955</v>
      </c>
      <c r="B5" s="329">
        <f>'Sources and Uses Budget'!C4</f>
        <v>4000000</v>
      </c>
      <c r="C5" s="329">
        <f>'Sources and Uses Budget'!C4</f>
        <v>4000000</v>
      </c>
      <c r="D5" s="329">
        <f>'Sources and Uses Budget'!C4</f>
        <v>4000000</v>
      </c>
      <c r="E5" s="331">
        <f>C5-B5</f>
        <v>0</v>
      </c>
      <c r="F5" s="330"/>
      <c r="G5" s="330"/>
    </row>
    <row r="6" spans="1:7" s="568" customFormat="1" ht="13.2">
      <c r="A6" s="883" t="s">
        <v>956</v>
      </c>
      <c r="B6" s="329">
        <f>'Sources and Uses Budget'!C5</f>
        <v>105199</v>
      </c>
      <c r="C6" s="329">
        <f>'Sources and Uses Budget'!C5</f>
        <v>105199</v>
      </c>
      <c r="D6" s="329">
        <f>'Sources and Uses Budget'!C5</f>
        <v>105199</v>
      </c>
      <c r="E6" s="331">
        <f t="shared" ref="E6:E73" si="0">C6-B6</f>
        <v>0</v>
      </c>
      <c r="F6" s="330"/>
      <c r="G6" s="330"/>
    </row>
    <row r="7" spans="1:7" s="568" customFormat="1" ht="13.2">
      <c r="A7" s="883" t="s">
        <v>342</v>
      </c>
      <c r="B7" s="329">
        <f>'Sources and Uses Budget'!C6</f>
        <v>30000</v>
      </c>
      <c r="C7" s="329">
        <f>'Sources and Uses Budget'!C6</f>
        <v>30000</v>
      </c>
      <c r="D7" s="329">
        <f>'Sources and Uses Budget'!C6</f>
        <v>30000</v>
      </c>
      <c r="E7" s="331">
        <f t="shared" si="0"/>
        <v>0</v>
      </c>
      <c r="F7" s="330"/>
      <c r="G7" s="330"/>
    </row>
    <row r="8" spans="1:7" s="568" customFormat="1" ht="13.2">
      <c r="A8" s="883" t="s">
        <v>281</v>
      </c>
      <c r="B8" s="329">
        <f>'Sources and Uses Budget'!C7</f>
        <v>0</v>
      </c>
      <c r="C8" s="329">
        <f>'Sources and Uses Budget'!C7</f>
        <v>0</v>
      </c>
      <c r="D8" s="329">
        <f>'Sources and Uses Budget'!C7</f>
        <v>0</v>
      </c>
      <c r="E8" s="331">
        <f t="shared" si="0"/>
        <v>0</v>
      </c>
      <c r="F8" s="330"/>
      <c r="G8" s="330"/>
    </row>
    <row r="9" spans="1:7" s="568" customFormat="1" ht="13.2">
      <c r="A9" s="884" t="s">
        <v>957</v>
      </c>
      <c r="B9" s="331">
        <f>SUM(B5:B8)</f>
        <v>4135199</v>
      </c>
      <c r="C9" s="331">
        <f>SUM(C5:C8)</f>
        <v>4135199</v>
      </c>
      <c r="D9" s="331">
        <f>SUM(D5:D8)</f>
        <v>4135199</v>
      </c>
      <c r="E9" s="331">
        <f t="shared" si="0"/>
        <v>0</v>
      </c>
      <c r="F9" s="330"/>
      <c r="G9" s="330"/>
    </row>
    <row r="10" spans="1:7" s="568" customFormat="1" ht="13.2">
      <c r="A10" s="883" t="s">
        <v>584</v>
      </c>
      <c r="B10" s="329">
        <f>'Sources and Uses Budget'!C9</f>
        <v>0</v>
      </c>
      <c r="C10" s="329">
        <f>'Sources and Uses Budget'!C9</f>
        <v>0</v>
      </c>
      <c r="D10" s="329">
        <f>'Sources and Uses Budget'!C9</f>
        <v>0</v>
      </c>
      <c r="E10" s="331">
        <f t="shared" si="0"/>
        <v>0</v>
      </c>
      <c r="F10" s="330"/>
      <c r="G10" s="330"/>
    </row>
    <row r="11" spans="1:7" s="568" customFormat="1" ht="13.2">
      <c r="A11" s="883" t="s">
        <v>958</v>
      </c>
      <c r="B11" s="329">
        <f>'Sources and Uses Budget'!C10</f>
        <v>829680</v>
      </c>
      <c r="C11" s="329">
        <f>'Sources and Uses Budget'!C10</f>
        <v>829680</v>
      </c>
      <c r="D11" s="329">
        <f>'Sources and Uses Budget'!C10</f>
        <v>829680</v>
      </c>
      <c r="E11" s="331">
        <f t="shared" si="0"/>
        <v>0</v>
      </c>
      <c r="F11" s="330"/>
      <c r="G11" s="330"/>
    </row>
    <row r="12" spans="1:7" s="568" customFormat="1" ht="13.2">
      <c r="A12" s="884" t="s">
        <v>585</v>
      </c>
      <c r="B12" s="331">
        <f>SUM(B10:B11)</f>
        <v>829680</v>
      </c>
      <c r="C12" s="331">
        <f>SUM(C10:C11)</f>
        <v>829680</v>
      </c>
      <c r="D12" s="331">
        <f>SUM(D10:D11)</f>
        <v>829680</v>
      </c>
      <c r="E12" s="331">
        <f t="shared" si="0"/>
        <v>0</v>
      </c>
      <c r="F12" s="330"/>
      <c r="G12" s="330"/>
    </row>
    <row r="13" spans="1:7" s="568" customFormat="1" ht="13.2">
      <c r="A13" s="884" t="s">
        <v>710</v>
      </c>
      <c r="B13" s="331">
        <f>SUM(B9+B12)</f>
        <v>4964879</v>
      </c>
      <c r="C13" s="331">
        <f>SUM(C9+C12)</f>
        <v>4964879</v>
      </c>
      <c r="D13" s="331">
        <f>SUM(D9+D12)</f>
        <v>4964879</v>
      </c>
      <c r="E13" s="331">
        <f t="shared" si="0"/>
        <v>0</v>
      </c>
      <c r="F13" s="330"/>
      <c r="G13" s="330"/>
    </row>
    <row r="14" spans="1:7" s="568" customFormat="1" ht="13.2">
      <c r="A14" s="885" t="s">
        <v>1101</v>
      </c>
      <c r="B14" s="329">
        <f>'Sources and Uses Budget'!C13</f>
        <v>30000</v>
      </c>
      <c r="C14" s="329">
        <f>'Sources and Uses Budget'!C13</f>
        <v>30000</v>
      </c>
      <c r="D14" s="329">
        <f>'Sources and Uses Budget'!C13</f>
        <v>30000</v>
      </c>
      <c r="E14" s="331">
        <f t="shared" si="0"/>
        <v>0</v>
      </c>
      <c r="F14" s="330"/>
      <c r="G14" s="330"/>
    </row>
    <row r="15" spans="1:7" s="568" customFormat="1" ht="22.8">
      <c r="A15" s="883" t="s">
        <v>1132</v>
      </c>
      <c r="B15" s="329">
        <f>'Sources and Uses Budget'!C14</f>
        <v>0</v>
      </c>
      <c r="C15" s="329">
        <f>'Sources and Uses Budget'!C14</f>
        <v>0</v>
      </c>
      <c r="D15" s="329">
        <f>'Sources and Uses Budget'!C14</f>
        <v>0</v>
      </c>
      <c r="E15" s="331">
        <f t="shared" si="0"/>
        <v>0</v>
      </c>
      <c r="F15" s="330"/>
      <c r="G15" s="330"/>
    </row>
    <row r="16" spans="1:7" s="568" customFormat="1" ht="13.2">
      <c r="A16" s="883" t="s">
        <v>1672</v>
      </c>
      <c r="B16" s="329">
        <f>'Sources and Uses Budget'!C15</f>
        <v>0</v>
      </c>
      <c r="C16" s="329">
        <f>'Sources and Uses Budget'!C15</f>
        <v>0</v>
      </c>
      <c r="D16" s="329">
        <f>'Sources and Uses Budget'!C15</f>
        <v>0</v>
      </c>
      <c r="E16" s="331">
        <f t="shared" si="0"/>
        <v>0</v>
      </c>
      <c r="F16" s="330"/>
      <c r="G16" s="330"/>
    </row>
    <row r="17" spans="1:7" s="568" customFormat="1" ht="13.2">
      <c r="A17" s="882"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1942</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3">
        <f>'Sources and Uses Budget'!C26</f>
        <v>0</v>
      </c>
      <c r="C27" s="893">
        <f>'Sources and Uses Budget'!C26</f>
        <v>0</v>
      </c>
      <c r="D27" s="893">
        <f>'Sources and Uses Budget'!C26</f>
        <v>0</v>
      </c>
      <c r="E27" s="331">
        <f>C27-B27</f>
        <v>0</v>
      </c>
      <c r="F27" s="330"/>
      <c r="G27" s="330"/>
    </row>
    <row r="28" spans="1:7" s="568" customFormat="1" ht="13.2">
      <c r="A28" s="886" t="s">
        <v>916</v>
      </c>
      <c r="B28" s="329">
        <f>'Sources and Uses Budget'!C27</f>
        <v>0</v>
      </c>
      <c r="C28" s="329">
        <f>'Sources and Uses Budget'!C27</f>
        <v>0</v>
      </c>
      <c r="D28" s="329">
        <f>'Sources and Uses Budget'!C27</f>
        <v>0</v>
      </c>
      <c r="E28" s="331">
        <f>C28-B28</f>
        <v>0</v>
      </c>
      <c r="F28" s="330"/>
      <c r="G28" s="330"/>
    </row>
    <row r="29" spans="1:7" s="568" customFormat="1" ht="13.2">
      <c r="A29" s="882" t="s">
        <v>917</v>
      </c>
      <c r="B29" s="327"/>
      <c r="C29" s="327"/>
      <c r="D29" s="327"/>
      <c r="E29" s="327"/>
      <c r="F29" s="327"/>
      <c r="G29" s="327"/>
    </row>
    <row r="30" spans="1:7" s="568" customFormat="1" ht="13.2">
      <c r="A30" s="239" t="s">
        <v>909</v>
      </c>
      <c r="B30" s="329">
        <f>'Sources and Uses Budget'!C29</f>
        <v>4580401</v>
      </c>
      <c r="C30" s="329">
        <f>'Sources and Uses Budget'!C29</f>
        <v>4580401</v>
      </c>
      <c r="D30" s="329">
        <f>'Sources and Uses Budget'!C29</f>
        <v>4580401</v>
      </c>
      <c r="E30" s="331">
        <f t="shared" si="0"/>
        <v>0</v>
      </c>
      <c r="F30" s="330"/>
      <c r="G30" s="330"/>
    </row>
    <row r="31" spans="1:7" s="568" customFormat="1" ht="13.2">
      <c r="A31" s="239" t="s">
        <v>910</v>
      </c>
      <c r="B31" s="329">
        <f>'Sources and Uses Budget'!C30</f>
        <v>18531752</v>
      </c>
      <c r="C31" s="329">
        <f>'Sources and Uses Budget'!C30</f>
        <v>18531752</v>
      </c>
      <c r="D31" s="329">
        <f>'Sources and Uses Budget'!C30</f>
        <v>18531752</v>
      </c>
      <c r="E31" s="331">
        <f t="shared" si="0"/>
        <v>0</v>
      </c>
      <c r="F31" s="330"/>
      <c r="G31" s="330"/>
    </row>
    <row r="32" spans="1:7" s="568" customFormat="1" ht="13.2">
      <c r="A32" s="239" t="s">
        <v>911</v>
      </c>
      <c r="B32" s="329">
        <f>'Sources and Uses Budget'!C31</f>
        <v>2363979</v>
      </c>
      <c r="C32" s="329">
        <f>'Sources and Uses Budget'!C31</f>
        <v>2363979</v>
      </c>
      <c r="D32" s="329">
        <f>'Sources and Uses Budget'!C31</f>
        <v>2363979</v>
      </c>
      <c r="E32" s="331">
        <f t="shared" si="0"/>
        <v>0</v>
      </c>
      <c r="F32" s="330"/>
      <c r="G32" s="330"/>
    </row>
    <row r="33" spans="1:7" s="568" customFormat="1" ht="13.2">
      <c r="A33" s="239" t="s">
        <v>912</v>
      </c>
      <c r="B33" s="329">
        <f>'Sources and Uses Budget'!C32</f>
        <v>397692</v>
      </c>
      <c r="C33" s="329">
        <f>'Sources and Uses Budget'!C32</f>
        <v>397692</v>
      </c>
      <c r="D33" s="329">
        <f>'Sources and Uses Budget'!C32</f>
        <v>397692</v>
      </c>
      <c r="E33" s="331">
        <f t="shared" si="0"/>
        <v>0</v>
      </c>
      <c r="F33" s="330"/>
      <c r="G33" s="330"/>
    </row>
    <row r="34" spans="1:7" s="568" customFormat="1" ht="13.2">
      <c r="A34" s="239" t="s">
        <v>913</v>
      </c>
      <c r="B34" s="329">
        <f>'Sources and Uses Budget'!C33</f>
        <v>397692</v>
      </c>
      <c r="C34" s="329">
        <f>'Sources and Uses Budget'!C33</f>
        <v>397692</v>
      </c>
      <c r="D34" s="329">
        <f>'Sources and Uses Budget'!C33</f>
        <v>397692</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121758</v>
      </c>
      <c r="C36" s="329">
        <f>'Sources and Uses Budget'!C35</f>
        <v>121758</v>
      </c>
      <c r="D36" s="329">
        <f>'Sources and Uses Budget'!C35</f>
        <v>121758</v>
      </c>
      <c r="E36" s="331">
        <f t="shared" si="0"/>
        <v>0</v>
      </c>
      <c r="F36" s="330"/>
      <c r="G36" s="330"/>
    </row>
    <row r="37" spans="1:7" s="568" customFormat="1" ht="13.2">
      <c r="A37" s="239" t="s">
        <v>1942</v>
      </c>
      <c r="B37" s="329">
        <f>'Sources and Uses Budget'!C36</f>
        <v>117000</v>
      </c>
      <c r="C37" s="329">
        <f>'Sources and Uses Budget'!C36</f>
        <v>117000</v>
      </c>
      <c r="D37" s="329">
        <f>'Sources and Uses Budget'!C36</f>
        <v>117000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6" t="s">
        <v>918</v>
      </c>
      <c r="B39" s="893">
        <f>'Sources and Uses Budget'!C38</f>
        <v>26510274</v>
      </c>
      <c r="C39" s="893">
        <f>'Sources and Uses Budget'!C38</f>
        <v>26510274</v>
      </c>
      <c r="D39" s="893">
        <f>'Sources and Uses Budget'!C38</f>
        <v>26510274</v>
      </c>
      <c r="E39" s="331">
        <f>C39-B39</f>
        <v>0</v>
      </c>
      <c r="F39" s="330"/>
      <c r="G39" s="330"/>
    </row>
    <row r="40" spans="1:7" s="568" customFormat="1" ht="13.2">
      <c r="A40" s="882" t="s">
        <v>919</v>
      </c>
      <c r="B40" s="327"/>
      <c r="C40" s="327"/>
      <c r="D40" s="327"/>
      <c r="E40" s="327"/>
      <c r="F40" s="327"/>
      <c r="G40" s="327"/>
    </row>
    <row r="41" spans="1:7" s="568" customFormat="1" ht="13.2">
      <c r="A41" s="887" t="s">
        <v>920</v>
      </c>
      <c r="B41" s="329">
        <f>'Sources and Uses Budget'!C40</f>
        <v>850000</v>
      </c>
      <c r="C41" s="329">
        <f>'Sources and Uses Budget'!C40</f>
        <v>850000</v>
      </c>
      <c r="D41" s="329">
        <f>'Sources and Uses Budget'!C40</f>
        <v>850000</v>
      </c>
      <c r="E41" s="331">
        <f>C41-B41</f>
        <v>0</v>
      </c>
      <c r="F41" s="330"/>
      <c r="G41" s="330"/>
    </row>
    <row r="42" spans="1:7" s="568" customFormat="1" ht="13.2">
      <c r="A42" s="887" t="s">
        <v>921</v>
      </c>
      <c r="B42" s="329">
        <f>'Sources and Uses Budget'!C41</f>
        <v>300000</v>
      </c>
      <c r="C42" s="329">
        <f>'Sources and Uses Budget'!C41</f>
        <v>300000</v>
      </c>
      <c r="D42" s="329">
        <f>'Sources and Uses Budget'!C41</f>
        <v>300000</v>
      </c>
      <c r="E42" s="331">
        <f>C42-B42</f>
        <v>0</v>
      </c>
      <c r="F42" s="330"/>
      <c r="G42" s="330"/>
    </row>
    <row r="43" spans="1:7" s="568" customFormat="1" ht="12" customHeight="1">
      <c r="A43" s="886" t="s">
        <v>922</v>
      </c>
      <c r="B43" s="893">
        <f>'Sources and Uses Budget'!C42</f>
        <v>1150000</v>
      </c>
      <c r="C43" s="893">
        <f>'Sources and Uses Budget'!C42</f>
        <v>1150000</v>
      </c>
      <c r="D43" s="893">
        <f>'Sources and Uses Budget'!C42</f>
        <v>1150000</v>
      </c>
      <c r="E43" s="331">
        <f>C43-B43</f>
        <v>0</v>
      </c>
      <c r="F43" s="330"/>
      <c r="G43" s="330"/>
    </row>
    <row r="44" spans="1:7" s="568" customFormat="1" ht="13.2">
      <c r="A44" s="886" t="s">
        <v>923</v>
      </c>
      <c r="B44" s="329">
        <f>'Sources and Uses Budget'!C43</f>
        <v>500000</v>
      </c>
      <c r="C44" s="329">
        <f>'Sources and Uses Budget'!C43</f>
        <v>500000</v>
      </c>
      <c r="D44" s="329">
        <f>'Sources and Uses Budget'!C43</f>
        <v>500000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2369587</v>
      </c>
      <c r="C46" s="329">
        <f>'Sources and Uses Budget'!C45</f>
        <v>2369587</v>
      </c>
      <c r="D46" s="329">
        <f>'Sources and Uses Budget'!C45</f>
        <v>2369587</v>
      </c>
      <c r="E46" s="331">
        <f t="shared" si="0"/>
        <v>0</v>
      </c>
      <c r="F46" s="330"/>
      <c r="G46" s="330"/>
    </row>
    <row r="47" spans="1:7" s="568" customFormat="1" ht="13.2">
      <c r="A47" s="239" t="s">
        <v>926</v>
      </c>
      <c r="B47" s="329">
        <f>'Sources and Uses Budget'!C46</f>
        <v>208740</v>
      </c>
      <c r="C47" s="329">
        <f>'Sources and Uses Budget'!C46</f>
        <v>208740</v>
      </c>
      <c r="D47" s="329">
        <f>'Sources and Uses Budget'!C46</f>
        <v>208740</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274718</v>
      </c>
      <c r="C49" s="329">
        <f>'Sources and Uses Budget'!C48</f>
        <v>274718</v>
      </c>
      <c r="D49" s="329">
        <f>'Sources and Uses Budget'!C48</f>
        <v>274718</v>
      </c>
      <c r="E49" s="331">
        <f t="shared" si="0"/>
        <v>0</v>
      </c>
      <c r="F49" s="330"/>
      <c r="G49" s="330"/>
    </row>
    <row r="50" spans="1:7" s="568" customFormat="1" ht="13.2">
      <c r="A50" s="239" t="s">
        <v>931</v>
      </c>
      <c r="B50" s="329">
        <f>'Sources and Uses Budget'!C49</f>
        <v>80000</v>
      </c>
      <c r="C50" s="329">
        <f>'Sources and Uses Budget'!C49</f>
        <v>80000</v>
      </c>
      <c r="D50" s="329">
        <f>'Sources and Uses Budget'!C49</f>
        <v>80000</v>
      </c>
      <c r="E50" s="331">
        <f t="shared" si="0"/>
        <v>0</v>
      </c>
      <c r="F50" s="330"/>
      <c r="G50" s="330"/>
    </row>
    <row r="51" spans="1:7" s="568" customFormat="1" ht="13.2">
      <c r="A51" s="239" t="s">
        <v>929</v>
      </c>
      <c r="B51" s="329">
        <f>'Sources and Uses Budget'!C50</f>
        <v>50000</v>
      </c>
      <c r="C51" s="329">
        <f>'Sources and Uses Budget'!C50</f>
        <v>50000</v>
      </c>
      <c r="D51" s="329">
        <f>'Sources and Uses Budget'!C50</f>
        <v>50000</v>
      </c>
      <c r="E51" s="331">
        <f t="shared" si="0"/>
        <v>0</v>
      </c>
      <c r="F51" s="330"/>
      <c r="G51" s="330"/>
    </row>
    <row r="52" spans="1:7" s="569" customFormat="1" ht="13.2">
      <c r="A52" s="239" t="s">
        <v>930</v>
      </c>
      <c r="B52" s="329">
        <f>'Sources and Uses Budget'!C51</f>
        <v>150000</v>
      </c>
      <c r="C52" s="329">
        <f>'Sources and Uses Budget'!C51</f>
        <v>150000</v>
      </c>
      <c r="D52" s="329">
        <f>'Sources and Uses Budget'!C51</f>
        <v>150000</v>
      </c>
      <c r="E52" s="331">
        <f t="shared" si="0"/>
        <v>0</v>
      </c>
      <c r="F52" s="330"/>
      <c r="G52" s="330"/>
    </row>
    <row r="53" spans="1:7" s="568" customFormat="1" ht="13.2">
      <c r="A53" s="246" t="s">
        <v>532</v>
      </c>
      <c r="B53" s="329">
        <f>'Sources and Uses Budget'!C52</f>
        <v>193500</v>
      </c>
      <c r="C53" s="329">
        <f>'Sources and Uses Budget'!C52</f>
        <v>193500</v>
      </c>
      <c r="D53" s="329">
        <f>'Sources and Uses Budget'!C52</f>
        <v>193500</v>
      </c>
      <c r="E53" s="331">
        <f t="shared" si="0"/>
        <v>0</v>
      </c>
      <c r="F53" s="330"/>
      <c r="G53" s="330"/>
    </row>
    <row r="54" spans="1:7" s="568" customFormat="1" ht="13.2">
      <c r="A54" s="243" t="s">
        <v>932</v>
      </c>
      <c r="B54" s="893">
        <f>'Sources and Uses Budget'!C53</f>
        <v>3326545</v>
      </c>
      <c r="C54" s="893">
        <f>'Sources and Uses Budget'!C53</f>
        <v>3326545</v>
      </c>
      <c r="D54" s="893">
        <f>'Sources and Uses Budget'!C53</f>
        <v>3326545</v>
      </c>
      <c r="E54" s="331">
        <f t="shared" si="0"/>
        <v>0</v>
      </c>
      <c r="F54" s="330"/>
      <c r="G54" s="330"/>
    </row>
    <row r="55" spans="1:7" s="568" customFormat="1" ht="12" customHeight="1">
      <c r="A55" s="882" t="s">
        <v>682</v>
      </c>
      <c r="B55" s="327"/>
      <c r="C55" s="327"/>
      <c r="D55" s="327"/>
      <c r="E55" s="327"/>
      <c r="F55" s="327"/>
      <c r="G55" s="327"/>
    </row>
    <row r="56" spans="1:7" s="568" customFormat="1" ht="13.2">
      <c r="A56" s="887" t="s">
        <v>933</v>
      </c>
      <c r="B56" s="329">
        <f>'Sources and Uses Budget'!C55</f>
        <v>62040</v>
      </c>
      <c r="C56" s="329">
        <f>'Sources and Uses Budget'!C55</f>
        <v>62040</v>
      </c>
      <c r="D56" s="329">
        <f>'Sources and Uses Budget'!C55</f>
        <v>62040</v>
      </c>
      <c r="E56" s="331">
        <f t="shared" si="0"/>
        <v>0</v>
      </c>
      <c r="F56" s="330"/>
      <c r="G56" s="330"/>
    </row>
    <row r="57" spans="1:7" s="568" customFormat="1" ht="13.2">
      <c r="A57" s="887" t="s">
        <v>927</v>
      </c>
      <c r="B57" s="329">
        <f>'Sources and Uses Budget'!C56</f>
        <v>0</v>
      </c>
      <c r="C57" s="329">
        <f>'Sources and Uses Budget'!C56</f>
        <v>0</v>
      </c>
      <c r="D57" s="329">
        <f>'Sources and Uses Budget'!C56</f>
        <v>0</v>
      </c>
      <c r="E57" s="331">
        <f t="shared" si="0"/>
        <v>0</v>
      </c>
      <c r="F57" s="330"/>
      <c r="G57" s="330"/>
    </row>
    <row r="58" spans="1:7" s="568" customFormat="1" ht="13.2">
      <c r="A58" s="887" t="s">
        <v>931</v>
      </c>
      <c r="B58" s="329">
        <f>'Sources and Uses Budget'!C57</f>
        <v>14952</v>
      </c>
      <c r="C58" s="329">
        <f>'Sources and Uses Budget'!C57</f>
        <v>14952</v>
      </c>
      <c r="D58" s="329">
        <f>'Sources and Uses Budget'!C57</f>
        <v>14952</v>
      </c>
      <c r="E58" s="331">
        <f t="shared" si="0"/>
        <v>0</v>
      </c>
      <c r="F58" s="330"/>
      <c r="G58" s="330"/>
    </row>
    <row r="59" spans="1:7" s="568" customFormat="1" ht="13.2">
      <c r="A59" s="887" t="s">
        <v>929</v>
      </c>
      <c r="B59" s="329">
        <f>'Sources and Uses Budget'!C58</f>
        <v>0</v>
      </c>
      <c r="C59" s="329">
        <f>'Sources and Uses Budget'!C58</f>
        <v>0</v>
      </c>
      <c r="D59" s="329">
        <f>'Sources and Uses Budget'!C58</f>
        <v>0</v>
      </c>
      <c r="E59" s="331">
        <f t="shared" si="0"/>
        <v>0</v>
      </c>
      <c r="F59" s="330"/>
      <c r="G59" s="330"/>
    </row>
    <row r="60" spans="1:7" s="568" customFormat="1" ht="13.2">
      <c r="A60" s="887" t="s">
        <v>930</v>
      </c>
      <c r="B60" s="329">
        <f>'Sources and Uses Budget'!C59</f>
        <v>0</v>
      </c>
      <c r="C60" s="329">
        <f>'Sources and Uses Budget'!C59</f>
        <v>0</v>
      </c>
      <c r="D60" s="329">
        <f>'Sources and Uses Budget'!C59</f>
        <v>0</v>
      </c>
      <c r="E60" s="331">
        <f t="shared" si="0"/>
        <v>0</v>
      </c>
      <c r="F60" s="330"/>
      <c r="G60" s="330"/>
    </row>
    <row r="61" spans="1:7" s="568" customFormat="1" ht="14.1" customHeight="1">
      <c r="A61" s="888" t="s">
        <v>532</v>
      </c>
      <c r="B61" s="329">
        <f>'Sources and Uses Budget'!C60</f>
        <v>15000</v>
      </c>
      <c r="C61" s="329">
        <f>'Sources and Uses Budget'!C60</f>
        <v>15000</v>
      </c>
      <c r="D61" s="329">
        <f>'Sources and Uses Budget'!C60</f>
        <v>15000</v>
      </c>
      <c r="E61" s="331">
        <f t="shared" si="0"/>
        <v>0</v>
      </c>
      <c r="F61" s="330"/>
      <c r="G61" s="330"/>
    </row>
    <row r="62" spans="1:7" s="568" customFormat="1" ht="13.2">
      <c r="A62" s="886" t="s">
        <v>499</v>
      </c>
      <c r="B62" s="893">
        <f>'Sources and Uses Budget'!C61</f>
        <v>91992</v>
      </c>
      <c r="C62" s="893">
        <f>'Sources and Uses Budget'!C61</f>
        <v>91992</v>
      </c>
      <c r="D62" s="893">
        <f>'Sources and Uses Budget'!C61</f>
        <v>91992</v>
      </c>
      <c r="E62" s="331">
        <f t="shared" si="0"/>
        <v>0</v>
      </c>
      <c r="F62" s="330"/>
      <c r="G62" s="330"/>
    </row>
    <row r="63" spans="1:7" s="568" customFormat="1" ht="13.2">
      <c r="A63" s="889" t="s">
        <v>500</v>
      </c>
      <c r="B63" s="893">
        <f>'Sources and Uses Budget'!C62</f>
        <v>36573690</v>
      </c>
      <c r="C63" s="893">
        <f>'Sources and Uses Budget'!C62</f>
        <v>36573690</v>
      </c>
      <c r="D63" s="893">
        <f>'Sources and Uses Budget'!C62</f>
        <v>36573690</v>
      </c>
      <c r="E63" s="331">
        <f t="shared" si="0"/>
        <v>0</v>
      </c>
      <c r="F63" s="330"/>
      <c r="G63" s="330"/>
    </row>
    <row r="64" spans="1:7" s="568" customFormat="1" ht="22.8">
      <c r="A64" s="235" t="s">
        <v>1943</v>
      </c>
      <c r="B64" s="327"/>
      <c r="C64" s="327"/>
      <c r="D64" s="327"/>
      <c r="E64" s="327"/>
      <c r="F64" s="327"/>
      <c r="G64" s="327"/>
    </row>
    <row r="65" spans="1:7" s="568" customFormat="1" ht="13.2">
      <c r="A65" s="239" t="s">
        <v>283</v>
      </c>
      <c r="B65" s="329">
        <f>'Sources and Uses Budget'!C64</f>
        <v>170000</v>
      </c>
      <c r="C65" s="329">
        <f>'Sources and Uses Budget'!C64</f>
        <v>170000</v>
      </c>
      <c r="D65" s="329">
        <f>'Sources and Uses Budget'!C64</f>
        <v>170000</v>
      </c>
      <c r="E65" s="331">
        <f t="shared" si="0"/>
        <v>0</v>
      </c>
      <c r="F65" s="330"/>
      <c r="G65" s="330"/>
    </row>
    <row r="66" spans="1:7" s="568" customFormat="1" ht="22.8">
      <c r="A66" s="239" t="s">
        <v>1944</v>
      </c>
      <c r="B66" s="329">
        <f>'Sources and Uses Budget'!C65</f>
        <v>0</v>
      </c>
      <c r="C66" s="329">
        <f>'Sources and Uses Budget'!C65</f>
        <v>0</v>
      </c>
      <c r="D66" s="329">
        <f>'Sources and Uses Budget'!C65</f>
        <v>0</v>
      </c>
      <c r="E66" s="331">
        <f t="shared" si="0"/>
        <v>0</v>
      </c>
      <c r="F66" s="330"/>
      <c r="G66" s="330"/>
    </row>
    <row r="67" spans="1:7" s="568" customFormat="1" ht="22.8">
      <c r="A67" s="239" t="s">
        <v>1945</v>
      </c>
      <c r="B67" s="329">
        <f>'Sources and Uses Budget'!C66</f>
        <v>0</v>
      </c>
      <c r="C67" s="329">
        <f>'Sources and Uses Budget'!C66</f>
        <v>0</v>
      </c>
      <c r="D67" s="329">
        <f>'Sources and Uses Budget'!C66</f>
        <v>0</v>
      </c>
      <c r="E67" s="331">
        <f t="shared" si="0"/>
        <v>0</v>
      </c>
      <c r="F67" s="330"/>
      <c r="G67" s="330"/>
    </row>
    <row r="68" spans="1:7" s="568" customFormat="1" ht="13.2">
      <c r="A68" s="239" t="s">
        <v>1946</v>
      </c>
      <c r="B68" s="329">
        <f>'Sources and Uses Budget'!C67</f>
        <v>0</v>
      </c>
      <c r="C68" s="329">
        <f>'Sources and Uses Budget'!C67</f>
        <v>0</v>
      </c>
      <c r="D68" s="329">
        <f>'Sources and Uses Budget'!C67</f>
        <v>0</v>
      </c>
      <c r="E68" s="331">
        <f t="shared" si="0"/>
        <v>0</v>
      </c>
      <c r="F68" s="330"/>
      <c r="G68" s="330"/>
    </row>
    <row r="69" spans="1:7" s="568" customFormat="1" ht="13.2">
      <c r="A69" s="250" t="s">
        <v>2004</v>
      </c>
      <c r="B69" s="329">
        <f>'Sources and Uses Budget'!C68</f>
        <v>0</v>
      </c>
      <c r="C69" s="329">
        <f>'Sources and Uses Budget'!C68</f>
        <v>0</v>
      </c>
      <c r="D69" s="329">
        <f>'Sources and Uses Budget'!C68</f>
        <v>0</v>
      </c>
      <c r="E69" s="331">
        <f t="shared" si="0"/>
        <v>0</v>
      </c>
      <c r="F69" s="330"/>
      <c r="G69" s="330"/>
    </row>
    <row r="70" spans="1:7" s="568" customFormat="1" ht="13.2">
      <c r="A70" s="243" t="s">
        <v>1947</v>
      </c>
      <c r="B70" s="893">
        <f>'Sources and Uses Budget'!C69</f>
        <v>170000</v>
      </c>
      <c r="C70" s="893">
        <f>'Sources and Uses Budget'!C69</f>
        <v>170000</v>
      </c>
      <c r="D70" s="893">
        <f>'Sources and Uses Budget'!C69</f>
        <v>170000</v>
      </c>
      <c r="E70" s="331">
        <f t="shared" si="0"/>
        <v>0</v>
      </c>
      <c r="F70" s="330"/>
      <c r="G70" s="330"/>
    </row>
    <row r="71" spans="1:7" s="568" customFormat="1" ht="13.2">
      <c r="A71" s="882" t="s">
        <v>284</v>
      </c>
      <c r="B71" s="327"/>
      <c r="C71" s="327"/>
      <c r="D71" s="327"/>
      <c r="E71" s="327"/>
      <c r="F71" s="327"/>
      <c r="G71" s="327"/>
    </row>
    <row r="72" spans="1:7" s="568" customFormat="1" ht="13.2">
      <c r="A72" s="887" t="s">
        <v>285</v>
      </c>
      <c r="B72" s="329">
        <f>'Sources and Uses Budget'!C71</f>
        <v>0</v>
      </c>
      <c r="C72" s="329">
        <f>'Sources and Uses Budget'!C71</f>
        <v>0</v>
      </c>
      <c r="D72" s="329">
        <f>'Sources and Uses Budget'!C71</f>
        <v>0</v>
      </c>
      <c r="E72" s="331">
        <f t="shared" si="0"/>
        <v>0</v>
      </c>
      <c r="F72" s="330"/>
      <c r="G72" s="330"/>
    </row>
    <row r="73" spans="1:7" s="568" customFormat="1" ht="13.2">
      <c r="A73" s="887" t="s">
        <v>286</v>
      </c>
      <c r="B73" s="329">
        <f>'Sources and Uses Budget'!C72</f>
        <v>0</v>
      </c>
      <c r="C73" s="329">
        <f>'Sources and Uses Budget'!C72</f>
        <v>0</v>
      </c>
      <c r="D73" s="329">
        <f>'Sources and Uses Budget'!C72</f>
        <v>0</v>
      </c>
      <c r="E73" s="331">
        <f t="shared" si="0"/>
        <v>0</v>
      </c>
      <c r="F73" s="330"/>
      <c r="G73" s="330"/>
    </row>
    <row r="74" spans="1:7" s="568" customFormat="1" ht="13.2">
      <c r="A74" s="890" t="s">
        <v>1230</v>
      </c>
      <c r="B74" s="329">
        <f>'Sources and Uses Budget'!C73</f>
        <v>0</v>
      </c>
      <c r="C74" s="329">
        <f>'Sources and Uses Budget'!C73</f>
        <v>0</v>
      </c>
      <c r="D74" s="329">
        <f>'Sources and Uses Budget'!C73</f>
        <v>0</v>
      </c>
      <c r="E74" s="331">
        <f>C74-B74</f>
        <v>0</v>
      </c>
      <c r="F74" s="330"/>
      <c r="G74" s="330"/>
    </row>
    <row r="75" spans="1:7" s="568" customFormat="1" ht="13.2">
      <c r="A75" s="887" t="s">
        <v>287</v>
      </c>
      <c r="B75" s="329">
        <f>'Sources and Uses Budget'!C74</f>
        <v>0</v>
      </c>
      <c r="C75" s="329">
        <f>'Sources and Uses Budget'!C74</f>
        <v>0</v>
      </c>
      <c r="D75" s="329">
        <f>'Sources and Uses Budget'!C74</f>
        <v>0</v>
      </c>
      <c r="E75" s="331">
        <f>C75-B75</f>
        <v>0</v>
      </c>
      <c r="F75" s="330"/>
      <c r="G75" s="330"/>
    </row>
    <row r="76" spans="1:7" s="568" customFormat="1" ht="13.2">
      <c r="A76" s="891" t="s">
        <v>532</v>
      </c>
      <c r="B76" s="329">
        <f>'Sources and Uses Budget'!C75</f>
        <v>540088</v>
      </c>
      <c r="C76" s="329">
        <f>'Sources and Uses Budget'!C75</f>
        <v>540088</v>
      </c>
      <c r="D76" s="329">
        <f>'Sources and Uses Budget'!C75</f>
        <v>540088</v>
      </c>
      <c r="E76" s="331">
        <f>C76-B76</f>
        <v>0</v>
      </c>
      <c r="F76" s="330"/>
      <c r="G76" s="330"/>
    </row>
    <row r="77" spans="1:7" s="568" customFormat="1" ht="13.2">
      <c r="A77" s="886" t="s">
        <v>288</v>
      </c>
      <c r="B77" s="893">
        <f>'Sources and Uses Budget'!C76</f>
        <v>540088</v>
      </c>
      <c r="C77" s="893">
        <f>'Sources and Uses Budget'!C76</f>
        <v>540088</v>
      </c>
      <c r="D77" s="893">
        <f>'Sources and Uses Budget'!C76</f>
        <v>540088</v>
      </c>
      <c r="E77" s="331">
        <f>C77-B77</f>
        <v>0</v>
      </c>
      <c r="F77" s="330"/>
      <c r="G77" s="330"/>
    </row>
    <row r="78" spans="1:7" s="568" customFormat="1" ht="13.2">
      <c r="A78" s="882" t="s">
        <v>1734</v>
      </c>
      <c r="B78" s="327"/>
      <c r="C78" s="327"/>
      <c r="D78" s="327"/>
      <c r="E78" s="327"/>
      <c r="F78" s="327"/>
      <c r="G78" s="327"/>
    </row>
    <row r="79" spans="1:7" s="568" customFormat="1" ht="14.1" customHeight="1">
      <c r="A79" s="887" t="s">
        <v>1732</v>
      </c>
      <c r="B79" s="329">
        <f>'Sources and Uses Budget'!C78</f>
        <v>1380144</v>
      </c>
      <c r="C79" s="329">
        <f>'Sources and Uses Budget'!C78</f>
        <v>1380144</v>
      </c>
      <c r="D79" s="329">
        <f>'Sources and Uses Budget'!C78</f>
        <v>1380144</v>
      </c>
      <c r="E79" s="331">
        <f t="shared" ref="E79:E105" si="2">C79-B79</f>
        <v>0</v>
      </c>
      <c r="F79" s="330"/>
      <c r="G79" s="330"/>
    </row>
    <row r="80" spans="1:7" s="568" customFormat="1" ht="13.2">
      <c r="A80" s="887" t="s">
        <v>537</v>
      </c>
      <c r="B80" s="329">
        <f>'Sources and Uses Budget'!C79</f>
        <v>392600</v>
      </c>
      <c r="C80" s="329">
        <f>'Sources and Uses Budget'!C79</f>
        <v>392600</v>
      </c>
      <c r="D80" s="329">
        <f>'Sources and Uses Budget'!C79</f>
        <v>392600</v>
      </c>
      <c r="E80" s="331">
        <f t="shared" si="2"/>
        <v>0</v>
      </c>
      <c r="F80" s="330"/>
      <c r="G80" s="330"/>
    </row>
    <row r="81" spans="1:7" s="568" customFormat="1" ht="13.2">
      <c r="A81" s="886" t="s">
        <v>1733</v>
      </c>
      <c r="B81" s="893">
        <f>'Sources and Uses Budget'!C80</f>
        <v>1772744</v>
      </c>
      <c r="C81" s="893">
        <f>'Sources and Uses Budget'!C80</f>
        <v>1772744</v>
      </c>
      <c r="D81" s="893">
        <f>'Sources and Uses Budget'!C80</f>
        <v>1772744</v>
      </c>
      <c r="E81" s="331">
        <f t="shared" si="2"/>
        <v>0</v>
      </c>
      <c r="F81" s="330"/>
      <c r="G81" s="330"/>
    </row>
    <row r="82" spans="1:7" s="568" customFormat="1" ht="13.2">
      <c r="A82" s="882" t="s">
        <v>514</v>
      </c>
      <c r="B82" s="327"/>
      <c r="C82" s="327"/>
      <c r="D82" s="327"/>
      <c r="E82" s="327"/>
      <c r="F82" s="327"/>
      <c r="G82" s="327"/>
    </row>
    <row r="83" spans="1:7" s="568" customFormat="1" ht="13.2">
      <c r="A83" s="239" t="s">
        <v>2103</v>
      </c>
      <c r="B83" s="329">
        <f>'Sources and Uses Budget'!C82</f>
        <v>108971</v>
      </c>
      <c r="C83" s="329">
        <f>'Sources and Uses Budget'!C82</f>
        <v>108971</v>
      </c>
      <c r="D83" s="329">
        <f>'Sources and Uses Budget'!C82</f>
        <v>108971</v>
      </c>
      <c r="E83" s="331">
        <f t="shared" si="2"/>
        <v>0</v>
      </c>
      <c r="F83" s="330"/>
      <c r="G83" s="330"/>
    </row>
    <row r="84" spans="1:7" s="568" customFormat="1" ht="13.2">
      <c r="A84" s="239" t="s">
        <v>515</v>
      </c>
      <c r="B84" s="329">
        <f>'Sources and Uses Budget'!C83</f>
        <v>150000</v>
      </c>
      <c r="C84" s="329">
        <f>'Sources and Uses Budget'!C83</f>
        <v>150000</v>
      </c>
      <c r="D84" s="329">
        <f>'Sources and Uses Budget'!C83</f>
        <v>150000</v>
      </c>
      <c r="E84" s="331">
        <f t="shared" si="2"/>
        <v>0</v>
      </c>
      <c r="F84" s="330"/>
      <c r="G84" s="330"/>
    </row>
    <row r="85" spans="1:7" s="568" customFormat="1" ht="13.2">
      <c r="A85" s="239" t="s">
        <v>516</v>
      </c>
      <c r="B85" s="329">
        <f>'Sources and Uses Budget'!C84</f>
        <v>1283087</v>
      </c>
      <c r="C85" s="329">
        <f>'Sources and Uses Budget'!C84</f>
        <v>1283087</v>
      </c>
      <c r="D85" s="329">
        <f>'Sources and Uses Budget'!C84</f>
        <v>1283087</v>
      </c>
      <c r="E85" s="331">
        <f t="shared" si="2"/>
        <v>0</v>
      </c>
      <c r="F85" s="330"/>
      <c r="G85" s="330"/>
    </row>
    <row r="86" spans="1:7" s="568" customFormat="1" ht="13.2">
      <c r="A86" s="239" t="s">
        <v>517</v>
      </c>
      <c r="B86" s="329">
        <f>'Sources and Uses Budget'!C85</f>
        <v>370000</v>
      </c>
      <c r="C86" s="329">
        <f>'Sources and Uses Budget'!C85</f>
        <v>370000</v>
      </c>
      <c r="D86" s="329">
        <f>'Sources and Uses Budget'!C85</f>
        <v>370000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74000</v>
      </c>
      <c r="C88" s="329">
        <f>'Sources and Uses Budget'!C87</f>
        <v>74000</v>
      </c>
      <c r="D88" s="329">
        <f>'Sources and Uses Budget'!C87</f>
        <v>74000</v>
      </c>
      <c r="E88" s="331">
        <f t="shared" si="2"/>
        <v>0</v>
      </c>
      <c r="F88" s="330"/>
      <c r="G88" s="330"/>
    </row>
    <row r="89" spans="1:7" s="568" customFormat="1" ht="13.2">
      <c r="A89" s="239" t="s">
        <v>520</v>
      </c>
      <c r="B89" s="329">
        <f>'Sources and Uses Budget'!C88</f>
        <v>86976</v>
      </c>
      <c r="C89" s="329">
        <f>'Sources and Uses Budget'!C88</f>
        <v>86976</v>
      </c>
      <c r="D89" s="329">
        <f>'Sources and Uses Budget'!C88</f>
        <v>86976</v>
      </c>
      <c r="E89" s="331">
        <f t="shared" si="2"/>
        <v>0</v>
      </c>
      <c r="F89" s="330"/>
      <c r="G89" s="330"/>
    </row>
    <row r="90" spans="1:7" s="568" customFormat="1" ht="13.2">
      <c r="A90" s="239" t="s">
        <v>521</v>
      </c>
      <c r="B90" s="329">
        <f>'Sources and Uses Budget'!C89</f>
        <v>15000</v>
      </c>
      <c r="C90" s="329">
        <f>'Sources and Uses Budget'!C89</f>
        <v>15000</v>
      </c>
      <c r="D90" s="329">
        <f>'Sources and Uses Budget'!C89</f>
        <v>15000</v>
      </c>
      <c r="E90" s="331">
        <f t="shared" si="2"/>
        <v>0</v>
      </c>
      <c r="F90" s="330"/>
      <c r="G90" s="330"/>
    </row>
    <row r="91" spans="1:7" s="568" customFormat="1" ht="13.2">
      <c r="A91" s="250" t="s">
        <v>1306</v>
      </c>
      <c r="B91" s="329">
        <f>'Sources and Uses Budget'!C90</f>
        <v>0</v>
      </c>
      <c r="C91" s="329">
        <f>'Sources and Uses Budget'!C90</f>
        <v>0</v>
      </c>
      <c r="D91" s="329">
        <f>'Sources and Uses Budget'!C90</f>
        <v>0</v>
      </c>
      <c r="E91" s="331">
        <f t="shared" si="2"/>
        <v>0</v>
      </c>
      <c r="F91" s="330"/>
      <c r="G91" s="330"/>
    </row>
    <row r="92" spans="1:7" s="568" customFormat="1" ht="13.2">
      <c r="A92" s="250" t="s">
        <v>1731</v>
      </c>
      <c r="B92" s="329">
        <f>'Sources and Uses Budget'!C91</f>
        <v>15000</v>
      </c>
      <c r="C92" s="329">
        <f>'Sources and Uses Budget'!C91</f>
        <v>15000</v>
      </c>
      <c r="D92" s="329">
        <f>'Sources and Uses Budget'!C91</f>
        <v>15000</v>
      </c>
      <c r="E92" s="331">
        <f t="shared" si="2"/>
        <v>0</v>
      </c>
      <c r="F92" s="330"/>
      <c r="G92" s="330"/>
    </row>
    <row r="93" spans="1:7" s="568" customFormat="1" ht="13.2">
      <c r="A93" s="246" t="s">
        <v>532</v>
      </c>
      <c r="B93" s="329">
        <f>'Sources and Uses Budget'!C92</f>
        <v>391999</v>
      </c>
      <c r="C93" s="329">
        <f>'Sources and Uses Budget'!C92</f>
        <v>391999</v>
      </c>
      <c r="D93" s="329">
        <f>'Sources and Uses Budget'!C92</f>
        <v>391999</v>
      </c>
      <c r="E93" s="331">
        <f t="shared" si="2"/>
        <v>0</v>
      </c>
      <c r="F93" s="330"/>
      <c r="G93" s="330"/>
    </row>
    <row r="94" spans="1:7" s="568" customFormat="1" ht="13.2">
      <c r="A94" s="246" t="s">
        <v>532</v>
      </c>
      <c r="B94" s="329">
        <f>'Sources and Uses Budget'!C93</f>
        <v>164000</v>
      </c>
      <c r="C94" s="329">
        <f>'Sources and Uses Budget'!C93</f>
        <v>164000</v>
      </c>
      <c r="D94" s="329">
        <f>'Sources and Uses Budget'!C93</f>
        <v>164000</v>
      </c>
      <c r="E94" s="331">
        <f t="shared" si="2"/>
        <v>0</v>
      </c>
      <c r="F94" s="330"/>
      <c r="G94" s="330"/>
    </row>
    <row r="95" spans="1:7" s="568" customFormat="1" ht="13.2">
      <c r="A95" s="246" t="s">
        <v>532</v>
      </c>
      <c r="B95" s="329">
        <f>'Sources and Uses Budget'!C94</f>
        <v>265393</v>
      </c>
      <c r="C95" s="329">
        <f>'Sources and Uses Budget'!C94</f>
        <v>265393</v>
      </c>
      <c r="D95" s="329">
        <f>'Sources and Uses Budget'!C94</f>
        <v>265393</v>
      </c>
      <c r="E95" s="331">
        <f t="shared" si="2"/>
        <v>0</v>
      </c>
      <c r="F95" s="330"/>
      <c r="G95" s="330"/>
    </row>
    <row r="96" spans="1:7" s="568" customFormat="1" ht="13.2">
      <c r="A96" s="243" t="s">
        <v>522</v>
      </c>
      <c r="B96" s="893">
        <f>'Sources and Uses Budget'!C95</f>
        <v>2924426</v>
      </c>
      <c r="C96" s="893">
        <f>'Sources and Uses Budget'!C95</f>
        <v>2924426</v>
      </c>
      <c r="D96" s="893">
        <f>'Sources and Uses Budget'!C95</f>
        <v>2924426</v>
      </c>
      <c r="E96" s="331">
        <f t="shared" si="2"/>
        <v>0</v>
      </c>
      <c r="F96" s="330"/>
      <c r="G96" s="330"/>
    </row>
    <row r="97" spans="1:7" s="568" customFormat="1" ht="13.2">
      <c r="A97" s="243" t="s">
        <v>523</v>
      </c>
      <c r="B97" s="893">
        <f>'Sources and Uses Budget'!C96</f>
        <v>41980948</v>
      </c>
      <c r="C97" s="893">
        <f>'Sources and Uses Budget'!C96</f>
        <v>41980948</v>
      </c>
      <c r="D97" s="893">
        <f>'Sources and Uses Budget'!C96</f>
        <v>41980948</v>
      </c>
      <c r="E97" s="331">
        <f t="shared" si="2"/>
        <v>0</v>
      </c>
      <c r="F97" s="330"/>
      <c r="G97" s="330"/>
    </row>
    <row r="98" spans="1:7" s="568" customFormat="1" ht="13.2">
      <c r="A98" s="882" t="s">
        <v>524</v>
      </c>
      <c r="B98" s="327"/>
      <c r="C98" s="327"/>
      <c r="D98" s="327"/>
      <c r="E98" s="327"/>
      <c r="F98" s="327"/>
      <c r="G98" s="327"/>
    </row>
    <row r="99" spans="1:7" s="568" customFormat="1" ht="13.2">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2002</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2003</v>
      </c>
      <c r="B102" s="329">
        <f>'Sources and Uses Budget'!C101</f>
        <v>0</v>
      </c>
      <c r="C102" s="329">
        <f>'Sources and Uses Budget'!C101</f>
        <v>0</v>
      </c>
      <c r="D102" s="329">
        <f>'Sources and Uses Budget'!C101</f>
        <v>0</v>
      </c>
      <c r="E102" s="331">
        <f t="shared" si="2"/>
        <v>0</v>
      </c>
      <c r="F102" s="330"/>
      <c r="G102" s="330"/>
    </row>
    <row r="103" spans="1:7" s="568" customFormat="1" ht="13.2">
      <c r="A103" s="888" t="s">
        <v>532</v>
      </c>
      <c r="B103" s="329">
        <f>'Sources and Uses Budget'!C102</f>
        <v>0</v>
      </c>
      <c r="C103" s="329">
        <f>'Sources and Uses Budget'!C102</f>
        <v>0</v>
      </c>
      <c r="D103" s="329">
        <f>'Sources and Uses Budget'!C102</f>
        <v>0</v>
      </c>
      <c r="E103" s="331">
        <f t="shared" si="2"/>
        <v>0</v>
      </c>
      <c r="F103" s="330"/>
      <c r="G103" s="330"/>
    </row>
    <row r="104" spans="1:7" s="568" customFormat="1" ht="13.2">
      <c r="A104" s="886" t="s">
        <v>527</v>
      </c>
      <c r="B104" s="893">
        <f>'Sources and Uses Budget'!C103</f>
        <v>2800000</v>
      </c>
      <c r="C104" s="893">
        <f>'Sources and Uses Budget'!C103</f>
        <v>2800000</v>
      </c>
      <c r="D104" s="893">
        <f>'Sources and Uses Budget'!C103</f>
        <v>2800000</v>
      </c>
      <c r="E104" s="331">
        <f t="shared" si="2"/>
        <v>0</v>
      </c>
      <c r="F104" s="330"/>
      <c r="G104" s="330"/>
    </row>
    <row r="105" spans="1:7" s="568" customFormat="1" ht="13.2">
      <c r="A105" s="886" t="s">
        <v>528</v>
      </c>
      <c r="B105" s="893">
        <f>'Sources and Uses Budget'!C104</f>
        <v>44780948</v>
      </c>
      <c r="C105" s="893">
        <f>'Sources and Uses Budget'!C104</f>
        <v>44780948</v>
      </c>
      <c r="D105" s="893">
        <f>'Sources and Uses Budget'!C104</f>
        <v>44780948</v>
      </c>
      <c r="E105" s="331">
        <f t="shared" si="2"/>
        <v>0</v>
      </c>
      <c r="F105" s="330"/>
      <c r="G105" s="892"/>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7" t="s">
        <v>299</v>
      </c>
      <c r="B2" s="988"/>
      <c r="C2" s="988"/>
      <c r="D2" s="988"/>
      <c r="E2" s="988"/>
      <c r="F2" s="988"/>
      <c r="G2" s="988"/>
      <c r="H2" s="988"/>
      <c r="I2" s="988"/>
      <c r="J2" s="988"/>
    </row>
    <row r="3" spans="1:10" ht="15">
      <c r="A3" s="989" t="s">
        <v>2287</v>
      </c>
      <c r="B3" s="988"/>
      <c r="C3" s="988"/>
      <c r="D3" s="988"/>
      <c r="E3" s="988"/>
      <c r="F3" s="988"/>
      <c r="G3" s="988"/>
      <c r="H3" s="988"/>
      <c r="I3" s="988"/>
      <c r="J3" s="988"/>
    </row>
    <row r="4" spans="1:10"/>
    <row r="5" spans="1:10" ht="12.75" customHeight="1">
      <c r="A5" s="994" t="s">
        <v>2157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2006</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2087</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1859</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3"/>
    </row>
    <row r="24" spans="1:10">
      <c r="A24" s="993" t="s">
        <v>1017</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1034</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1017</v>
      </c>
    </row>
    <row r="66" spans="1:9"/>
    <row r="67" spans="1:9"/>
    <row r="68" spans="1:9"/>
    <row r="69" spans="1:9"/>
    <row r="70" spans="1:9"/>
    <row r="71" spans="1:9"/>
    <row r="72" spans="1:9"/>
    <row r="73" spans="1:9"/>
    <row r="74" spans="1:9"/>
    <row r="75" spans="1:9"/>
    <row r="76" spans="1:9">
      <c r="A76" s="986" t="s">
        <v>1133</v>
      </c>
      <c r="B76" s="986"/>
      <c r="C76" s="986"/>
      <c r="D76" s="986"/>
      <c r="E76" s="986"/>
      <c r="F76" s="986"/>
      <c r="G76" s="986"/>
      <c r="H76" s="986"/>
      <c r="I76" s="986"/>
    </row>
    <row r="77" spans="1:9">
      <c r="A77" s="985" t="s">
        <v>1279</v>
      </c>
      <c r="B77" s="985"/>
      <c r="C77" s="985"/>
      <c r="D77" s="985"/>
      <c r="E77" s="985"/>
      <c r="F77" s="668"/>
    </row>
    <row r="78" spans="1:9">
      <c r="A78" s="985" t="s">
        <v>1278</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72" workbookViewId="0">
      <selection activeCell="F182" sqref="F182"/>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41" t="s">
        <v>2288</v>
      </c>
      <c r="B2" s="1041"/>
      <c r="C2" s="988"/>
      <c r="D2" s="988"/>
      <c r="E2" s="988"/>
      <c r="F2" s="988"/>
      <c r="G2" s="988"/>
      <c r="I2" t="s">
        <v>78</v>
      </c>
    </row>
    <row r="3" spans="1:9" ht="13.2">
      <c r="A3" s="190"/>
      <c r="B3" s="190"/>
      <c r="C3"/>
      <c r="D3"/>
      <c r="E3"/>
      <c r="F3"/>
      <c r="G3"/>
      <c r="I3" s="5" t="s">
        <v>1383</v>
      </c>
    </row>
    <row r="4" spans="1:9" ht="13.2">
      <c r="A4" s="1042" t="s">
        <v>2123</v>
      </c>
      <c r="B4" s="1042"/>
      <c r="C4" s="1043"/>
      <c r="D4" s="1043"/>
      <c r="E4" s="1043"/>
      <c r="F4" s="1043"/>
      <c r="G4" s="1043"/>
      <c r="I4" s="5" t="s">
        <v>1367</v>
      </c>
    </row>
    <row r="5" spans="1:9" ht="13.2">
      <c r="A5" s="1042" t="s">
        <v>1040</v>
      </c>
      <c r="B5" s="1042"/>
      <c r="C5" s="1043"/>
      <c r="D5" s="1043"/>
      <c r="E5" s="1043"/>
      <c r="F5" s="1043"/>
      <c r="G5" s="1043"/>
      <c r="I5" t="s">
        <v>123</v>
      </c>
    </row>
    <row r="6" spans="1:9" ht="13.65" customHeight="1"/>
    <row r="7" spans="1:9" ht="13.2">
      <c r="A7" s="1045" t="s">
        <v>2299</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1535</v>
      </c>
      <c r="B10" s="1031"/>
      <c r="C10" s="1031"/>
      <c r="D10" s="1031"/>
      <c r="E10" s="1031"/>
      <c r="F10" s="1031"/>
      <c r="G10" s="1031"/>
    </row>
    <row r="11" spans="1:9" ht="13.2">
      <c r="A11" s="190"/>
      <c r="B11" s="190"/>
    </row>
    <row r="12" spans="1:9" ht="13.65" customHeight="1">
      <c r="C12" s="190"/>
      <c r="D12" s="1044" t="s">
        <v>1534</v>
      </c>
      <c r="E12" s="1044"/>
      <c r="F12" s="1044"/>
      <c r="G12" s="610"/>
    </row>
    <row r="13" spans="1:9" ht="13.2">
      <c r="C13" s="190"/>
      <c r="D13" s="1044"/>
      <c r="E13" s="1044"/>
      <c r="F13" s="1044"/>
      <c r="G13" s="610"/>
    </row>
    <row r="14" spans="1:9" ht="13.2">
      <c r="A14" s="191"/>
      <c r="B14" s="191"/>
      <c r="C14" s="191"/>
      <c r="D14" s="997" t="s">
        <v>1405</v>
      </c>
      <c r="E14" s="997"/>
      <c r="F14" s="997"/>
    </row>
    <row r="15" spans="1:9" ht="13.2">
      <c r="A15" s="191"/>
      <c r="B15" s="191"/>
      <c r="C15" s="191"/>
    </row>
    <row r="16" spans="1:9" ht="14.4" customHeight="1">
      <c r="A16" s="271"/>
      <c r="B16" s="609" t="s">
        <v>1367</v>
      </c>
      <c r="C16" s="191"/>
      <c r="D16" s="970" t="s">
        <v>2052</v>
      </c>
      <c r="E16" s="977"/>
      <c r="F16" s="977"/>
      <c r="G16" s="354"/>
    </row>
    <row r="17" spans="1:7" ht="14.4" customHeight="1">
      <c r="A17" s="271"/>
      <c r="C17" s="191"/>
      <c r="D17" s="977"/>
      <c r="E17" s="977"/>
      <c r="F17" s="977"/>
      <c r="G17" s="354"/>
    </row>
    <row r="18" spans="1:7" ht="13.2">
      <c r="A18" s="191"/>
      <c r="C18" s="191"/>
      <c r="D18" s="977"/>
      <c r="E18" s="977"/>
      <c r="F18" s="977"/>
      <c r="G18" s="354"/>
    </row>
    <row r="19" spans="1:7" ht="13.2">
      <c r="A19" s="191"/>
      <c r="C19" s="191"/>
      <c r="D19" s="24"/>
      <c r="E19" s="128" t="s">
        <v>2053</v>
      </c>
      <c r="F19" s="24"/>
      <c r="G19" s="354"/>
    </row>
    <row r="20" spans="1:7" ht="13.2">
      <c r="A20" s="191"/>
      <c r="B20" s="191"/>
      <c r="C20" s="191"/>
    </row>
    <row r="21" spans="1:7" ht="14.4">
      <c r="A21" s="271"/>
      <c r="B21" s="609" t="s">
        <v>1367</v>
      </c>
      <c r="D21" s="970" t="s">
        <v>2054</v>
      </c>
      <c r="E21" s="977"/>
      <c r="F21" s="977"/>
    </row>
    <row r="22" spans="1:7" ht="13.2">
      <c r="D22" s="977"/>
      <c r="E22" s="977"/>
      <c r="F22" s="977"/>
    </row>
    <row r="23" spans="1:7" ht="13.2">
      <c r="D23" s="102"/>
      <c r="E23" s="104" t="s">
        <v>2055</v>
      </c>
      <c r="F23" s="102"/>
    </row>
    <row r="24" spans="1:7" ht="14.4">
      <c r="A24" s="271"/>
      <c r="B24" s="271"/>
      <c r="D24" s="44"/>
    </row>
    <row r="25" spans="1:7" ht="14.4">
      <c r="A25" s="271"/>
      <c r="B25" s="609" t="s">
        <v>123</v>
      </c>
      <c r="D25" s="977" t="s">
        <v>1399</v>
      </c>
      <c r="E25" s="977"/>
      <c r="F25" s="977"/>
    </row>
    <row r="26" spans="1:7" ht="14.4">
      <c r="A26" s="271"/>
      <c r="B26" s="271"/>
      <c r="D26" s="977"/>
      <c r="E26" s="977"/>
      <c r="F26" s="977"/>
    </row>
    <row r="27" spans="1:7" ht="14.4">
      <c r="A27" s="271"/>
      <c r="B27" s="271"/>
      <c r="D27" s="44"/>
    </row>
    <row r="28" spans="1:7" ht="14.25" customHeight="1">
      <c r="A28" s="271"/>
      <c r="B28" s="609" t="s">
        <v>123</v>
      </c>
      <c r="D28" s="970" t="s">
        <v>2124</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4" customHeight="1">
      <c r="A34" s="271"/>
      <c r="B34" s="609" t="s">
        <v>123</v>
      </c>
      <c r="D34" s="977" t="s">
        <v>2125</v>
      </c>
      <c r="E34" s="977"/>
      <c r="F34" s="977"/>
    </row>
    <row r="35" spans="1:6" ht="14.4">
      <c r="A35" s="271"/>
      <c r="B35" s="271"/>
      <c r="D35" s="977"/>
      <c r="E35" s="977"/>
      <c r="F35" s="977"/>
    </row>
    <row r="36" spans="1:6" ht="14.4">
      <c r="A36" s="271"/>
      <c r="B36" s="271"/>
      <c r="D36" s="209"/>
      <c r="E36" s="209"/>
      <c r="F36" s="209"/>
    </row>
    <row r="37" spans="1:6" ht="14.4">
      <c r="A37" s="271"/>
      <c r="B37" s="609" t="s">
        <v>1367</v>
      </c>
      <c r="D37" s="970" t="s">
        <v>1744</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4" customHeight="1">
      <c r="A46" s="271"/>
      <c r="B46" s="609" t="s">
        <v>123</v>
      </c>
      <c r="D46" s="977" t="s">
        <v>1432</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1367</v>
      </c>
      <c r="D52" s="970" t="s">
        <v>1875</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123</v>
      </c>
      <c r="D59" s="970" t="s">
        <v>1917</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1367</v>
      </c>
      <c r="D64" s="977" t="s">
        <v>2126</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1367</v>
      </c>
      <c r="D68" s="970" t="s">
        <v>2056</v>
      </c>
      <c r="E68" s="977"/>
      <c r="F68" s="977"/>
    </row>
    <row r="69" spans="1:6" ht="13.2">
      <c r="D69" s="977"/>
      <c r="E69" s="977"/>
      <c r="F69" s="977"/>
    </row>
    <row r="70" spans="1:6" ht="13.2">
      <c r="D70" s="977"/>
      <c r="E70" s="977"/>
      <c r="F70" s="977"/>
    </row>
    <row r="71" spans="1:6" ht="14.4">
      <c r="A71" s="271"/>
      <c r="B71" s="271"/>
      <c r="D71" s="209"/>
      <c r="E71" s="128" t="s">
        <v>2053</v>
      </c>
      <c r="F71" s="209"/>
    </row>
    <row r="72" spans="1:6" ht="14.4">
      <c r="A72" s="271"/>
      <c r="B72" s="271"/>
    </row>
    <row r="73" spans="1:6" ht="14.4">
      <c r="A73" s="271"/>
      <c r="B73" s="609" t="s">
        <v>123</v>
      </c>
      <c r="D73" s="977" t="s">
        <v>1533</v>
      </c>
      <c r="E73" s="977"/>
      <c r="F73" s="977"/>
    </row>
    <row r="74" spans="1:6" ht="13.2">
      <c r="D74" s="977"/>
      <c r="E74" s="977"/>
      <c r="F74" s="977"/>
    </row>
    <row r="75" spans="1:6" ht="13.2">
      <c r="D75" s="977"/>
      <c r="E75" s="977"/>
      <c r="F75" s="977"/>
    </row>
    <row r="76" spans="1:6" ht="13.2"/>
    <row r="77" spans="1:6" ht="14.4">
      <c r="A77" s="271" t="s">
        <v>228</v>
      </c>
      <c r="B77" s="609" t="s">
        <v>1367</v>
      </c>
      <c r="D77" s="977" t="s">
        <v>1435</v>
      </c>
      <c r="E77" s="977"/>
      <c r="F77" s="977"/>
    </row>
    <row r="78" spans="1:6" ht="13.2">
      <c r="D78" s="977"/>
      <c r="E78" s="977"/>
      <c r="F78" s="977"/>
    </row>
    <row r="79" spans="1:6" ht="13.2"/>
    <row r="80" spans="1:6" ht="14.4">
      <c r="A80" s="271" t="s">
        <v>228</v>
      </c>
      <c r="B80" s="609" t="s">
        <v>123</v>
      </c>
      <c r="D80" s="977" t="s">
        <v>1436</v>
      </c>
      <c r="E80" s="977"/>
      <c r="F80" s="977"/>
    </row>
    <row r="81" spans="1:7" ht="13.2">
      <c r="D81" s="977"/>
      <c r="E81" s="977"/>
      <c r="F81" s="977"/>
    </row>
    <row r="82" spans="1:7" ht="13.2">
      <c r="D82" s="977"/>
      <c r="E82" s="977"/>
      <c r="F82" s="977"/>
    </row>
    <row r="83" spans="1:7" ht="13.2">
      <c r="D83" s="44"/>
    </row>
    <row r="84" spans="1:7" ht="14.4">
      <c r="A84" s="271" t="s">
        <v>228</v>
      </c>
      <c r="B84" s="609" t="s">
        <v>123</v>
      </c>
      <c r="D84" s="977" t="s">
        <v>1437</v>
      </c>
      <c r="E84" s="977"/>
      <c r="F84" s="977"/>
    </row>
    <row r="85" spans="1:7" ht="13.2">
      <c r="D85" s="977"/>
      <c r="E85" s="977"/>
      <c r="F85" s="977"/>
    </row>
    <row r="86" spans="1:7" ht="13.2"/>
    <row r="87" spans="1:7" ht="13.2">
      <c r="A87" s="1031" t="s">
        <v>1371</v>
      </c>
      <c r="B87" s="1031"/>
      <c r="C87" s="1031"/>
      <c r="D87" s="1031"/>
      <c r="E87" s="1031"/>
      <c r="F87" s="1031"/>
      <c r="G87" s="1031"/>
    </row>
    <row r="88" spans="1:7" ht="13.2">
      <c r="E88"/>
      <c r="F88"/>
      <c r="G88"/>
    </row>
    <row r="89" spans="1:7" ht="13.65" customHeight="1">
      <c r="C89" s="590"/>
      <c r="D89" s="1004" t="s">
        <v>1372</v>
      </c>
      <c r="E89" s="1004"/>
      <c r="F89" s="1004"/>
      <c r="G89"/>
    </row>
    <row r="90" spans="1:7" ht="13.65" customHeight="1">
      <c r="A90" s="44"/>
      <c r="B90" s="44"/>
      <c r="D90" s="977" t="s">
        <v>1536</v>
      </c>
      <c r="E90" s="977"/>
      <c r="F90" s="977"/>
      <c r="G90"/>
    </row>
    <row r="91" spans="1:7" ht="13.2">
      <c r="A91" s="44"/>
      <c r="B91" s="44"/>
      <c r="E91"/>
      <c r="F91"/>
      <c r="G91"/>
    </row>
    <row r="92" spans="1:7" ht="14.25" customHeight="1">
      <c r="A92" s="271"/>
      <c r="B92" s="609" t="s">
        <v>1367</v>
      </c>
      <c r="D92" s="970" t="s">
        <v>1848</v>
      </c>
      <c r="E92" s="970"/>
      <c r="F92" s="970"/>
      <c r="G92"/>
    </row>
    <row r="93" spans="1:7" ht="14.4"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4" customHeight="1">
      <c r="A101" s="271"/>
      <c r="B101" s="609" t="s">
        <v>123</v>
      </c>
      <c r="D101" s="1024" t="s">
        <v>1849</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123</v>
      </c>
      <c r="D114" s="977" t="s">
        <v>1537</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1367</v>
      </c>
      <c r="D122" s="977" t="s">
        <v>1538</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1367</v>
      </c>
      <c r="D128" s="977" t="s">
        <v>1539</v>
      </c>
      <c r="E128" s="977"/>
      <c r="F128" s="977"/>
    </row>
    <row r="129" spans="1:7" s="323" customFormat="1" ht="14.1" customHeight="1">
      <c r="A129" s="316"/>
      <c r="B129" s="316"/>
      <c r="C129" s="316"/>
      <c r="D129" s="977"/>
      <c r="E129" s="977"/>
      <c r="F129" s="977"/>
      <c r="G129" s="357"/>
    </row>
    <row r="130" spans="1:7" ht="14.1" customHeight="1">
      <c r="D130" s="977"/>
      <c r="E130" s="977"/>
      <c r="F130" s="977"/>
    </row>
    <row r="131" spans="1:7" ht="14.1" customHeight="1">
      <c r="D131" s="977"/>
      <c r="E131" s="977"/>
      <c r="F131" s="977"/>
    </row>
    <row r="132" spans="1:7" ht="14.1" customHeight="1">
      <c r="D132" s="977"/>
      <c r="E132" s="977"/>
      <c r="F132" s="977"/>
    </row>
    <row r="133" spans="1:7" ht="14.1" customHeight="1">
      <c r="D133" s="977"/>
      <c r="E133" s="977"/>
      <c r="F133" s="977"/>
    </row>
    <row r="134" spans="1:7" ht="14.1" customHeight="1">
      <c r="D134" s="977"/>
      <c r="E134" s="977"/>
      <c r="F134" s="977"/>
      <c r="G134"/>
    </row>
    <row r="135" spans="1:7" ht="14.1" customHeight="1">
      <c r="D135" s="977"/>
      <c r="E135" s="977"/>
      <c r="F135" s="977"/>
      <c r="G135"/>
    </row>
    <row r="136" spans="1:7" ht="14.1" customHeight="1">
      <c r="D136" s="977"/>
      <c r="E136" s="977"/>
      <c r="F136" s="977"/>
      <c r="G136"/>
    </row>
    <row r="137" spans="1:7" ht="14.1" customHeight="1">
      <c r="D137" s="977"/>
      <c r="E137" s="977"/>
      <c r="F137" s="977"/>
      <c r="G137"/>
    </row>
    <row r="138" spans="1:7" ht="17.25" customHeight="1">
      <c r="D138" s="977"/>
      <c r="E138" s="977"/>
      <c r="F138" s="977"/>
      <c r="G138"/>
    </row>
    <row r="139" spans="1:7" ht="25.5" hidden="1" customHeight="1">
      <c r="D139" s="977"/>
      <c r="E139" s="977"/>
      <c r="F139" s="977"/>
      <c r="G139"/>
    </row>
    <row r="140" spans="1:7" ht="14.1" customHeight="1">
      <c r="G140"/>
    </row>
    <row r="141" spans="1:7" ht="14.1" customHeight="1">
      <c r="B141" s="609" t="s">
        <v>123</v>
      </c>
      <c r="D141" s="970" t="s">
        <v>1721</v>
      </c>
      <c r="E141" s="977"/>
      <c r="F141" s="977"/>
      <c r="G141"/>
    </row>
    <row r="142" spans="1:7" ht="14.1" customHeight="1">
      <c r="D142" s="977"/>
      <c r="E142" s="977"/>
      <c r="F142" s="977"/>
      <c r="G142"/>
    </row>
    <row r="143" spans="1:7" ht="14.1" customHeight="1">
      <c r="D143" s="977"/>
      <c r="E143" s="977"/>
      <c r="F143" s="977"/>
      <c r="G143"/>
    </row>
    <row r="144" spans="1:7" ht="14.1" customHeight="1">
      <c r="D144" s="977"/>
      <c r="E144" s="977"/>
      <c r="F144" s="977"/>
      <c r="G144"/>
    </row>
    <row r="145" spans="1:7" ht="14.1" customHeight="1">
      <c r="D145" s="977"/>
      <c r="E145" s="977"/>
      <c r="F145" s="977"/>
      <c r="G145"/>
    </row>
    <row r="146" spans="1:7" ht="14.1" customHeight="1">
      <c r="A146" s="18"/>
      <c r="B146" s="18"/>
      <c r="D146" s="977"/>
      <c r="E146" s="977"/>
      <c r="F146" s="977"/>
      <c r="G146"/>
    </row>
    <row r="147" spans="1:7" ht="14.1" customHeight="1">
      <c r="A147" s="18"/>
      <c r="B147" s="18"/>
      <c r="D147" s="977"/>
      <c r="E147" s="977"/>
      <c r="F147" s="977"/>
      <c r="G147"/>
    </row>
    <row r="148" spans="1:7" ht="14.1" customHeight="1">
      <c r="A148" s="18"/>
      <c r="B148" s="18"/>
      <c r="D148" s="977"/>
      <c r="E148" s="977"/>
      <c r="F148" s="977"/>
      <c r="G148"/>
    </row>
    <row r="149" spans="1:7" ht="14.1" customHeight="1">
      <c r="A149" s="18"/>
      <c r="B149" s="18"/>
      <c r="D149" s="977"/>
      <c r="E149" s="977"/>
      <c r="F149" s="977"/>
      <c r="G149"/>
    </row>
    <row r="150" spans="1:7" ht="14.1" customHeight="1">
      <c r="A150" s="18"/>
      <c r="B150" s="18"/>
      <c r="D150" s="977"/>
      <c r="E150" s="977"/>
      <c r="F150" s="977"/>
      <c r="G150"/>
    </row>
    <row r="151" spans="1:7" ht="14.1" customHeight="1">
      <c r="A151" s="18"/>
      <c r="B151" s="18"/>
      <c r="D151" s="977"/>
      <c r="E151" s="977"/>
      <c r="F151" s="977"/>
      <c r="G151"/>
    </row>
    <row r="152" spans="1:7" ht="14.1" customHeight="1">
      <c r="A152" s="18"/>
      <c r="B152" s="18"/>
      <c r="D152" s="977"/>
      <c r="E152" s="977"/>
      <c r="F152" s="977"/>
      <c r="G152"/>
    </row>
    <row r="153" spans="1:7" ht="14.1" customHeight="1">
      <c r="A153" s="18"/>
      <c r="B153" s="18"/>
      <c r="D153" s="977"/>
      <c r="E153" s="977"/>
      <c r="F153" s="977"/>
      <c r="G153"/>
    </row>
    <row r="154" spans="1:7" ht="14.1" customHeight="1">
      <c r="A154" s="18"/>
      <c r="B154" s="18"/>
      <c r="D154" s="977"/>
      <c r="E154" s="977"/>
      <c r="F154" s="977"/>
      <c r="G154"/>
    </row>
    <row r="155" spans="1:7" ht="14.1" customHeight="1">
      <c r="A155" s="18"/>
      <c r="B155" s="18"/>
      <c r="D155" s="977"/>
      <c r="E155" s="977"/>
      <c r="F155" s="977"/>
      <c r="G155"/>
    </row>
    <row r="156" spans="1:7" ht="14.1" customHeight="1">
      <c r="A156" s="18"/>
      <c r="B156" s="18"/>
      <c r="D156" s="977"/>
      <c r="E156" s="977"/>
      <c r="F156" s="977"/>
      <c r="G156"/>
    </row>
    <row r="157" spans="1:7" ht="14.1" customHeight="1">
      <c r="A157" s="18"/>
      <c r="B157" s="18"/>
      <c r="D157" s="977"/>
      <c r="E157" s="977"/>
      <c r="F157" s="977"/>
      <c r="G157"/>
    </row>
    <row r="158" spans="1:7" ht="14.1" customHeight="1">
      <c r="A158" s="18"/>
      <c r="B158" s="18"/>
      <c r="D158" s="977"/>
      <c r="E158" s="977"/>
      <c r="F158" s="977"/>
      <c r="G158"/>
    </row>
    <row r="159" spans="1:7" ht="14.1" customHeight="1">
      <c r="A159" s="18"/>
      <c r="B159" s="18"/>
      <c r="D159" s="1026" t="s">
        <v>1722</v>
      </c>
      <c r="E159" s="1026"/>
      <c r="F159" s="1026"/>
      <c r="G159"/>
    </row>
    <row r="160" spans="1:7" ht="14.1" customHeight="1">
      <c r="A160" s="18"/>
      <c r="B160" s="18"/>
      <c r="D160" s="44"/>
      <c r="G160"/>
    </row>
    <row r="161" spans="1:7" ht="14.1" customHeight="1">
      <c r="A161" s="271"/>
      <c r="B161" s="609" t="s">
        <v>1367</v>
      </c>
      <c r="D161" s="1024" t="s">
        <v>2286</v>
      </c>
      <c r="E161" s="1025"/>
      <c r="F161" s="1025"/>
      <c r="G161"/>
    </row>
    <row r="162" spans="1:7" ht="14.1" customHeight="1">
      <c r="A162" s="271"/>
      <c r="B162" s="18"/>
      <c r="D162" s="1024"/>
      <c r="E162" s="1025"/>
      <c r="F162" s="1025"/>
      <c r="G162"/>
    </row>
    <row r="163" spans="1:7" ht="14.1" customHeight="1">
      <c r="A163" s="271"/>
      <c r="B163" s="18"/>
      <c r="D163" s="1025"/>
      <c r="E163" s="1025"/>
      <c r="F163" s="1025"/>
      <c r="G163"/>
    </row>
    <row r="164" spans="1:7" ht="14.1" customHeight="1">
      <c r="A164" s="271"/>
      <c r="B164" s="18"/>
      <c r="D164" s="1025"/>
      <c r="E164" s="1025"/>
      <c r="F164" s="1025"/>
      <c r="G164"/>
    </row>
    <row r="165" spans="1:7" ht="14.1" customHeight="1">
      <c r="A165" s="18"/>
      <c r="B165" s="18"/>
      <c r="D165" s="1025"/>
      <c r="E165" s="1025"/>
      <c r="F165" s="1025"/>
      <c r="G165"/>
    </row>
    <row r="166" spans="1:7" ht="14.1" customHeight="1">
      <c r="A166" s="18"/>
      <c r="B166" s="18"/>
      <c r="D166" s="44"/>
      <c r="G166"/>
    </row>
    <row r="167" spans="1:7" ht="14.1" customHeight="1">
      <c r="A167" s="271"/>
      <c r="B167" s="609" t="s">
        <v>1367</v>
      </c>
      <c r="D167" s="1025" t="s">
        <v>1540</v>
      </c>
      <c r="E167" s="1025"/>
      <c r="F167" s="1025"/>
      <c r="G167"/>
    </row>
    <row r="168" spans="1:7" ht="14.1" customHeight="1">
      <c r="A168" s="18"/>
      <c r="B168" s="18"/>
      <c r="D168" s="1025"/>
      <c r="E168" s="1025"/>
      <c r="F168" s="1025"/>
    </row>
    <row r="169" spans="1:7" ht="14.1" customHeight="1">
      <c r="A169" s="18"/>
      <c r="B169" s="18"/>
      <c r="D169" s="1025"/>
      <c r="E169" s="1025"/>
      <c r="F169" s="1025"/>
    </row>
    <row r="170" spans="1:7" ht="14.1" customHeight="1">
      <c r="A170" s="18"/>
      <c r="B170" s="18"/>
      <c r="D170" s="1025"/>
      <c r="E170" s="1025"/>
      <c r="F170" s="1025"/>
    </row>
    <row r="171" spans="1:7" ht="14.1" customHeight="1">
      <c r="A171" s="18"/>
      <c r="B171" s="18"/>
      <c r="D171" s="44"/>
    </row>
    <row r="172" spans="1:7" ht="14.1" customHeight="1">
      <c r="A172" s="370"/>
      <c r="B172" s="609" t="s">
        <v>123</v>
      </c>
      <c r="C172" s="370"/>
      <c r="D172" s="1028" t="s">
        <v>2127</v>
      </c>
      <c r="E172" s="1028"/>
      <c r="F172" s="1028"/>
      <c r="G172" s="361"/>
    </row>
    <row r="173" spans="1:7" ht="14.1" customHeight="1">
      <c r="A173" s="370"/>
      <c r="B173" s="370"/>
      <c r="C173" s="370"/>
      <c r="D173" s="1028"/>
      <c r="E173" s="1028"/>
      <c r="F173" s="1028"/>
      <c r="G173" s="361"/>
    </row>
    <row r="174" spans="1:7" ht="14.1" customHeight="1">
      <c r="A174" s="370"/>
      <c r="B174" s="370"/>
      <c r="C174" s="370"/>
      <c r="D174" s="1028"/>
      <c r="E174" s="1028"/>
      <c r="F174" s="1028"/>
      <c r="G174" s="361"/>
    </row>
    <row r="175" spans="1:7" ht="13.2">
      <c r="A175" s="370"/>
      <c r="B175" s="370"/>
      <c r="C175" s="370"/>
      <c r="D175" s="372"/>
      <c r="E175" s="361"/>
      <c r="F175" s="361"/>
      <c r="G175" s="361"/>
    </row>
    <row r="176" spans="1:7" ht="13.2">
      <c r="A176" s="1031" t="s">
        <v>1374</v>
      </c>
      <c r="B176" s="1031"/>
      <c r="C176" s="1031"/>
      <c r="D176" s="1031"/>
      <c r="E176" s="1031"/>
      <c r="F176" s="1031"/>
      <c r="G176" s="1031"/>
    </row>
    <row r="177" spans="1:6" ht="13.2">
      <c r="D177" s="44"/>
    </row>
    <row r="178" spans="1:6" ht="13.2">
      <c r="C178" s="590"/>
      <c r="D178" s="1027" t="s">
        <v>1373</v>
      </c>
      <c r="E178" s="1027"/>
      <c r="F178" s="1027"/>
    </row>
    <row r="179" spans="1:6" ht="13.2">
      <c r="A179" s="190"/>
      <c r="B179" s="190"/>
      <c r="C179" s="190"/>
      <c r="D179" s="1029" t="s">
        <v>1406</v>
      </c>
      <c r="E179" s="1029"/>
      <c r="F179" s="1029"/>
    </row>
    <row r="180" spans="1:6" ht="13.2">
      <c r="A180" s="191"/>
      <c r="B180" s="191"/>
      <c r="C180" s="191"/>
    </row>
    <row r="181" spans="1:6" ht="14.4">
      <c r="A181" s="271"/>
      <c r="B181" s="609" t="s">
        <v>1367</v>
      </c>
      <c r="D181" s="1030" t="s">
        <v>1724</v>
      </c>
      <c r="E181" s="1007"/>
      <c r="F181" s="1007"/>
    </row>
    <row r="182" spans="1:6" ht="14.4">
      <c r="A182" s="271"/>
      <c r="D182" s="312"/>
      <c r="E182" s="102"/>
      <c r="F182" s="102"/>
    </row>
    <row r="183" spans="1:6" ht="14.4">
      <c r="A183" s="271"/>
      <c r="B183" s="609" t="s">
        <v>1367</v>
      </c>
      <c r="D183" s="1007" t="s">
        <v>1541</v>
      </c>
      <c r="E183" s="1007"/>
      <c r="F183" s="1007"/>
    </row>
    <row r="184" spans="1:6" ht="14.4">
      <c r="A184" s="271"/>
      <c r="D184" s="102"/>
      <c r="E184" s="102"/>
      <c r="F184" s="102"/>
    </row>
    <row r="185" spans="1:6" ht="14.4">
      <c r="A185" s="271"/>
      <c r="B185" s="609" t="s">
        <v>1367</v>
      </c>
      <c r="D185" s="1032" t="s">
        <v>1801</v>
      </c>
      <c r="E185" s="1032"/>
      <c r="F185" s="1032"/>
    </row>
    <row r="186" spans="1:6" ht="13.65" customHeight="1">
      <c r="A186" s="271"/>
      <c r="D186" s="41" t="s">
        <v>899</v>
      </c>
      <c r="E186" s="970" t="s">
        <v>2122</v>
      </c>
      <c r="F186" s="970"/>
    </row>
    <row r="187" spans="1:6" ht="14.4">
      <c r="A187" s="271"/>
      <c r="D187" s="776"/>
      <c r="E187" s="970"/>
      <c r="F187" s="970"/>
    </row>
    <row r="188" spans="1:6" ht="14.4">
      <c r="A188" s="271"/>
      <c r="D188" s="776"/>
      <c r="E188" s="970"/>
      <c r="F188" s="970"/>
    </row>
    <row r="189" spans="1:6" ht="14.4">
      <c r="A189" s="271"/>
      <c r="D189"/>
      <c r="E189" s="970"/>
      <c r="F189" s="970"/>
    </row>
    <row r="190" spans="1:6" ht="13.65" customHeight="1">
      <c r="A190" s="271"/>
      <c r="D190" s="776" t="s">
        <v>900</v>
      </c>
      <c r="E190" s="970" t="s">
        <v>1802</v>
      </c>
      <c r="F190" s="970"/>
    </row>
    <row r="191" spans="1:6" ht="13.65" customHeight="1">
      <c r="A191" s="271"/>
      <c r="D191" s="776"/>
      <c r="E191" s="970"/>
      <c r="F191" s="970"/>
    </row>
    <row r="192" spans="1:6" ht="13.65" customHeight="1">
      <c r="A192" s="271"/>
      <c r="D192" s="776"/>
      <c r="E192" s="970"/>
      <c r="F192" s="970"/>
    </row>
    <row r="193" spans="1:7" ht="13.65" customHeight="1">
      <c r="A193" s="271"/>
      <c r="D193" s="776"/>
      <c r="E193" s="970"/>
      <c r="F193" s="970"/>
    </row>
    <row r="194" spans="1:7" ht="13.65"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123</v>
      </c>
      <c r="D198" s="970" t="s">
        <v>2289</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2291</v>
      </c>
      <c r="E202" s="1026"/>
      <c r="F202" s="1026"/>
    </row>
    <row r="203" spans="1:7" ht="13.2">
      <c r="D203" s="625"/>
      <c r="E203" s="625"/>
      <c r="F203" s="625"/>
    </row>
    <row r="204" spans="1:7" ht="14.4">
      <c r="A204" s="271"/>
      <c r="B204" s="609" t="s">
        <v>123</v>
      </c>
      <c r="D204" s="999" t="s">
        <v>2292</v>
      </c>
      <c r="E204" s="997"/>
      <c r="F204" s="997"/>
    </row>
    <row r="205" spans="1:7" ht="13.2"/>
    <row r="206" spans="1:7" ht="13.2">
      <c r="A206" s="1031" t="s">
        <v>1376</v>
      </c>
      <c r="B206" s="1031"/>
      <c r="C206" s="1031"/>
      <c r="D206" s="1031"/>
      <c r="E206" s="1031"/>
      <c r="F206" s="1031"/>
      <c r="G206" s="1031"/>
    </row>
    <row r="207" spans="1:7" ht="13.2"/>
    <row r="208" spans="1:7" ht="13.2">
      <c r="C208" s="591"/>
      <c r="D208" s="1027" t="s">
        <v>1375</v>
      </c>
      <c r="E208" s="1027"/>
      <c r="F208" s="1027"/>
    </row>
    <row r="209" spans="1:6" ht="13.2">
      <c r="A209" s="592"/>
      <c r="B209" s="592"/>
      <c r="C209" s="591"/>
      <c r="D209" s="1027" t="s">
        <v>696</v>
      </c>
      <c r="E209" s="1027"/>
      <c r="F209" s="1027"/>
    </row>
    <row r="210" spans="1:6" ht="13.2">
      <c r="A210" s="190"/>
      <c r="B210" s="190"/>
      <c r="C210" s="190"/>
      <c r="D210" s="1007" t="s">
        <v>1407</v>
      </c>
      <c r="E210" s="1007"/>
      <c r="F210" s="1007"/>
    </row>
    <row r="211" spans="1:6" ht="13.2">
      <c r="A211" s="190"/>
      <c r="B211" s="190"/>
      <c r="C211" s="190"/>
    </row>
    <row r="212" spans="1:6" ht="13.2">
      <c r="A212" s="190"/>
      <c r="B212" s="190"/>
      <c r="C212" s="190"/>
      <c r="D212" s="977" t="s">
        <v>1417</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2128</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4" customHeight="1">
      <c r="A224" s="271"/>
      <c r="B224" s="609" t="s">
        <v>1367</v>
      </c>
      <c r="C224" s="191"/>
      <c r="D224" s="997" t="s">
        <v>291</v>
      </c>
      <c r="E224" s="997"/>
      <c r="F224" s="997"/>
    </row>
    <row r="225" spans="1:6" ht="14.4">
      <c r="A225" s="271"/>
      <c r="C225" s="191"/>
      <c r="D225" s="1007" t="s">
        <v>1102</v>
      </c>
      <c r="E225" s="1007"/>
      <c r="F225" s="1007"/>
    </row>
    <row r="226" spans="1:6" ht="14.4">
      <c r="A226" s="271"/>
      <c r="B226" s="271"/>
      <c r="C226" s="191"/>
      <c r="D226" s="104" t="s">
        <v>1421</v>
      </c>
      <c r="E226" s="1037" t="s">
        <v>2057</v>
      </c>
      <c r="F226" s="1037"/>
    </row>
    <row r="227" spans="1:6" ht="13.2">
      <c r="D227" s="1030" t="s">
        <v>1400</v>
      </c>
      <c r="E227" s="1007"/>
      <c r="F227" s="1007"/>
    </row>
    <row r="228" spans="1:6" ht="13.2"/>
    <row r="229" spans="1:6" ht="14.4">
      <c r="A229" s="271"/>
      <c r="B229" s="609" t="s">
        <v>123</v>
      </c>
      <c r="D229" s="1007" t="s">
        <v>292</v>
      </c>
      <c r="E229" s="1007"/>
      <c r="F229" s="1007"/>
    </row>
    <row r="230" spans="1:6" ht="14.4">
      <c r="A230" s="271"/>
      <c r="D230" s="997" t="s">
        <v>1102</v>
      </c>
      <c r="E230" s="997"/>
      <c r="F230" s="997"/>
    </row>
    <row r="231" spans="1:6" ht="14.4">
      <c r="A231" s="271"/>
      <c r="B231" s="271"/>
      <c r="D231" s="63" t="s">
        <v>1422</v>
      </c>
      <c r="E231" s="1037" t="s">
        <v>2058</v>
      </c>
      <c r="F231" s="1037"/>
    </row>
    <row r="232" spans="1:6" ht="13.2">
      <c r="D232" s="1007" t="s">
        <v>1401</v>
      </c>
      <c r="E232" s="1007"/>
      <c r="F232" s="1007"/>
    </row>
    <row r="233" spans="1:6" ht="13.2"/>
    <row r="234" spans="1:6" ht="14.4">
      <c r="A234" s="271"/>
      <c r="B234" s="609" t="s">
        <v>123</v>
      </c>
      <c r="D234" s="1007" t="s">
        <v>640</v>
      </c>
      <c r="E234" s="1007"/>
      <c r="F234" s="1007"/>
    </row>
    <row r="235" spans="1:6" ht="14.4">
      <c r="A235" s="271"/>
      <c r="D235" s="44" t="s">
        <v>1102</v>
      </c>
    </row>
    <row r="236" spans="1:6" ht="14.4">
      <c r="A236" s="271"/>
      <c r="B236" s="271"/>
      <c r="D236" s="63" t="s">
        <v>1421</v>
      </c>
      <c r="E236" s="1037" t="s">
        <v>2059</v>
      </c>
      <c r="F236" s="1037"/>
    </row>
    <row r="237" spans="1:6" ht="14.4">
      <c r="A237" s="271"/>
      <c r="B237" s="271"/>
      <c r="D237" s="977" t="s">
        <v>1424</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1402</v>
      </c>
      <c r="E242" s="977"/>
      <c r="F242" s="977"/>
    </row>
    <row r="243" spans="1:6" ht="13.2">
      <c r="D243" s="44"/>
    </row>
    <row r="244" spans="1:6" ht="14.4">
      <c r="A244" s="271"/>
      <c r="B244" s="609" t="s">
        <v>123</v>
      </c>
      <c r="D244" s="1007" t="s">
        <v>641</v>
      </c>
      <c r="E244" s="1007"/>
      <c r="F244" s="1007"/>
    </row>
    <row r="245" spans="1:6" ht="14.4">
      <c r="A245" s="271"/>
      <c r="D245" s="1007" t="s">
        <v>1102</v>
      </c>
      <c r="E245" s="1007"/>
      <c r="F245" s="1007"/>
    </row>
    <row r="246" spans="1:6" ht="14.4">
      <c r="A246" s="271"/>
      <c r="B246" s="271"/>
      <c r="D246" s="63" t="s">
        <v>1421</v>
      </c>
      <c r="E246" s="1037" t="s">
        <v>2060</v>
      </c>
      <c r="F246" s="1037"/>
    </row>
    <row r="247" spans="1:6" ht="13.2">
      <c r="D247" s="1030" t="s">
        <v>1921</v>
      </c>
      <c r="E247" s="1007"/>
      <c r="F247" s="1007"/>
    </row>
    <row r="248" spans="1:6" ht="13.2">
      <c r="D248" s="102"/>
      <c r="E248" s="102"/>
      <c r="F248" s="102"/>
    </row>
    <row r="249" spans="1:6" ht="14.4">
      <c r="A249" s="271"/>
      <c r="B249" s="609" t="s">
        <v>123</v>
      </c>
      <c r="D249" s="1030" t="s">
        <v>1920</v>
      </c>
      <c r="E249" s="1007"/>
      <c r="F249" s="1007"/>
    </row>
    <row r="250" spans="1:6" ht="14.4">
      <c r="A250" s="271"/>
      <c r="D250" s="1007" t="s">
        <v>1102</v>
      </c>
      <c r="E250" s="1007"/>
      <c r="F250" s="1007"/>
    </row>
    <row r="251" spans="1:6" ht="14.4">
      <c r="A251" s="271"/>
      <c r="B251" s="271"/>
      <c r="D251" s="63" t="s">
        <v>1421</v>
      </c>
      <c r="E251" s="1037" t="s">
        <v>2061</v>
      </c>
      <c r="F251" s="1037"/>
    </row>
    <row r="252" spans="1:6" ht="13.2">
      <c r="D252" s="1030" t="s">
        <v>1922</v>
      </c>
      <c r="E252" s="1007"/>
      <c r="F252" s="1007"/>
    </row>
    <row r="253" spans="1:6" ht="13.2">
      <c r="D253" s="44"/>
    </row>
    <row r="254" spans="1:6" ht="14.4">
      <c r="A254" s="271"/>
      <c r="B254" s="609" t="s">
        <v>123</v>
      </c>
      <c r="D254" s="102" t="s">
        <v>1444</v>
      </c>
      <c r="E254" s="102"/>
      <c r="F254" s="102"/>
    </row>
    <row r="255" spans="1:6" ht="14.4">
      <c r="A255" s="271"/>
      <c r="B255"/>
      <c r="D255" s="970" t="s">
        <v>1745</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123</v>
      </c>
      <c r="D259" s="1007" t="s">
        <v>1021</v>
      </c>
      <c r="E259" s="1007"/>
      <c r="F259" s="1007"/>
    </row>
    <row r="260" spans="1:7" ht="14.4">
      <c r="A260" s="271"/>
      <c r="D260" s="102"/>
      <c r="E260" s="102"/>
      <c r="F260" s="102"/>
    </row>
    <row r="261" spans="1:7" ht="13.2">
      <c r="A261" s="1031" t="s">
        <v>1378</v>
      </c>
      <c r="B261" s="1031"/>
      <c r="C261" s="1031"/>
      <c r="D261" s="1031"/>
      <c r="E261" s="1031"/>
      <c r="F261" s="1031"/>
      <c r="G261" s="1031"/>
    </row>
    <row r="262" spans="1:7" ht="13.2">
      <c r="D262" s="44"/>
    </row>
    <row r="263" spans="1:7" ht="13.2">
      <c r="C263" s="590"/>
      <c r="D263" s="998" t="s">
        <v>1377</v>
      </c>
      <c r="E263" s="998"/>
      <c r="F263" s="998"/>
    </row>
    <row r="264" spans="1:7" ht="13.2">
      <c r="A264" s="190"/>
      <c r="B264" s="190"/>
      <c r="C264" s="190"/>
      <c r="D264" s="997" t="s">
        <v>1408</v>
      </c>
      <c r="E264" s="997"/>
      <c r="F264" s="997"/>
    </row>
    <row r="265" spans="1:7" ht="13.2">
      <c r="A265" s="18"/>
      <c r="B265" s="18"/>
      <c r="C265" s="18"/>
      <c r="D265" s="3"/>
    </row>
    <row r="266" spans="1:7" ht="13.2">
      <c r="A266" s="18"/>
      <c r="C266" s="18"/>
      <c r="D266" s="998" t="s">
        <v>208</v>
      </c>
      <c r="E266" s="998"/>
      <c r="F266" s="998"/>
      <c r="G266"/>
    </row>
    <row r="267" spans="1:7" ht="14.4" customHeight="1">
      <c r="A267" s="271"/>
      <c r="B267" s="609" t="s">
        <v>1367</v>
      </c>
      <c r="C267" s="879"/>
      <c r="D267" s="1018" t="s">
        <v>1997</v>
      </c>
      <c r="E267" s="1018"/>
      <c r="F267" s="1018"/>
      <c r="G267"/>
    </row>
    <row r="268" spans="1:7" ht="14.4">
      <c r="A268" s="271"/>
      <c r="B268" s="880"/>
      <c r="C268" s="879"/>
      <c r="D268" s="1018"/>
      <c r="E268" s="1018"/>
      <c r="F268" s="1018"/>
      <c r="G268"/>
    </row>
    <row r="269" spans="1:7" ht="14.4">
      <c r="A269" s="271"/>
      <c r="B269" s="880"/>
      <c r="C269" s="879"/>
      <c r="D269" s="1018"/>
      <c r="E269" s="1018"/>
      <c r="F269" s="1018"/>
      <c r="G269"/>
    </row>
    <row r="270" spans="1:7" ht="14.4" customHeight="1">
      <c r="A270" s="271"/>
      <c r="B270" s="880"/>
      <c r="C270" s="879"/>
      <c r="D270" s="1018"/>
      <c r="E270" s="1018"/>
      <c r="F270" s="1018"/>
      <c r="G270"/>
    </row>
    <row r="271" spans="1:7" ht="14.4">
      <c r="A271" s="271"/>
      <c r="B271" s="880"/>
      <c r="C271" s="879"/>
      <c r="D271" s="881"/>
      <c r="E271" s="881"/>
      <c r="F271" s="881"/>
      <c r="G271"/>
    </row>
    <row r="272" spans="1:7" ht="14.4">
      <c r="A272" s="271"/>
      <c r="B272" s="609" t="s">
        <v>1367</v>
      </c>
      <c r="C272" s="879"/>
      <c r="D272" s="1018" t="s">
        <v>1998</v>
      </c>
      <c r="E272" s="1018"/>
      <c r="F272" s="1018"/>
      <c r="G272"/>
    </row>
    <row r="273" spans="1:7" ht="14.4">
      <c r="A273" s="271"/>
      <c r="B273" s="880"/>
      <c r="C273" s="879"/>
      <c r="D273" s="1018"/>
      <c r="E273" s="1018"/>
      <c r="F273" s="1018"/>
      <c r="G273"/>
    </row>
    <row r="274" spans="1:7" ht="14.4">
      <c r="A274" s="271"/>
      <c r="B274" s="880"/>
      <c r="C274" s="879"/>
      <c r="D274" s="1018"/>
      <c r="E274" s="1018"/>
      <c r="F274" s="1018"/>
      <c r="G274"/>
    </row>
    <row r="275" spans="1:7" ht="14.4">
      <c r="A275" s="271"/>
      <c r="B275" s="880"/>
      <c r="C275" s="879"/>
      <c r="D275" s="1018"/>
      <c r="E275" s="1018"/>
      <c r="F275" s="1018"/>
      <c r="G275"/>
    </row>
    <row r="276" spans="1:7" ht="14.4">
      <c r="A276" s="271"/>
      <c r="B276" s="880"/>
      <c r="C276" s="879"/>
      <c r="D276" s="1018"/>
      <c r="E276" s="1018"/>
      <c r="F276" s="1018"/>
      <c r="G276"/>
    </row>
    <row r="277" spans="1:7" ht="14.4">
      <c r="A277" s="271"/>
      <c r="B277" s="880"/>
      <c r="C277" s="879"/>
      <c r="D277" s="881"/>
      <c r="E277" s="881"/>
      <c r="F277" s="881"/>
      <c r="G277"/>
    </row>
    <row r="278" spans="1:7" ht="14.4">
      <c r="A278" s="271"/>
      <c r="B278" s="880"/>
      <c r="C278" s="879"/>
      <c r="D278" s="1018" t="s">
        <v>1550</v>
      </c>
      <c r="E278" s="1018"/>
      <c r="F278" s="1018"/>
      <c r="G278"/>
    </row>
    <row r="279" spans="1:7" ht="14.4">
      <c r="A279" s="271"/>
      <c r="B279" s="880"/>
      <c r="C279" s="879"/>
      <c r="D279" s="1018"/>
      <c r="E279" s="1018"/>
      <c r="F279" s="1018"/>
      <c r="G279"/>
    </row>
    <row r="280" spans="1:7" ht="14.4">
      <c r="A280" s="271"/>
      <c r="B280" s="880"/>
      <c r="C280" s="879"/>
      <c r="D280" s="1018"/>
      <c r="E280" s="1018"/>
      <c r="F280" s="1018"/>
      <c r="G280"/>
    </row>
    <row r="281" spans="1:7" ht="14.4">
      <c r="A281" s="271"/>
      <c r="B281" s="880"/>
      <c r="C281" s="879"/>
      <c r="D281" s="1018"/>
      <c r="E281" s="1018"/>
      <c r="F281" s="1018"/>
      <c r="G281"/>
    </row>
    <row r="282" spans="1:7" ht="14.4">
      <c r="A282" s="271"/>
      <c r="B282" s="880"/>
      <c r="C282" s="879"/>
      <c r="D282" s="1018"/>
      <c r="E282" s="1018"/>
      <c r="F282" s="1018"/>
      <c r="G282"/>
    </row>
    <row r="283" spans="1:7" ht="14.4">
      <c r="A283" s="271"/>
      <c r="B283" s="271"/>
      <c r="D283" s="209"/>
      <c r="E283" s="209"/>
      <c r="F283" s="209"/>
      <c r="G283"/>
    </row>
    <row r="284" spans="1:7" s="448" customFormat="1" ht="14.4" customHeight="1">
      <c r="A284" s="289"/>
      <c r="B284" s="609" t="s">
        <v>123</v>
      </c>
      <c r="C284" s="798"/>
      <c r="D284" s="1020" t="s">
        <v>1915</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5"/>
      <c r="E287" s="926" t="s">
        <v>2062</v>
      </c>
      <c r="F287" s="925"/>
      <c r="G287" s="799"/>
    </row>
    <row r="288" spans="1:7" ht="14.4">
      <c r="A288" s="271"/>
      <c r="B288" s="271"/>
      <c r="D288" s="44"/>
      <c r="E288"/>
      <c r="F288"/>
      <c r="G288"/>
    </row>
    <row r="289" spans="1:7" ht="14.4">
      <c r="A289" s="271"/>
      <c r="B289" s="609" t="s">
        <v>1367</v>
      </c>
      <c r="D289" s="997" t="s">
        <v>1103</v>
      </c>
      <c r="E289" s="997"/>
      <c r="F289" s="997"/>
      <c r="G289"/>
    </row>
    <row r="290" spans="1:7" ht="14.4">
      <c r="A290" s="271"/>
      <c r="B290" s="271"/>
      <c r="D290" s="997" t="s">
        <v>1551</v>
      </c>
      <c r="E290" s="997"/>
      <c r="F290" s="997"/>
      <c r="G290"/>
    </row>
    <row r="291" spans="1:7" ht="14.4">
      <c r="A291" s="271"/>
      <c r="B291" s="271"/>
      <c r="D291" s="3" t="s">
        <v>1041</v>
      </c>
      <c r="E291" s="926" t="s">
        <v>2063</v>
      </c>
      <c r="F291" s="3"/>
    </row>
    <row r="292" spans="1:7" ht="13.2">
      <c r="D292" s="28"/>
    </row>
    <row r="293" spans="1:7" ht="14.4">
      <c r="A293" s="271"/>
      <c r="B293" s="609" t="s">
        <v>1367</v>
      </c>
      <c r="D293" s="977" t="s">
        <v>1552</v>
      </c>
      <c r="E293" s="977"/>
      <c r="F293" s="977"/>
    </row>
    <row r="294" spans="1:7" ht="14.4">
      <c r="A294" s="271"/>
      <c r="B294" s="271"/>
      <c r="D294" s="977"/>
      <c r="E294" s="977"/>
      <c r="F294" s="977"/>
    </row>
    <row r="295" spans="1:7" ht="13.2">
      <c r="D295" s="28"/>
    </row>
    <row r="296" spans="1:7" ht="13.2">
      <c r="A296" s="1031" t="s">
        <v>1380</v>
      </c>
      <c r="B296" s="1031"/>
      <c r="C296" s="1031"/>
      <c r="D296" s="1031"/>
      <c r="E296" s="1031"/>
      <c r="F296" s="1031"/>
      <c r="G296" s="1031"/>
    </row>
    <row r="297" spans="1:7" ht="13.2">
      <c r="D297" s="28"/>
    </row>
    <row r="298" spans="1:7" ht="13.2">
      <c r="C298" s="590"/>
      <c r="D298" s="998" t="s">
        <v>1379</v>
      </c>
      <c r="E298" s="998"/>
      <c r="F298" s="998"/>
    </row>
    <row r="299" spans="1:7" ht="13.2">
      <c r="A299" s="190"/>
      <c r="B299" s="190"/>
      <c r="C299" s="190"/>
      <c r="D299" s="44"/>
    </row>
    <row r="300" spans="1:7" ht="13.2">
      <c r="A300" s="191"/>
      <c r="B300" s="191"/>
      <c r="C300" s="191"/>
      <c r="D300" s="998" t="s">
        <v>210</v>
      </c>
      <c r="E300" s="998"/>
      <c r="F300" s="998"/>
    </row>
    <row r="301" spans="1:7" ht="14.4" customHeight="1">
      <c r="A301" s="271"/>
      <c r="B301" s="609" t="s">
        <v>123</v>
      </c>
      <c r="D301" s="970" t="s">
        <v>1872</v>
      </c>
      <c r="E301" s="977"/>
      <c r="F301" s="977"/>
    </row>
    <row r="302" spans="1:7" ht="13.2">
      <c r="D302" s="977"/>
      <c r="E302" s="977"/>
      <c r="F302" s="977"/>
    </row>
    <row r="303" spans="1:7" ht="13.2">
      <c r="D303" s="977"/>
      <c r="E303" s="977"/>
      <c r="F303" s="977"/>
    </row>
    <row r="304" spans="1:7" ht="13.2">
      <c r="D304" s="24"/>
      <c r="E304" s="24"/>
      <c r="F304" s="24"/>
    </row>
    <row r="305" spans="1:7" s="448" customFormat="1" ht="14.4" customHeight="1">
      <c r="A305" s="289"/>
      <c r="B305" s="609" t="s">
        <v>123</v>
      </c>
      <c r="C305" s="798"/>
      <c r="D305" s="1020" t="s">
        <v>1916</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2064</v>
      </c>
      <c r="F308" s="373"/>
      <c r="G308" s="799"/>
    </row>
    <row r="309" spans="1:7" ht="13.2">
      <c r="D309" s="212"/>
    </row>
    <row r="310" spans="1:7" ht="13.2">
      <c r="A310" s="1031" t="s">
        <v>1381</v>
      </c>
      <c r="B310" s="1031"/>
      <c r="C310" s="1031"/>
      <c r="D310" s="1031"/>
      <c r="E310" s="1031"/>
      <c r="F310" s="1031"/>
      <c r="G310" s="1031"/>
    </row>
    <row r="311" spans="1:7" ht="13.2">
      <c r="D311" s="212"/>
    </row>
    <row r="312" spans="1:7" ht="13.2">
      <c r="C312" s="190"/>
      <c r="D312" s="1004" t="s">
        <v>1553</v>
      </c>
      <c r="E312" s="1004"/>
      <c r="F312" s="1004"/>
    </row>
    <row r="313" spans="1:7" ht="13.2">
      <c r="C313" s="190"/>
      <c r="D313" s="1004"/>
      <c r="E313" s="1004"/>
      <c r="F313" s="1004"/>
    </row>
    <row r="314" spans="1:7" ht="13.2">
      <c r="A314" s="191"/>
      <c r="B314" s="191"/>
      <c r="C314" s="191"/>
      <c r="D314" s="3"/>
    </row>
    <row r="315" spans="1:7" ht="13.2">
      <c r="C315" s="191"/>
      <c r="D315" s="998" t="s">
        <v>161</v>
      </c>
      <c r="E315" s="998"/>
      <c r="F315" s="998"/>
    </row>
    <row r="316" spans="1:7" ht="14.4">
      <c r="A316" s="271"/>
      <c r="B316" s="271"/>
      <c r="D316" s="1022" t="s">
        <v>1554</v>
      </c>
      <c r="E316" s="1022"/>
      <c r="F316" s="1022"/>
    </row>
    <row r="317" spans="1:7" ht="12" customHeight="1"/>
    <row r="318" spans="1:7" ht="14.4" customHeight="1">
      <c r="A318" s="271"/>
      <c r="B318" s="609" t="s">
        <v>123</v>
      </c>
      <c r="D318" s="977" t="s">
        <v>1555</v>
      </c>
      <c r="E318" s="977"/>
      <c r="F318" s="977"/>
    </row>
    <row r="319" spans="1:7" ht="14.4">
      <c r="A319" s="271"/>
      <c r="B319" s="271"/>
      <c r="D319" s="977"/>
      <c r="E319" s="977"/>
      <c r="F319" s="977"/>
    </row>
    <row r="320" spans="1:7" ht="13.2"/>
    <row r="321" spans="1:7" ht="14.4" customHeight="1">
      <c r="A321" s="271"/>
      <c r="B321" s="609" t="s">
        <v>123</v>
      </c>
      <c r="D321" s="977" t="s">
        <v>1556</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123</v>
      </c>
      <c r="D325" s="977" t="s">
        <v>1557</v>
      </c>
      <c r="E325" s="977"/>
      <c r="F325" s="977"/>
    </row>
    <row r="326" spans="1:7" ht="14.4">
      <c r="A326" s="271"/>
      <c r="B326" s="271"/>
      <c r="D326" s="977"/>
      <c r="E326" s="977"/>
      <c r="F326" s="977"/>
    </row>
    <row r="327" spans="1:7" ht="13.2">
      <c r="A327" s="18"/>
      <c r="B327" s="18"/>
      <c r="D327" s="44"/>
    </row>
    <row r="328" spans="1:7" ht="13.2">
      <c r="A328" s="1031" t="s">
        <v>1368</v>
      </c>
      <c r="B328" s="1031"/>
      <c r="C328" s="1031"/>
      <c r="D328" s="1031"/>
      <c r="E328" s="1031"/>
      <c r="F328" s="1031"/>
      <c r="G328" s="1031"/>
    </row>
    <row r="329" spans="1:7" ht="13.2">
      <c r="A329" s="18"/>
      <c r="B329" s="18"/>
      <c r="D329" s="44"/>
      <c r="G329"/>
    </row>
    <row r="330" spans="1:7" ht="13.2">
      <c r="C330" s="18"/>
      <c r="D330" s="998" t="s">
        <v>162</v>
      </c>
      <c r="E330" s="998"/>
      <c r="F330" s="998"/>
      <c r="G330"/>
    </row>
    <row r="331" spans="1:7" ht="13.2">
      <c r="C331" s="18"/>
      <c r="D331" s="997" t="s">
        <v>1409</v>
      </c>
      <c r="E331" s="997"/>
      <c r="F331" s="997"/>
      <c r="G331"/>
    </row>
    <row r="332" spans="1:7" ht="13.2">
      <c r="C332" s="18"/>
      <c r="D332" s="182"/>
      <c r="G332"/>
    </row>
    <row r="333" spans="1:7" ht="13.2">
      <c r="B333" s="609" t="s">
        <v>123</v>
      </c>
      <c r="D333" s="997" t="s">
        <v>1558</v>
      </c>
      <c r="E333" s="997"/>
      <c r="F333" s="997"/>
      <c r="G333"/>
    </row>
    <row r="334" spans="1:7" ht="14.4">
      <c r="A334" s="271"/>
      <c r="B334" s="271"/>
      <c r="D334" s="420"/>
      <c r="G334"/>
    </row>
    <row r="335" spans="1:7" ht="14.4">
      <c r="A335" s="271"/>
      <c r="B335" s="609" t="s">
        <v>123</v>
      </c>
      <c r="D335" s="997" t="s">
        <v>1559</v>
      </c>
      <c r="E335" s="997"/>
      <c r="F335" s="997"/>
      <c r="G335"/>
    </row>
    <row r="336" spans="1:7" ht="13.2">
      <c r="G336"/>
    </row>
    <row r="337" spans="1:7" ht="14.4" customHeight="1">
      <c r="A337" s="271"/>
      <c r="B337" s="609" t="s">
        <v>123</v>
      </c>
      <c r="D337" s="977" t="s">
        <v>1565</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4" customHeight="1">
      <c r="A353" s="271"/>
      <c r="B353" s="609" t="s">
        <v>123</v>
      </c>
      <c r="D353" s="977" t="s">
        <v>1560</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123</v>
      </c>
      <c r="D363" s="994" t="s">
        <v>2065</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2066</v>
      </c>
      <c r="F368" s="209"/>
    </row>
    <row r="369" spans="1:6" ht="13.8" thickBot="1">
      <c r="D369" s="777"/>
      <c r="E369" s="98"/>
      <c r="F369" s="98"/>
    </row>
    <row r="370" spans="1:6" ht="14.4" thickTop="1" thickBot="1">
      <c r="D370" s="1046" t="s">
        <v>1257</v>
      </c>
      <c r="E370" s="1046"/>
      <c r="F370" s="1046"/>
    </row>
    <row r="371" spans="1:6" ht="13.8" thickTop="1">
      <c r="D371" s="1047" t="s">
        <v>1561</v>
      </c>
      <c r="E371" s="1047"/>
      <c r="F371" s="1047"/>
    </row>
    <row r="372" spans="1:6" ht="13.2">
      <c r="D372" s="44"/>
    </row>
    <row r="373" spans="1:6" ht="14.4">
      <c r="A373" s="271"/>
      <c r="B373" s="609" t="s">
        <v>123</v>
      </c>
      <c r="C373" s="361"/>
      <c r="D373" s="1014" t="s">
        <v>2129</v>
      </c>
      <c r="E373" s="1014"/>
      <c r="F373" s="1014"/>
    </row>
    <row r="374" spans="1:6" ht="14.4">
      <c r="A374" s="271"/>
      <c r="B374" s="271"/>
      <c r="C374" s="361"/>
      <c r="D374" s="420"/>
    </row>
    <row r="375" spans="1:6" ht="14.4">
      <c r="A375" s="271"/>
      <c r="B375" s="609" t="s">
        <v>123</v>
      </c>
      <c r="C375" s="361"/>
      <c r="D375" s="984" t="s">
        <v>2130</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123</v>
      </c>
      <c r="C386" s="361"/>
      <c r="D386" s="1034" t="s">
        <v>1562</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1563</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65" customHeight="1">
      <c r="A400" s="361"/>
      <c r="B400" s="361"/>
      <c r="C400" s="361"/>
      <c r="D400" s="1034" t="s">
        <v>1566</v>
      </c>
      <c r="E400" s="1034"/>
      <c r="F400" s="1034"/>
    </row>
    <row r="401" spans="1:6" ht="13.65" customHeight="1">
      <c r="A401" s="361"/>
      <c r="B401" s="361"/>
      <c r="C401" s="361"/>
      <c r="D401" s="1034"/>
      <c r="E401" s="1034"/>
      <c r="F401" s="1034"/>
    </row>
    <row r="402" spans="1:6" ht="13.65" customHeight="1">
      <c r="A402" s="361"/>
      <c r="B402" s="361"/>
      <c r="C402" s="361"/>
      <c r="D402" s="1034"/>
      <c r="E402" s="1034"/>
      <c r="F402" s="1034"/>
    </row>
    <row r="403" spans="1:6" ht="13.65" customHeight="1">
      <c r="A403" s="361"/>
      <c r="B403" s="361"/>
      <c r="C403" s="361"/>
      <c r="D403" s="1034"/>
      <c r="E403" s="1034"/>
      <c r="F403" s="1034"/>
    </row>
    <row r="404" spans="1:6" ht="13.65" customHeight="1">
      <c r="A404" s="361"/>
      <c r="B404" s="361"/>
      <c r="C404" s="361"/>
      <c r="D404" s="1034"/>
      <c r="E404" s="1034"/>
      <c r="F404" s="1034"/>
    </row>
    <row r="405" spans="1:6" ht="13.65" customHeight="1">
      <c r="A405" s="361"/>
      <c r="B405" s="361"/>
      <c r="C405" s="361"/>
      <c r="D405" s="1034"/>
      <c r="E405" s="1034"/>
      <c r="F405" s="1034"/>
    </row>
    <row r="406" spans="1:6" ht="13.65" customHeight="1">
      <c r="A406" s="361"/>
      <c r="B406" s="361"/>
      <c r="C406" s="361"/>
      <c r="D406" s="1034"/>
      <c r="E406" s="1034"/>
      <c r="F406" s="1034"/>
    </row>
    <row r="407" spans="1:6" ht="13.65" customHeight="1">
      <c r="A407" s="361"/>
      <c r="B407" s="361"/>
      <c r="C407" s="361"/>
      <c r="D407" s="1034"/>
      <c r="E407" s="1034"/>
      <c r="F407" s="1034"/>
    </row>
    <row r="408" spans="1:6" ht="13.65" customHeight="1">
      <c r="A408" s="361"/>
      <c r="B408" s="361"/>
      <c r="C408" s="361"/>
      <c r="D408" s="1034"/>
      <c r="E408" s="1034"/>
      <c r="F408" s="1034"/>
    </row>
    <row r="409" spans="1:6" ht="13.65" customHeight="1">
      <c r="A409" s="361"/>
      <c r="B409" s="361"/>
      <c r="C409" s="361"/>
      <c r="D409" s="1034"/>
      <c r="E409" s="1034"/>
      <c r="F409" s="1034"/>
    </row>
    <row r="410" spans="1:6" ht="13.65" customHeight="1">
      <c r="A410" s="361"/>
      <c r="B410" s="361"/>
      <c r="C410" s="361"/>
      <c r="D410" s="1034"/>
      <c r="E410" s="1034"/>
      <c r="F410" s="1034"/>
    </row>
    <row r="411" spans="1:6" ht="13.65" customHeight="1">
      <c r="A411" s="361"/>
      <c r="B411" s="361"/>
      <c r="C411" s="361"/>
      <c r="D411" s="1034"/>
      <c r="E411" s="1034"/>
      <c r="F411" s="1034"/>
    </row>
    <row r="412" spans="1:6" ht="13.65" customHeight="1">
      <c r="A412" s="361"/>
      <c r="B412" s="361"/>
      <c r="C412" s="361"/>
      <c r="D412" s="1034"/>
      <c r="E412" s="1034"/>
      <c r="F412" s="1034"/>
    </row>
    <row r="413" spans="1:6" ht="13.65" customHeight="1">
      <c r="A413" s="361"/>
      <c r="B413" s="361"/>
      <c r="C413" s="361"/>
      <c r="D413" s="1034"/>
      <c r="E413" s="1034"/>
      <c r="F413" s="1034"/>
    </row>
    <row r="414" spans="1:6" ht="13.65" customHeight="1">
      <c r="A414" s="361"/>
      <c r="B414" s="361"/>
      <c r="C414" s="361"/>
      <c r="D414" s="1034"/>
      <c r="E414" s="1034"/>
      <c r="F414" s="1034"/>
    </row>
    <row r="415" spans="1:6" ht="13.65" customHeight="1">
      <c r="A415" s="361"/>
      <c r="B415" s="361"/>
      <c r="C415" s="361"/>
      <c r="D415" s="1034"/>
      <c r="E415" s="1034"/>
      <c r="F415" s="1034"/>
    </row>
    <row r="416" spans="1:6" ht="13.65" customHeight="1">
      <c r="A416" s="361"/>
      <c r="B416" s="361"/>
      <c r="C416" s="361"/>
      <c r="D416" s="1034"/>
      <c r="E416" s="1034"/>
      <c r="F416" s="1034"/>
    </row>
    <row r="417" spans="1:6" ht="13.65" customHeight="1">
      <c r="A417" s="361"/>
      <c r="B417" s="361"/>
      <c r="C417" s="361"/>
      <c r="D417" s="1034"/>
      <c r="E417" s="1034"/>
      <c r="F417" s="1034"/>
    </row>
    <row r="418" spans="1:6" ht="13.2">
      <c r="A418" s="361"/>
      <c r="B418" s="361"/>
      <c r="C418" s="361"/>
      <c r="D418" s="420"/>
    </row>
    <row r="419" spans="1:6" ht="13.65" customHeight="1">
      <c r="A419" s="361"/>
      <c r="B419" s="609" t="s">
        <v>123</v>
      </c>
      <c r="C419" s="361"/>
      <c r="D419" s="1034" t="s">
        <v>1564</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123</v>
      </c>
      <c r="C422" s="361"/>
      <c r="D422" s="1024" t="s">
        <v>1869</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4" customHeight="1">
      <c r="A428" s="271"/>
      <c r="B428" s="609" t="s">
        <v>123</v>
      </c>
      <c r="C428" s="361"/>
      <c r="D428" s="1024" t="s">
        <v>1850</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1865</v>
      </c>
      <c r="E432" s="1053"/>
      <c r="F432" s="1053"/>
    </row>
    <row r="433" spans="1:6" ht="13.2">
      <c r="D433" s="44"/>
    </row>
    <row r="434" spans="1:6" ht="14.4" customHeight="1">
      <c r="A434" s="271"/>
      <c r="B434" s="609" t="s">
        <v>123</v>
      </c>
      <c r="C434" s="207"/>
      <c r="D434" s="977" t="s">
        <v>2131</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123</v>
      </c>
      <c r="C466" s="207"/>
      <c r="D466" s="999" t="s">
        <v>2068</v>
      </c>
      <c r="E466" s="997"/>
      <c r="F466" s="997"/>
    </row>
    <row r="467" spans="1:6" ht="13.2">
      <c r="D467"/>
      <c r="E467" s="927" t="s">
        <v>2067</v>
      </c>
      <c r="F467" s="927"/>
    </row>
    <row r="468" spans="1:6" ht="13.65" customHeight="1">
      <c r="D468" s="970" t="s">
        <v>1847</v>
      </c>
      <c r="E468" s="977"/>
      <c r="F468" s="977"/>
    </row>
    <row r="469" spans="1:6" ht="13.65" customHeight="1">
      <c r="D469" s="977"/>
      <c r="E469" s="977"/>
      <c r="F469" s="977"/>
    </row>
    <row r="470" spans="1:6" ht="13.2">
      <c r="D470" s="44"/>
    </row>
    <row r="471" spans="1:6" ht="14.4" customHeight="1">
      <c r="A471" s="271"/>
      <c r="B471" s="609" t="s">
        <v>123</v>
      </c>
      <c r="C471" s="207"/>
      <c r="D471" s="977" t="s">
        <v>1567</v>
      </c>
      <c r="E471" s="977"/>
      <c r="F471" s="977"/>
    </row>
    <row r="472" spans="1:6" ht="13.2">
      <c r="D472" s="977"/>
      <c r="E472" s="977"/>
      <c r="F472" s="977"/>
    </row>
    <row r="473" spans="1:6" ht="13.2">
      <c r="D473" s="977"/>
      <c r="E473" s="977"/>
      <c r="F473" s="977"/>
    </row>
    <row r="474" spans="1:6" ht="13.2">
      <c r="D474" s="24"/>
      <c r="E474" s="24"/>
      <c r="F474" s="24"/>
    </row>
    <row r="475" spans="1:6" ht="14.4">
      <c r="B475" s="609" t="s">
        <v>123</v>
      </c>
      <c r="C475" s="271"/>
      <c r="D475" s="970" t="s">
        <v>1709</v>
      </c>
      <c r="E475" s="977"/>
      <c r="F475" s="977"/>
    </row>
    <row r="476" spans="1:6" ht="13.2">
      <c r="D476" s="977"/>
      <c r="E476" s="977"/>
      <c r="F476" s="977"/>
    </row>
    <row r="477" spans="1:6" ht="13.2">
      <c r="D477" s="44"/>
      <c r="E477" s="44"/>
    </row>
    <row r="478" spans="1:6" ht="14.4">
      <c r="B478" s="609" t="s">
        <v>123</v>
      </c>
      <c r="C478" s="271"/>
      <c r="D478" s="977" t="s">
        <v>1568</v>
      </c>
      <c r="E478" s="977"/>
      <c r="F478" s="977"/>
    </row>
    <row r="479" spans="1:6" ht="13.2">
      <c r="D479" s="977"/>
      <c r="E479" s="977"/>
      <c r="F479" s="977"/>
    </row>
    <row r="480" spans="1:6" ht="13.2">
      <c r="D480" s="977"/>
      <c r="E480" s="977"/>
      <c r="F480" s="977"/>
    </row>
    <row r="481" spans="2:6" ht="13.2">
      <c r="D481" s="977"/>
      <c r="E481" s="977"/>
      <c r="F481" s="977"/>
    </row>
    <row r="482" spans="2:6" ht="13.2">
      <c r="B482" s="609" t="s">
        <v>123</v>
      </c>
      <c r="D482" s="977"/>
      <c r="E482" s="977"/>
      <c r="F482" s="977"/>
    </row>
    <row r="483" spans="2:6" ht="13.2">
      <c r="D483" s="977"/>
      <c r="E483" s="977"/>
      <c r="F483" s="977"/>
    </row>
    <row r="484" spans="2:6" ht="13.2">
      <c r="D484" s="977"/>
      <c r="E484" s="977"/>
      <c r="F484" s="977"/>
    </row>
    <row r="485" spans="2:6" ht="13.2">
      <c r="B485" s="609" t="s">
        <v>123</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123</v>
      </c>
      <c r="D489" s="977"/>
      <c r="E489" s="977"/>
      <c r="F489" s="977"/>
    </row>
    <row r="490" spans="2:6" ht="13.2">
      <c r="D490" s="977"/>
      <c r="E490" s="977"/>
      <c r="F490" s="977"/>
    </row>
    <row r="491" spans="2:6" ht="13.2">
      <c r="B491" s="609" t="s">
        <v>123</v>
      </c>
      <c r="D491" s="977"/>
      <c r="E491" s="977"/>
      <c r="F491" s="977"/>
    </row>
    <row r="492" spans="2:6" ht="13.2">
      <c r="D492" s="977"/>
      <c r="E492" s="977"/>
      <c r="F492" s="977"/>
    </row>
    <row r="493" spans="2:6" ht="13.65" customHeight="1">
      <c r="B493" s="609" t="s">
        <v>123</v>
      </c>
      <c r="D493" s="977" t="s">
        <v>1569</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123</v>
      </c>
      <c r="D499" s="997" t="s">
        <v>1410</v>
      </c>
      <c r="E499" s="997"/>
      <c r="F499" s="997"/>
    </row>
    <row r="500" spans="1:7" ht="13.2">
      <c r="A500" s="44"/>
      <c r="B500" s="44"/>
    </row>
    <row r="501" spans="1:7" ht="13.2">
      <c r="A501" s="1031" t="s">
        <v>1369</v>
      </c>
      <c r="B501" s="1031"/>
      <c r="C501" s="1031"/>
      <c r="D501" s="1031"/>
      <c r="E501" s="1031"/>
      <c r="F501" s="1031"/>
      <c r="G501" s="1031"/>
    </row>
    <row r="502" spans="1:7" ht="13.2">
      <c r="A502" s="44"/>
      <c r="B502" s="44"/>
    </row>
    <row r="503" spans="1:7" ht="13.2">
      <c r="D503" s="1048" t="s">
        <v>1109</v>
      </c>
      <c r="E503" s="1048"/>
      <c r="F503" s="1048"/>
    </row>
    <row r="504" spans="1:7" ht="13.2">
      <c r="D504" s="1014" t="s">
        <v>1403</v>
      </c>
      <c r="E504" s="1014"/>
      <c r="F504" s="1014"/>
    </row>
    <row r="505" spans="1:7" ht="14.4">
      <c r="A505" s="271"/>
      <c r="B505" s="271"/>
      <c r="D505" s="420"/>
    </row>
    <row r="506" spans="1:7" ht="14.4">
      <c r="A506" s="271"/>
      <c r="B506" s="609" t="s">
        <v>123</v>
      </c>
      <c r="D506" s="1034" t="s">
        <v>1570</v>
      </c>
      <c r="E506" s="1034"/>
      <c r="F506" s="1034"/>
    </row>
    <row r="507" spans="1:7" ht="14.4">
      <c r="A507" s="271"/>
      <c r="B507" s="271"/>
      <c r="D507" s="1034"/>
      <c r="E507" s="1034"/>
      <c r="F507" s="1034"/>
    </row>
    <row r="508" spans="1:7" ht="14.4">
      <c r="A508" s="271"/>
      <c r="B508" s="271"/>
      <c r="D508" s="44"/>
    </row>
    <row r="509" spans="1:7" ht="14.4">
      <c r="A509" s="271"/>
      <c r="B509" s="609" t="s">
        <v>123</v>
      </c>
      <c r="D509" s="1049" t="s">
        <v>1866</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123</v>
      </c>
      <c r="D514" s="997" t="s">
        <v>1572</v>
      </c>
      <c r="E514" s="997"/>
      <c r="F514" s="997"/>
      <c r="G514"/>
    </row>
    <row r="515" spans="1:7" ht="13.2">
      <c r="D515" s="44"/>
      <c r="G515"/>
    </row>
    <row r="516" spans="1:7" ht="14.4">
      <c r="A516" s="271"/>
      <c r="B516" s="609" t="s">
        <v>123</v>
      </c>
      <c r="D516" s="977" t="s">
        <v>1573</v>
      </c>
      <c r="E516" s="977"/>
      <c r="F516" s="977"/>
      <c r="G516"/>
    </row>
    <row r="517" spans="1:7" ht="13.2">
      <c r="D517" s="977"/>
      <c r="E517" s="977"/>
      <c r="F517" s="977"/>
      <c r="G517"/>
    </row>
    <row r="518" spans="1:7" ht="13.2">
      <c r="D518" s="420"/>
      <c r="G518"/>
    </row>
    <row r="519" spans="1:7" ht="14.4">
      <c r="A519" s="271"/>
      <c r="B519" s="609" t="s">
        <v>123</v>
      </c>
      <c r="D519" s="997" t="s">
        <v>1571</v>
      </c>
      <c r="E519" s="997"/>
      <c r="F519" s="997"/>
    </row>
    <row r="520" spans="1:7" ht="14.4">
      <c r="A520" s="271"/>
      <c r="B520" s="271"/>
      <c r="D520" s="44"/>
    </row>
    <row r="521" spans="1:7" ht="13.2">
      <c r="A521" s="1031" t="s">
        <v>1370</v>
      </c>
      <c r="B521" s="1031"/>
      <c r="C521" s="1031"/>
      <c r="D521" s="1031"/>
      <c r="E521" s="1031"/>
      <c r="F521" s="1031"/>
      <c r="G521" s="1031"/>
    </row>
    <row r="522" spans="1:7" ht="12" customHeight="1">
      <c r="A522" s="271"/>
      <c r="B522" s="271"/>
      <c r="D522" s="44"/>
    </row>
    <row r="523" spans="1:7" ht="13.2">
      <c r="B523" s="609" t="s">
        <v>1367</v>
      </c>
      <c r="C523" s="190"/>
      <c r="D523" s="1005" t="s">
        <v>1516</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123</v>
      </c>
      <c r="C528" s="207"/>
      <c r="D528" s="977" t="s">
        <v>2132</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1367</v>
      </c>
      <c r="C531" s="191"/>
      <c r="D531" s="928" t="s">
        <v>2069</v>
      </c>
      <c r="E531" s="929"/>
      <c r="G531"/>
    </row>
    <row r="532" spans="1:7" ht="13.2">
      <c r="A532" s="191"/>
      <c r="B532" s="191"/>
      <c r="C532" s="191"/>
      <c r="D532" s="929"/>
      <c r="E532" s="104" t="s">
        <v>2070</v>
      </c>
      <c r="G532"/>
    </row>
    <row r="533" spans="1:7" ht="14.4">
      <c r="A533" s="271"/>
      <c r="B533"/>
      <c r="D533" s="1034" t="s">
        <v>2133</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1382</v>
      </c>
      <c r="B537" s="1031"/>
      <c r="C537" s="1031"/>
      <c r="D537" s="1031"/>
      <c r="E537" s="1031"/>
      <c r="F537" s="1031"/>
      <c r="G537" s="1031"/>
    </row>
    <row r="538" spans="1:7" ht="12" customHeight="1">
      <c r="A538" s="44"/>
      <c r="B538" s="44"/>
      <c r="C538" s="207"/>
      <c r="E538" s="44"/>
    </row>
    <row r="539" spans="1:7" ht="13.2">
      <c r="C539" s="207"/>
      <c r="D539" s="998" t="s">
        <v>1411</v>
      </c>
      <c r="E539" s="998"/>
      <c r="F539" s="998"/>
    </row>
    <row r="540" spans="1:7" ht="13.2"/>
    <row r="541" spans="1:7" ht="13.2">
      <c r="B541" s="609" t="s">
        <v>123</v>
      </c>
      <c r="D541" s="977" t="s">
        <v>1542</v>
      </c>
      <c r="E541" s="977"/>
      <c r="F541" s="977"/>
    </row>
    <row r="542" spans="1:7" ht="13.2">
      <c r="D542" s="977"/>
      <c r="E542" s="977"/>
      <c r="F542" s="977"/>
    </row>
    <row r="543" spans="1:7" ht="12" customHeight="1">
      <c r="A543" s="207"/>
      <c r="B543" s="207"/>
      <c r="C543" s="207"/>
      <c r="D543" s="44"/>
    </row>
    <row r="544" spans="1:7" ht="14.4">
      <c r="A544" s="271"/>
      <c r="B544" s="609" t="s">
        <v>123</v>
      </c>
      <c r="C544" s="207"/>
      <c r="D544" s="977" t="s">
        <v>1543</v>
      </c>
      <c r="E544" s="977"/>
      <c r="F544" s="977"/>
    </row>
    <row r="545" spans="1:7" ht="13.2">
      <c r="A545" s="207"/>
      <c r="B545" s="207"/>
      <c r="C545" s="207"/>
      <c r="D545" s="977"/>
      <c r="E545" s="977"/>
      <c r="F545" s="977"/>
    </row>
    <row r="546" spans="1:7" ht="12" customHeight="1">
      <c r="A546" s="207"/>
      <c r="B546" s="207"/>
      <c r="C546" s="207"/>
      <c r="D546" s="44"/>
    </row>
    <row r="547" spans="1:7" ht="13.2">
      <c r="A547" s="1009" t="s">
        <v>1418</v>
      </c>
      <c r="B547" s="1009"/>
      <c r="C547" s="1009"/>
      <c r="D547" s="1009"/>
      <c r="E547" s="1009"/>
      <c r="F547" s="1009"/>
      <c r="G547" s="1009"/>
    </row>
    <row r="548" spans="1:7" ht="12" customHeight="1">
      <c r="A548" s="44"/>
      <c r="B548" s="44"/>
      <c r="C548" s="207"/>
      <c r="D548" s="44"/>
    </row>
    <row r="549" spans="1:7" ht="13.2">
      <c r="C549" s="207"/>
      <c r="D549" s="998" t="s">
        <v>163</v>
      </c>
      <c r="E549" s="998"/>
      <c r="F549" s="998"/>
    </row>
    <row r="550" spans="1:7" ht="13.2">
      <c r="C550" s="207"/>
      <c r="D550" s="997" t="s">
        <v>1525</v>
      </c>
      <c r="E550" s="997"/>
      <c r="F550" s="997"/>
    </row>
    <row r="551" spans="1:7" ht="13.2">
      <c r="C551" s="207"/>
      <c r="D551" s="44"/>
      <c r="E551" s="44"/>
      <c r="F551" s="44"/>
    </row>
    <row r="552" spans="1:7" ht="14.4">
      <c r="A552" s="271"/>
      <c r="B552" s="609" t="s">
        <v>1367</v>
      </c>
      <c r="C552" s="207"/>
      <c r="D552" s="997" t="s">
        <v>1104</v>
      </c>
      <c r="E552" s="997"/>
      <c r="F552" s="997"/>
    </row>
    <row r="553" spans="1:7" ht="12" customHeight="1">
      <c r="A553" s="207"/>
      <c r="B553" s="207"/>
      <c r="C553" s="207"/>
      <c r="D553" s="44"/>
      <c r="E553"/>
      <c r="F553"/>
      <c r="G553"/>
    </row>
    <row r="554" spans="1:7" ht="14.4" customHeight="1">
      <c r="A554" s="271"/>
      <c r="B554" s="609" t="s">
        <v>1367</v>
      </c>
      <c r="C554" s="207"/>
      <c r="D554" s="977" t="s">
        <v>1524</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1367</v>
      </c>
      <c r="C557" s="207"/>
      <c r="D557" s="977" t="s">
        <v>1526</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1367</v>
      </c>
      <c r="C560" s="207"/>
      <c r="D560" s="977" t="s">
        <v>1527</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4" customHeight="1">
      <c r="A563" s="271"/>
      <c r="B563" s="609" t="s">
        <v>1367</v>
      </c>
      <c r="C563" s="207"/>
      <c r="D563" s="977" t="s">
        <v>1528</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123</v>
      </c>
      <c r="C567" s="207"/>
      <c r="D567" s="970" t="s">
        <v>1622</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1367</v>
      </c>
      <c r="C570" s="207"/>
      <c r="D570" s="977" t="s">
        <v>1529</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1367</v>
      </c>
      <c r="C573" s="207"/>
      <c r="D573" s="997" t="s">
        <v>1530</v>
      </c>
      <c r="E573" s="997"/>
      <c r="F573" s="997"/>
      <c r="G573"/>
    </row>
    <row r="574" spans="1:7" ht="14.4">
      <c r="A574" s="271"/>
      <c r="B574" s="271"/>
      <c r="C574" s="207"/>
      <c r="D574" s="1038" t="s">
        <v>2071</v>
      </c>
      <c r="E574" s="1038"/>
      <c r="F574" s="1038"/>
      <c r="G574"/>
    </row>
    <row r="575" spans="1:7" ht="13.2">
      <c r="A575" s="18"/>
      <c r="B575" s="18"/>
      <c r="C575" s="207"/>
      <c r="D575" s="930"/>
      <c r="E575" s="104" t="s">
        <v>2072</v>
      </c>
      <c r="F575" s="931"/>
      <c r="G575"/>
    </row>
    <row r="576" spans="1:7" ht="15" customHeight="1">
      <c r="A576" s="18"/>
      <c r="B576" s="18"/>
      <c r="C576" s="207"/>
      <c r="D576" s="970" t="s">
        <v>1743</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1367</v>
      </c>
      <c r="C586" s="207"/>
      <c r="D586" s="997" t="s">
        <v>1531</v>
      </c>
      <c r="E586" s="997"/>
      <c r="F586" s="997"/>
      <c r="G586"/>
    </row>
    <row r="587" spans="1:7" ht="13.65" customHeight="1">
      <c r="C587" s="207"/>
      <c r="D587" s="977" t="s">
        <v>1532</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4" customHeight="1">
      <c r="A591" s="271"/>
      <c r="B591" s="609" t="s">
        <v>1367</v>
      </c>
      <c r="C591" s="207"/>
      <c r="D591" s="977" t="s">
        <v>2134</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123</v>
      </c>
      <c r="C596" s="191"/>
      <c r="D596" s="1030" t="s">
        <v>1804</v>
      </c>
      <c r="E596" s="1007"/>
      <c r="F596" s="1007"/>
    </row>
    <row r="597" spans="1:7" ht="13.2">
      <c r="A597" s="191"/>
      <c r="B597" s="191"/>
      <c r="C597" s="191"/>
    </row>
    <row r="598" spans="1:7" ht="13.2">
      <c r="A598" s="207"/>
      <c r="B598" s="207"/>
      <c r="C598" s="207"/>
      <c r="D598" s="24"/>
      <c r="E598" s="24"/>
      <c r="F598" s="24"/>
    </row>
    <row r="599" spans="1:7" ht="13.2">
      <c r="A599" s="1031" t="s">
        <v>1384</v>
      </c>
      <c r="B599" s="1031"/>
      <c r="C599" s="1031"/>
      <c r="D599" s="1031"/>
      <c r="E599" s="1031"/>
      <c r="F599" s="1031"/>
      <c r="G599" s="1031"/>
    </row>
    <row r="600" spans="1:7" ht="13.2">
      <c r="A600" s="207"/>
      <c r="B600" s="207"/>
      <c r="C600" s="207"/>
    </row>
    <row r="601" spans="1:7" ht="13.2">
      <c r="C601" s="190"/>
      <c r="D601" s="1004" t="s">
        <v>164</v>
      </c>
      <c r="E601" s="1004"/>
      <c r="F601" s="1004"/>
    </row>
    <row r="602" spans="1:7" ht="13.2">
      <c r="C602" s="190"/>
      <c r="D602" s="1000" t="s">
        <v>1433</v>
      </c>
      <c r="E602" s="1000"/>
      <c r="F602" s="1000"/>
    </row>
    <row r="603" spans="1:7" ht="13.2">
      <c r="C603" s="190"/>
      <c r="D603" s="371"/>
    </row>
    <row r="604" spans="1:7" ht="14.4">
      <c r="A604" s="271"/>
      <c r="B604" s="609" t="s">
        <v>1367</v>
      </c>
      <c r="D604" s="1000" t="s">
        <v>1105</v>
      </c>
      <c r="E604" s="1000"/>
      <c r="F604" s="1000"/>
    </row>
    <row r="605" spans="1:7" ht="13.2">
      <c r="A605" s="18"/>
      <c r="B605" s="18"/>
      <c r="D605" s="361"/>
    </row>
    <row r="606" spans="1:7" ht="14.4" customHeight="1">
      <c r="A606" s="271"/>
      <c r="B606" s="609" t="s">
        <v>1367</v>
      </c>
      <c r="D606" s="1000" t="s">
        <v>2135</v>
      </c>
      <c r="E606" s="1000"/>
      <c r="F606" s="1000"/>
    </row>
    <row r="607" spans="1:7" ht="14.4"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123</v>
      </c>
      <c r="D610" s="1000" t="s">
        <v>1434</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1367</v>
      </c>
      <c r="D615" s="1000" t="s">
        <v>2136</v>
      </c>
      <c r="E615" s="1000"/>
      <c r="F615" s="1000"/>
    </row>
    <row r="616" spans="1:7" ht="14.4">
      <c r="A616" s="271"/>
      <c r="B616" s="271"/>
      <c r="D616" s="1000"/>
      <c r="E616" s="1000"/>
      <c r="F616" s="1000"/>
    </row>
    <row r="617" spans="1:7" ht="14.4">
      <c r="A617" s="271"/>
      <c r="B617" s="271"/>
      <c r="D617" s="371"/>
    </row>
    <row r="618" spans="1:7" ht="14.4" customHeight="1">
      <c r="A618" s="271"/>
      <c r="B618" s="609" t="s">
        <v>123</v>
      </c>
      <c r="D618" s="1000" t="s">
        <v>1438</v>
      </c>
      <c r="E618" s="1000"/>
      <c r="F618" s="1000"/>
    </row>
    <row r="619" spans="1:7" ht="14.4">
      <c r="A619" s="271"/>
      <c r="B619" s="271"/>
      <c r="D619" s="1000"/>
      <c r="E619" s="1000"/>
      <c r="F619" s="1000"/>
    </row>
    <row r="620" spans="1:7" ht="14.4">
      <c r="A620" s="271"/>
      <c r="B620" s="271"/>
      <c r="D620" s="371"/>
    </row>
    <row r="621" spans="1:7" ht="14.4">
      <c r="A621" s="271"/>
      <c r="B621" s="609" t="s">
        <v>1367</v>
      </c>
      <c r="D621" s="1000" t="s">
        <v>1106</v>
      </c>
      <c r="E621" s="1000"/>
      <c r="F621" s="1000"/>
    </row>
    <row r="622" spans="1:7" ht="13.2">
      <c r="A622" s="18"/>
      <c r="B622" s="18"/>
    </row>
    <row r="623" spans="1:7" ht="13.2">
      <c r="A623" s="1031" t="s">
        <v>1386</v>
      </c>
      <c r="B623" s="1031"/>
      <c r="C623" s="1031"/>
      <c r="D623" s="1031"/>
      <c r="E623" s="1031"/>
      <c r="F623" s="1031"/>
      <c r="G623" s="1031"/>
    </row>
    <row r="624" spans="1:7" ht="13.2">
      <c r="A624" s="63"/>
      <c r="B624" s="63"/>
    </row>
    <row r="625" spans="1:7" ht="13.2">
      <c r="C625" s="191"/>
      <c r="D625" s="1027" t="s">
        <v>1385</v>
      </c>
      <c r="E625" s="1027"/>
      <c r="F625" s="1027"/>
    </row>
    <row r="626" spans="1:7" ht="13.2">
      <c r="C626" s="191"/>
      <c r="D626" s="1007" t="s">
        <v>1412</v>
      </c>
      <c r="E626" s="1007"/>
      <c r="F626" s="1007"/>
    </row>
    <row r="627" spans="1:7" ht="13.2">
      <c r="C627" s="191"/>
      <c r="D627" s="102"/>
      <c r="E627" s="102"/>
      <c r="F627" s="102"/>
    </row>
    <row r="628" spans="1:7" ht="14.25" customHeight="1">
      <c r="A628" s="271"/>
      <c r="B628" s="609" t="s">
        <v>1367</v>
      </c>
      <c r="D628" s="1050" t="s">
        <v>2074</v>
      </c>
      <c r="E628" s="1051"/>
      <c r="F628" s="1051"/>
    </row>
    <row r="629" spans="1:7" ht="13.2">
      <c r="D629" s="1051"/>
      <c r="E629" s="1051"/>
      <c r="F629" s="1051"/>
    </row>
    <row r="630" spans="1:7" ht="13.2">
      <c r="D630" s="932"/>
      <c r="E630" s="926" t="s">
        <v>2073</v>
      </c>
      <c r="F630" s="932"/>
    </row>
    <row r="631" spans="1:7" ht="13.2">
      <c r="A631" s="63"/>
      <c r="B631" s="63"/>
    </row>
    <row r="632" spans="1:7" ht="12" customHeight="1">
      <c r="A632" s="1031" t="s">
        <v>1388</v>
      </c>
      <c r="B632" s="1031"/>
      <c r="C632" s="1031"/>
      <c r="D632" s="1031"/>
      <c r="E632" s="1031"/>
      <c r="F632" s="1031"/>
      <c r="G632" s="1031"/>
    </row>
    <row r="633" spans="1:7" ht="13.2">
      <c r="A633" s="44"/>
      <c r="B633" s="44"/>
    </row>
    <row r="634" spans="1:7" ht="13.2">
      <c r="C634" s="190"/>
      <c r="D634" s="998" t="s">
        <v>1387</v>
      </c>
      <c r="E634" s="998"/>
      <c r="F634" s="998"/>
    </row>
    <row r="635" spans="1:7" ht="13.2">
      <c r="A635" s="191"/>
      <c r="B635" s="191"/>
      <c r="C635" s="191"/>
      <c r="D635" s="997" t="s">
        <v>1544</v>
      </c>
      <c r="E635" s="997"/>
      <c r="F635" s="997"/>
    </row>
    <row r="636" spans="1:7" ht="13.2">
      <c r="A636" s="191"/>
      <c r="B636" s="191"/>
      <c r="C636" s="191"/>
    </row>
    <row r="637" spans="1:7" ht="14.4">
      <c r="A637" s="271"/>
      <c r="B637" s="271"/>
      <c r="D637" s="1027" t="s">
        <v>869</v>
      </c>
      <c r="E637" s="1027"/>
      <c r="F637" s="1027"/>
    </row>
    <row r="638" spans="1:7" ht="14.4">
      <c r="A638" s="271"/>
      <c r="B638" s="609" t="s">
        <v>1367</v>
      </c>
      <c r="D638" s="1007" t="s">
        <v>1545</v>
      </c>
      <c r="E638" s="1007"/>
      <c r="F638" s="1007"/>
    </row>
    <row r="639" spans="1:7" ht="14.4">
      <c r="A639" s="271"/>
      <c r="B639" s="271"/>
      <c r="D639" s="44"/>
    </row>
    <row r="640" spans="1:7" ht="14.4">
      <c r="A640" s="271"/>
      <c r="B640" s="609" t="s">
        <v>123</v>
      </c>
      <c r="D640" s="977" t="s">
        <v>1546</v>
      </c>
      <c r="E640" s="977"/>
      <c r="F640" s="977"/>
    </row>
    <row r="641" spans="1:7" ht="14.4">
      <c r="A641" s="271"/>
      <c r="B641" s="271"/>
      <c r="D641" s="977"/>
      <c r="E641" s="977"/>
      <c r="F641" s="977"/>
    </row>
    <row r="642" spans="1:7" ht="14.4">
      <c r="A642" s="271"/>
      <c r="B642" s="271"/>
      <c r="D642" s="44"/>
    </row>
    <row r="643" spans="1:7" ht="14.4">
      <c r="A643" s="271"/>
      <c r="B643" s="609" t="s">
        <v>1367</v>
      </c>
      <c r="D643" s="970" t="s">
        <v>1912</v>
      </c>
      <c r="E643" s="970"/>
      <c r="F643" s="970"/>
    </row>
    <row r="644" spans="1:7" ht="13.65" customHeight="1">
      <c r="D644" s="970"/>
      <c r="E644" s="970"/>
      <c r="F644" s="970"/>
    </row>
    <row r="645" spans="1:7" ht="13.2"/>
    <row r="646" spans="1:7" ht="14.4">
      <c r="A646" s="271"/>
      <c r="B646" s="609" t="s">
        <v>1367</v>
      </c>
      <c r="D646" s="1007" t="s">
        <v>1547</v>
      </c>
      <c r="E646" s="1007"/>
      <c r="F646" s="1007"/>
    </row>
    <row r="647" spans="1:7" ht="13.2">
      <c r="A647" s="190"/>
      <c r="B647" s="190"/>
      <c r="C647" s="190"/>
    </row>
    <row r="648" spans="1:7" ht="13.2">
      <c r="A648" s="1031" t="s">
        <v>1389</v>
      </c>
      <c r="B648" s="1031"/>
      <c r="C648" s="1031"/>
      <c r="D648" s="1031"/>
      <c r="E648" s="1031"/>
      <c r="F648" s="1031"/>
      <c r="G648" s="1031"/>
    </row>
    <row r="649" spans="1:7" ht="13.2">
      <c r="A649" s="190"/>
      <c r="B649" s="190"/>
      <c r="C649" s="190"/>
    </row>
    <row r="650" spans="1:7" ht="13.2">
      <c r="C650" s="18"/>
      <c r="D650" s="1015" t="s">
        <v>1413</v>
      </c>
      <c r="E650" s="1015"/>
      <c r="F650" s="1015"/>
    </row>
    <row r="651" spans="1:7" ht="13.2">
      <c r="A651" s="18"/>
      <c r="B651" s="18"/>
      <c r="D651" s="3"/>
    </row>
    <row r="652" spans="1:7" ht="14.25" customHeight="1">
      <c r="A652" s="271"/>
      <c r="B652" s="609" t="s">
        <v>1367</v>
      </c>
      <c r="D652" s="1050" t="s">
        <v>2137</v>
      </c>
      <c r="E652" s="1050"/>
      <c r="F652" s="1050"/>
    </row>
    <row r="653" spans="1:7" ht="14.4">
      <c r="A653" s="271"/>
      <c r="B653" s="271"/>
      <c r="D653" s="1050"/>
      <c r="E653" s="1050"/>
      <c r="F653" s="1050"/>
    </row>
    <row r="654" spans="1:7" ht="13.2">
      <c r="D654" s="932"/>
      <c r="E654" s="926" t="s">
        <v>2076</v>
      </c>
      <c r="F654" s="932"/>
    </row>
    <row r="655" spans="1:7" ht="13.2">
      <c r="D655" s="974" t="s">
        <v>2075</v>
      </c>
      <c r="E655" s="974"/>
      <c r="F655" s="974"/>
    </row>
    <row r="656" spans="1:7" ht="12.75" customHeight="1">
      <c r="D656" s="974"/>
      <c r="E656" s="974"/>
      <c r="F656" s="974"/>
    </row>
    <row r="657" spans="1:9" ht="13.2">
      <c r="B657"/>
      <c r="D657" s="974"/>
      <c r="E657" s="974"/>
      <c r="F657" s="974"/>
    </row>
    <row r="658" spans="1:9" ht="13.2"/>
    <row r="659" spans="1:9" ht="14.4">
      <c r="A659" s="303"/>
      <c r="B659" s="609" t="s">
        <v>123</v>
      </c>
      <c r="D659" s="1016" t="s">
        <v>1548</v>
      </c>
      <c r="E659" s="1016"/>
      <c r="F659" s="1016"/>
      <c r="G659" s="44"/>
    </row>
    <row r="660" spans="1:9" ht="14.4">
      <c r="A660" s="303"/>
      <c r="B660" s="303"/>
      <c r="D660" s="1016"/>
      <c r="E660" s="1016"/>
      <c r="F660" s="1016"/>
      <c r="G660" s="44"/>
    </row>
    <row r="661" spans="1:9" ht="14.4">
      <c r="A661" s="303"/>
      <c r="B661" s="303"/>
      <c r="D661" s="44"/>
      <c r="E661" s="44"/>
      <c r="F661" s="44"/>
      <c r="G661" s="44"/>
    </row>
    <row r="662" spans="1:9" ht="13.65" customHeight="1">
      <c r="A662" s="303"/>
      <c r="B662" s="609" t="s">
        <v>123</v>
      </c>
      <c r="D662" s="1018" t="s">
        <v>1805</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123</v>
      </c>
      <c r="C665" s="207"/>
      <c r="D665" s="1017" t="s">
        <v>1549</v>
      </c>
      <c r="E665" s="1017"/>
      <c r="F665" s="1017"/>
      <c r="G665" s="44"/>
    </row>
    <row r="666" spans="1:9" ht="13.2">
      <c r="A666" s="44"/>
      <c r="B666" s="44"/>
      <c r="C666" s="207"/>
      <c r="D666" s="44"/>
      <c r="E666" s="44"/>
      <c r="F666" s="44"/>
      <c r="G666" s="44"/>
      <c r="H666" s="267"/>
      <c r="I666" s="267"/>
    </row>
    <row r="667" spans="1:9" ht="13.2">
      <c r="A667" s="1031" t="s">
        <v>1391</v>
      </c>
      <c r="B667" s="1031"/>
      <c r="C667" s="1031"/>
      <c r="D667" s="1031"/>
      <c r="E667" s="1031"/>
      <c r="F667" s="1031"/>
      <c r="G667" s="1031"/>
    </row>
    <row r="668" spans="1:9" ht="13.2">
      <c r="A668" s="44"/>
      <c r="B668" s="44"/>
      <c r="C668" s="207"/>
      <c r="D668" s="44"/>
      <c r="E668" s="44"/>
      <c r="F668" s="44"/>
      <c r="G668" s="44"/>
    </row>
    <row r="669" spans="1:9" ht="13.2">
      <c r="C669" s="190"/>
      <c r="D669" s="998" t="s">
        <v>1390</v>
      </c>
      <c r="E669" s="998"/>
      <c r="F669" s="998"/>
      <c r="G669" s="44"/>
    </row>
    <row r="670" spans="1:9" ht="13.2">
      <c r="A670" s="191"/>
      <c r="B670" s="191"/>
      <c r="C670" s="191"/>
      <c r="D670" s="997" t="s">
        <v>1414</v>
      </c>
      <c r="E670" s="997"/>
      <c r="F670" s="997"/>
      <c r="G670" s="44"/>
    </row>
    <row r="671" spans="1:9" ht="13.2">
      <c r="A671" s="191"/>
      <c r="B671" s="191"/>
      <c r="C671" s="191"/>
      <c r="D671" s="44"/>
      <c r="E671" s="44"/>
      <c r="F671" s="44"/>
      <c r="G671" s="44"/>
    </row>
    <row r="672" spans="1:9" ht="14.4" customHeight="1">
      <c r="A672" s="271"/>
      <c r="B672" s="609" t="s">
        <v>1367</v>
      </c>
      <c r="C672" s="207"/>
      <c r="D672" s="970" t="s">
        <v>1868</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78</v>
      </c>
      <c r="C679" s="207"/>
      <c r="D679" s="1001" t="s">
        <v>1431</v>
      </c>
      <c r="E679" s="1001"/>
      <c r="F679" s="1001"/>
      <c r="G679" s="44"/>
    </row>
    <row r="680" spans="1:7" ht="14.4" hidden="1">
      <c r="A680" s="271"/>
      <c r="B680" s="271"/>
      <c r="C680" s="207"/>
      <c r="D680" s="995" t="s">
        <v>2138</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1867</v>
      </c>
      <c r="E685" s="1019"/>
      <c r="F685" s="1019"/>
      <c r="G685" s="44"/>
    </row>
    <row r="686" spans="1:7" ht="13.2">
      <c r="A686" s="44"/>
      <c r="B686" s="44"/>
      <c r="C686" s="207"/>
      <c r="D686" s="44"/>
      <c r="E686" s="44"/>
      <c r="F686" s="44"/>
      <c r="G686" s="44"/>
    </row>
    <row r="687" spans="1:7" ht="13.2">
      <c r="A687" s="1031" t="s">
        <v>1392</v>
      </c>
      <c r="B687" s="1031"/>
      <c r="C687" s="1031"/>
      <c r="D687" s="1031"/>
      <c r="E687" s="1031"/>
      <c r="F687" s="1031"/>
      <c r="G687" s="1031"/>
    </row>
    <row r="688" spans="1:7" ht="13.2">
      <c r="A688" s="44"/>
      <c r="B688" s="44"/>
      <c r="C688" s="207"/>
      <c r="D688" s="44"/>
      <c r="E688" s="44"/>
      <c r="F688" s="44"/>
      <c r="G688" s="44"/>
    </row>
    <row r="689" spans="1:7" ht="13.2">
      <c r="C689" s="190"/>
      <c r="D689" s="998" t="s">
        <v>782</v>
      </c>
      <c r="E689" s="998"/>
      <c r="F689" s="998"/>
      <c r="G689" s="44"/>
    </row>
    <row r="690" spans="1:7" ht="13.2">
      <c r="A690" s="190"/>
      <c r="B690" s="190"/>
      <c r="C690" s="190"/>
      <c r="D690" s="998" t="s">
        <v>870</v>
      </c>
      <c r="E690" s="998"/>
      <c r="F690" s="998"/>
      <c r="G690" s="44"/>
    </row>
    <row r="691" spans="1:7" ht="13.2">
      <c r="A691" s="191"/>
      <c r="B691" s="191"/>
      <c r="C691" s="191"/>
      <c r="D691" s="997" t="s">
        <v>1515</v>
      </c>
      <c r="E691" s="997"/>
      <c r="F691" s="997"/>
    </row>
    <row r="692" spans="1:7" ht="14.25" customHeight="1">
      <c r="A692" s="191"/>
      <c r="B692" s="191"/>
      <c r="C692" s="191"/>
    </row>
    <row r="693" spans="1:7" ht="14.4">
      <c r="A693" s="271"/>
      <c r="B693" s="609" t="s">
        <v>1367</v>
      </c>
      <c r="C693" s="191"/>
      <c r="D693" s="997" t="s">
        <v>1107</v>
      </c>
      <c r="E693" s="997"/>
      <c r="F693" s="997"/>
    </row>
    <row r="694" spans="1:7" ht="13.2">
      <c r="A694" s="191"/>
      <c r="B694" s="191"/>
      <c r="C694" s="191"/>
      <c r="D694" s="997" t="s">
        <v>1124</v>
      </c>
      <c r="E694" s="997"/>
      <c r="F694" s="997"/>
    </row>
    <row r="695" spans="1:7" ht="12.75" customHeight="1">
      <c r="A695" s="191"/>
      <c r="B695" s="191"/>
      <c r="C695" s="191"/>
      <c r="E695" s="926" t="s">
        <v>2078</v>
      </c>
      <c r="F695" s="15"/>
    </row>
    <row r="696" spans="1:7" ht="13.2">
      <c r="A696" s="191"/>
      <c r="B696" s="191"/>
      <c r="C696" s="191"/>
      <c r="E696" s="925" t="s">
        <v>2077</v>
      </c>
      <c r="F696" s="15"/>
    </row>
    <row r="697" spans="1:7" ht="13.2">
      <c r="A697" s="191"/>
      <c r="B697" s="191"/>
      <c r="C697" s="191"/>
      <c r="D697" s="212"/>
      <c r="E697" s="212"/>
      <c r="F697" s="212"/>
    </row>
    <row r="698" spans="1:7" ht="14.4">
      <c r="A698" s="271"/>
      <c r="B698" s="609" t="s">
        <v>123</v>
      </c>
      <c r="C698" s="191"/>
      <c r="D698" s="977" t="s">
        <v>2139</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1367</v>
      </c>
      <c r="C702" s="191"/>
      <c r="D702" s="997" t="s">
        <v>1165</v>
      </c>
      <c r="E702" s="997"/>
      <c r="F702" s="997"/>
    </row>
    <row r="703" spans="1:7" ht="14.4">
      <c r="A703" s="271"/>
      <c r="B703" s="271"/>
      <c r="C703" s="191"/>
      <c r="D703" s="997" t="s">
        <v>1124</v>
      </c>
      <c r="E703" s="997"/>
      <c r="F703" s="997"/>
    </row>
    <row r="704" spans="1:7" ht="13.2">
      <c r="A704" s="191"/>
      <c r="B704" s="191"/>
      <c r="C704" s="191"/>
      <c r="E704" s="1022" t="s">
        <v>2079</v>
      </c>
      <c r="F704" s="1022"/>
    </row>
    <row r="705" spans="1:6" ht="13.2">
      <c r="A705" s="191"/>
      <c r="B705" s="191"/>
      <c r="C705" s="191"/>
      <c r="D705" s="3"/>
    </row>
    <row r="706" spans="1:6" ht="14.4">
      <c r="A706" s="271"/>
      <c r="B706" s="609" t="s">
        <v>1367</v>
      </c>
      <c r="C706" s="191"/>
      <c r="D706" s="977" t="s">
        <v>1517</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1367</v>
      </c>
      <c r="C713" s="191"/>
      <c r="D713" s="970" t="s">
        <v>1723</v>
      </c>
      <c r="E713" s="977"/>
      <c r="F713" s="977"/>
    </row>
    <row r="714" spans="1:6" ht="13.2">
      <c r="A714" s="191"/>
      <c r="B714" s="191"/>
      <c r="C714" s="191"/>
      <c r="D714" s="977"/>
      <c r="E714" s="977"/>
      <c r="F714" s="977"/>
    </row>
    <row r="715" spans="1:6" ht="13.2">
      <c r="A715" s="191"/>
      <c r="B715" s="191"/>
      <c r="C715" s="191"/>
    </row>
    <row r="716" spans="1:6" ht="14.4" customHeight="1">
      <c r="A716" s="271"/>
      <c r="B716" s="609" t="s">
        <v>123</v>
      </c>
      <c r="C716" s="191"/>
      <c r="D716" s="977" t="s">
        <v>1518</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123</v>
      </c>
      <c r="C729" s="191"/>
      <c r="D729" s="977" t="s">
        <v>1522</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123</v>
      </c>
      <c r="C732" s="191"/>
      <c r="D732" s="977" t="s">
        <v>1523</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4" customHeight="1">
      <c r="A736" s="271"/>
      <c r="B736" s="609" t="s">
        <v>123</v>
      </c>
      <c r="C736" s="191"/>
      <c r="D736" s="970" t="s">
        <v>1913</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4" customHeight="1">
      <c r="A740" s="271"/>
      <c r="B740" s="609" t="s">
        <v>123</v>
      </c>
      <c r="C740" s="191"/>
      <c r="D740" s="977" t="s">
        <v>1519</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123</v>
      </c>
      <c r="C744" s="191"/>
      <c r="D744" s="977" t="s">
        <v>1521</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123</v>
      </c>
      <c r="C749" s="191"/>
      <c r="D749" s="970" t="s">
        <v>2205</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1520</v>
      </c>
      <c r="E756" s="1021"/>
      <c r="F756" s="1021"/>
      <c r="H756" s="267"/>
      <c r="I756" s="267"/>
    </row>
    <row r="757" spans="1:9" ht="13.2">
      <c r="A757" s="191"/>
      <c r="B757" s="191"/>
      <c r="C757" s="191"/>
      <c r="D757" s="560"/>
      <c r="H757" s="267"/>
      <c r="I757" s="267"/>
    </row>
    <row r="758" spans="1:9" ht="13.2">
      <c r="A758" s="1009" t="s">
        <v>1419</v>
      </c>
      <c r="B758" s="1009"/>
      <c r="C758" s="1009"/>
      <c r="D758" s="1009"/>
      <c r="E758" s="1009"/>
      <c r="F758" s="1009"/>
      <c r="G758" s="1009"/>
      <c r="H758" s="267"/>
      <c r="I758" s="267"/>
    </row>
    <row r="759" spans="1:9" ht="13.2">
      <c r="A759" s="191"/>
      <c r="B759" s="191"/>
      <c r="C759" s="191"/>
      <c r="D759" s="212"/>
      <c r="H759" s="267"/>
      <c r="I759" s="267"/>
    </row>
    <row r="760" spans="1:9" ht="13.2">
      <c r="C760" s="191"/>
      <c r="D760" s="1004" t="s">
        <v>1439</v>
      </c>
      <c r="E760" s="1004"/>
      <c r="F760" s="1004"/>
      <c r="H760" s="267"/>
      <c r="I760" s="267"/>
    </row>
    <row r="761" spans="1:9" ht="13.2">
      <c r="A761" s="190"/>
      <c r="B761" s="190"/>
      <c r="C761" s="190"/>
      <c r="D761" s="1007" t="s">
        <v>1442</v>
      </c>
      <c r="E761" s="1007"/>
      <c r="F761" s="1007"/>
      <c r="H761" s="267"/>
      <c r="I761" s="267"/>
    </row>
    <row r="762" spans="1:9" ht="13.2">
      <c r="A762" s="191"/>
      <c r="B762" s="191"/>
      <c r="C762" s="191"/>
      <c r="H762" s="267"/>
      <c r="I762" s="267"/>
    </row>
    <row r="763" spans="1:9" ht="14.25" customHeight="1">
      <c r="A763" s="271"/>
      <c r="B763" s="609" t="s">
        <v>1367</v>
      </c>
      <c r="D763" s="977" t="s">
        <v>1440</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123</v>
      </c>
      <c r="D770" s="1018" t="s">
        <v>1854</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123</v>
      </c>
      <c r="C775" s="433"/>
      <c r="D775" s="1020" t="s">
        <v>1855</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123</v>
      </c>
      <c r="D779" s="977" t="s">
        <v>1441</v>
      </c>
      <c r="E779" s="977"/>
      <c r="F779" s="977"/>
      <c r="H779" s="267"/>
      <c r="I779" s="267"/>
    </row>
    <row r="780" spans="1:9" ht="13.2">
      <c r="D780" s="977"/>
      <c r="E780" s="977"/>
      <c r="F780" s="977"/>
      <c r="H780" s="267"/>
      <c r="I780" s="267"/>
    </row>
    <row r="781" spans="1:9" ht="13.2">
      <c r="D781" s="24"/>
      <c r="E781" s="24"/>
      <c r="F781" s="24"/>
      <c r="H781" s="267"/>
      <c r="I781" s="267"/>
    </row>
    <row r="782" spans="1:9" ht="13.65" customHeight="1">
      <c r="B782" s="609" t="s">
        <v>123</v>
      </c>
      <c r="D782" s="970" t="s">
        <v>1746</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1583</v>
      </c>
      <c r="B786" s="1009"/>
      <c r="C786" s="1009"/>
      <c r="D786" s="1009"/>
      <c r="E786" s="1009"/>
      <c r="F786" s="1009"/>
      <c r="G786" s="1009"/>
      <c r="H786" s="267"/>
      <c r="I786" s="267"/>
    </row>
    <row r="787" spans="1:9" ht="13.2">
      <c r="A787" s="63"/>
      <c r="B787" s="63"/>
      <c r="H787" s="267"/>
      <c r="I787" s="267"/>
    </row>
    <row r="788" spans="1:9" ht="13.65" customHeight="1">
      <c r="A788" s="63"/>
      <c r="B788" s="63"/>
      <c r="D788" s="1013" t="s">
        <v>1584</v>
      </c>
      <c r="E788" s="1013"/>
      <c r="F788" s="1013"/>
      <c r="H788" s="267"/>
      <c r="I788" s="267"/>
    </row>
    <row r="789" spans="1:9" ht="13.2">
      <c r="A789" s="63"/>
      <c r="B789" s="63"/>
      <c r="D789" s="1014" t="s">
        <v>1585</v>
      </c>
      <c r="E789" s="1014"/>
      <c r="F789" s="1014"/>
      <c r="H789" s="267"/>
      <c r="I789" s="267"/>
    </row>
    <row r="790" spans="1:9" ht="13.2">
      <c r="A790" s="63"/>
      <c r="B790" s="63"/>
      <c r="D790" s="420"/>
      <c r="E790" s="420"/>
      <c r="F790" s="420"/>
      <c r="H790" s="267"/>
      <c r="I790" s="267"/>
    </row>
    <row r="791" spans="1:9" ht="13.2">
      <c r="A791" s="63"/>
      <c r="B791" s="609" t="s">
        <v>1367</v>
      </c>
      <c r="D791" s="995" t="s">
        <v>1586</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1367</v>
      </c>
      <c r="C795" s="190"/>
      <c r="D795" s="1020" t="s">
        <v>2200</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4" customHeight="1">
      <c r="A799" s="271"/>
      <c r="B799" s="609" t="s">
        <v>123</v>
      </c>
      <c r="C799" s="207"/>
      <c r="D799" s="1020" t="s">
        <v>1688</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123</v>
      </c>
      <c r="C803" s="207"/>
      <c r="D803" s="995" t="s">
        <v>1587</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1999</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123</v>
      </c>
      <c r="C812" s="207"/>
      <c r="D812" s="995" t="s">
        <v>1589</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1367</v>
      </c>
      <c r="C819" s="207"/>
      <c r="D819" s="1020" t="s">
        <v>1856</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123</v>
      </c>
      <c r="C825" s="207"/>
      <c r="D825" s="995" t="s">
        <v>1588</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123</v>
      </c>
      <c r="C830" s="207"/>
      <c r="D830" s="1003" t="s">
        <v>1591</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123</v>
      </c>
      <c r="C837" s="207"/>
      <c r="D837" s="995" t="s">
        <v>1590</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123</v>
      </c>
      <c r="C840" s="207"/>
      <c r="D840" s="1003" t="s">
        <v>1592</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1873</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1508</v>
      </c>
      <c r="E845" s="1004"/>
      <c r="F845" s="1004"/>
      <c r="H845" s="267"/>
      <c r="I845" s="267"/>
    </row>
    <row r="846" spans="1:9" ht="14.4">
      <c r="A846" s="271"/>
      <c r="B846" s="271"/>
      <c r="D846" s="970" t="s">
        <v>1870</v>
      </c>
      <c r="E846" s="970"/>
      <c r="F846" s="970"/>
      <c r="H846" s="267"/>
      <c r="I846" s="267"/>
    </row>
    <row r="847" spans="1:9" ht="14.4">
      <c r="A847" s="271"/>
      <c r="B847" s="271"/>
      <c r="D847" s="24"/>
      <c r="E847" s="210"/>
      <c r="F847" s="210"/>
      <c r="H847" s="267"/>
      <c r="I847" s="267"/>
    </row>
    <row r="848" spans="1:9" ht="13.2">
      <c r="B848" s="609" t="s">
        <v>1367</v>
      </c>
      <c r="C848" s="207"/>
      <c r="D848" s="977" t="s">
        <v>1445</v>
      </c>
      <c r="E848" s="977"/>
      <c r="F848" s="977"/>
      <c r="H848" s="267"/>
      <c r="I848" s="267"/>
    </row>
    <row r="849" spans="1:9" ht="13.2">
      <c r="A849" s="18"/>
      <c r="B849" s="18"/>
      <c r="C849" s="207"/>
      <c r="D849" s="3" t="s">
        <v>1422</v>
      </c>
      <c r="E849" s="978" t="s">
        <v>2062</v>
      </c>
      <c r="F849" s="978"/>
      <c r="H849" s="267"/>
      <c r="I849" s="267"/>
    </row>
    <row r="850" spans="1:9" ht="13.2">
      <c r="A850" s="18"/>
      <c r="B850" s="18"/>
      <c r="C850" s="207"/>
      <c r="D850" s="213"/>
      <c r="H850" s="267"/>
      <c r="I850" s="267"/>
    </row>
    <row r="851" spans="1:9" ht="13.2">
      <c r="A851" s="18"/>
      <c r="B851" s="609" t="s">
        <v>123</v>
      </c>
      <c r="C851" s="207"/>
      <c r="D851" s="1023" t="s">
        <v>1669</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1367</v>
      </c>
      <c r="C861" s="207"/>
      <c r="D861" s="977" t="s">
        <v>1446</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123</v>
      </c>
      <c r="C865" s="207"/>
      <c r="D865" s="1004" t="s">
        <v>1447</v>
      </c>
      <c r="E865" s="1004"/>
      <c r="F865" s="1004"/>
      <c r="H865" s="267"/>
      <c r="I865" s="267"/>
    </row>
    <row r="866" spans="1:9" ht="13.2">
      <c r="B866" s="419"/>
      <c r="C866" s="207"/>
      <c r="D866" s="1004"/>
      <c r="E866" s="1004"/>
      <c r="F866" s="1004"/>
      <c r="H866" s="267"/>
      <c r="I866" s="267"/>
    </row>
    <row r="867" spans="1:9" ht="14.25" customHeight="1">
      <c r="A867" s="271"/>
      <c r="C867" s="207"/>
      <c r="D867" s="977" t="s">
        <v>2140</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123</v>
      </c>
      <c r="C874" s="207"/>
      <c r="D874" s="977" t="s">
        <v>1166</v>
      </c>
      <c r="E874" s="977"/>
      <c r="F874" s="977"/>
      <c r="H874" s="267"/>
      <c r="I874" s="267"/>
    </row>
    <row r="875" spans="1:9" ht="14.4">
      <c r="A875" s="271"/>
      <c r="B875" s="271"/>
      <c r="C875" s="207"/>
      <c r="D875" s="977" t="s">
        <v>1167</v>
      </c>
      <c r="E875" s="977"/>
      <c r="F875" s="977"/>
      <c r="H875" s="267"/>
      <c r="I875" s="267"/>
    </row>
    <row r="876" spans="1:9" ht="14.4">
      <c r="A876" s="271"/>
      <c r="B876" s="271"/>
      <c r="C876" s="207"/>
      <c r="D876" s="3" t="s">
        <v>1421</v>
      </c>
      <c r="E876" s="978" t="s">
        <v>2064</v>
      </c>
      <c r="F876" s="978"/>
      <c r="H876" s="267"/>
      <c r="I876" s="267"/>
    </row>
    <row r="877" spans="1:9" ht="14.4">
      <c r="A877" s="271"/>
      <c r="B877" s="271"/>
      <c r="C877" s="207"/>
      <c r="D877" s="44"/>
      <c r="H877" s="267"/>
      <c r="I877" s="267"/>
    </row>
    <row r="878" spans="1:9" ht="14.4">
      <c r="A878" s="271"/>
      <c r="B878" s="609" t="s">
        <v>123</v>
      </c>
      <c r="C878" s="207"/>
      <c r="D878" s="977" t="s">
        <v>1448</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1393</v>
      </c>
      <c r="B883" s="272"/>
      <c r="C883" s="611"/>
      <c r="D883" s="611"/>
      <c r="E883" s="611"/>
      <c r="F883" s="611"/>
      <c r="G883" s="611"/>
      <c r="H883" s="267"/>
      <c r="I883" s="267"/>
    </row>
    <row r="884" spans="1:9" ht="13.2">
      <c r="A884" s="190"/>
      <c r="B884" s="190"/>
      <c r="C884" s="190"/>
      <c r="D884" s="212"/>
      <c r="H884" s="267"/>
      <c r="I884" s="267"/>
    </row>
    <row r="885" spans="1:9" ht="13.2">
      <c r="C885" s="191"/>
      <c r="D885" s="998" t="s">
        <v>1507</v>
      </c>
      <c r="E885" s="998"/>
      <c r="F885" s="998"/>
      <c r="G885" s="188"/>
      <c r="H885" s="267"/>
      <c r="I885" s="267"/>
    </row>
    <row r="886" spans="1:9" ht="13.2">
      <c r="C886" s="191"/>
      <c r="D886" s="1011" t="s">
        <v>1871</v>
      </c>
      <c r="E886" s="1012"/>
      <c r="F886" s="1012"/>
      <c r="G886" s="188"/>
      <c r="H886" s="267"/>
      <c r="I886" s="267"/>
    </row>
    <row r="887" spans="1:9" ht="13.2">
      <c r="C887" s="191"/>
      <c r="D887" s="640"/>
      <c r="E887" s="640"/>
      <c r="F887" s="640"/>
      <c r="G887" s="188"/>
      <c r="H887" s="267"/>
      <c r="I887" s="267"/>
    </row>
    <row r="888" spans="1:9" ht="14.4">
      <c r="A888" s="271"/>
      <c r="B888" s="609" t="s">
        <v>1367</v>
      </c>
      <c r="D888" s="997" t="s">
        <v>1467</v>
      </c>
      <c r="E888" s="997"/>
      <c r="F888" s="997"/>
      <c r="G888" s="188"/>
      <c r="H888" s="267"/>
      <c r="I888" s="267"/>
    </row>
    <row r="889" spans="1:9" ht="13.2">
      <c r="D889" s="3" t="s">
        <v>1421</v>
      </c>
      <c r="E889" s="1010" t="s">
        <v>2064</v>
      </c>
      <c r="F889" s="1010"/>
      <c r="G889" s="188"/>
    </row>
    <row r="890" spans="1:9" ht="13.2">
      <c r="D890" s="44"/>
      <c r="E890" s="188"/>
      <c r="F890" s="188"/>
      <c r="G890" s="188"/>
      <c r="H890" s="267"/>
      <c r="I890" s="267"/>
    </row>
    <row r="891" spans="1:9" ht="14.4">
      <c r="A891" s="271"/>
      <c r="B891" s="609" t="s">
        <v>1367</v>
      </c>
      <c r="D891" s="970" t="s">
        <v>1874</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123</v>
      </c>
      <c r="D894" s="1006" t="s">
        <v>1671</v>
      </c>
      <c r="E894" s="1006"/>
      <c r="F894" s="1006"/>
      <c r="G894" s="188"/>
      <c r="H894" s="267"/>
      <c r="I894" s="267"/>
    </row>
    <row r="895" spans="1:9" ht="29.4" customHeight="1">
      <c r="B895" s="565"/>
      <c r="D895" s="1006"/>
      <c r="E895" s="1006"/>
      <c r="F895" s="1006"/>
      <c r="G895" s="188"/>
      <c r="H895" s="267"/>
      <c r="I895" s="267"/>
    </row>
    <row r="896" spans="1:9" ht="14.4">
      <c r="A896" s="271"/>
      <c r="B896"/>
      <c r="D896" s="977" t="s">
        <v>2140</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123</v>
      </c>
      <c r="D903" s="1007" t="s">
        <v>1166</v>
      </c>
      <c r="E903" s="1007"/>
      <c r="F903" s="1007"/>
      <c r="G903" s="188"/>
      <c r="H903" s="267"/>
      <c r="I903" s="267"/>
    </row>
    <row r="904" spans="1:9" ht="14.4">
      <c r="A904" s="271"/>
      <c r="B904" s="271"/>
      <c r="D904" s="1007" t="s">
        <v>1167</v>
      </c>
      <c r="E904" s="1007"/>
      <c r="F904" s="1007"/>
      <c r="G904" s="188"/>
      <c r="H904" s="267"/>
      <c r="I904" s="267"/>
    </row>
    <row r="905" spans="1:9" ht="14.4">
      <c r="A905" s="271"/>
      <c r="B905" s="271"/>
      <c r="D905" s="3" t="s">
        <v>1468</v>
      </c>
      <c r="E905" s="1008" t="s">
        <v>2064</v>
      </c>
      <c r="F905" s="1008"/>
      <c r="G905" s="188"/>
      <c r="H905" s="267"/>
      <c r="I905" s="267"/>
    </row>
    <row r="906" spans="1:9" ht="14.4">
      <c r="A906" s="271"/>
      <c r="B906" s="271"/>
      <c r="D906" s="44"/>
      <c r="E906" s="188"/>
      <c r="F906" s="188"/>
      <c r="G906" s="188"/>
      <c r="H906" s="267"/>
      <c r="I906" s="267"/>
    </row>
    <row r="907" spans="1:9" ht="14.4">
      <c r="A907" s="271"/>
      <c r="B907" s="609" t="s">
        <v>123</v>
      </c>
      <c r="D907" s="977" t="s">
        <v>1448</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1394</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1625</v>
      </c>
      <c r="E914" s="1001"/>
      <c r="F914" s="1001"/>
      <c r="G914" s="188"/>
      <c r="H914" s="267"/>
      <c r="I914" s="267"/>
    </row>
    <row r="915" spans="1:9" ht="13.2">
      <c r="A915" s="190"/>
      <c r="B915" s="190"/>
      <c r="C915" s="190"/>
      <c r="D915" s="997" t="s">
        <v>1466</v>
      </c>
      <c r="E915" s="997"/>
      <c r="F915" s="997"/>
      <c r="G915" s="188"/>
      <c r="H915" s="267"/>
      <c r="I915" s="267"/>
    </row>
    <row r="916" spans="1:9" ht="13.2">
      <c r="A916" s="190"/>
      <c r="B916" s="190"/>
      <c r="C916" s="190"/>
      <c r="F916" s="188"/>
      <c r="G916" s="188"/>
      <c r="H916" s="267"/>
      <c r="I916" s="267"/>
    </row>
    <row r="917" spans="1:9" ht="13.65" customHeight="1">
      <c r="A917" s="190"/>
      <c r="B917" s="609" t="s">
        <v>123</v>
      </c>
      <c r="C917" s="190"/>
      <c r="D917" s="1004" t="s">
        <v>1635</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1367</v>
      </c>
      <c r="C923" s="191"/>
      <c r="D923" s="978" t="s">
        <v>1719</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8" t="s">
        <v>1720</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1367</v>
      </c>
      <c r="C941" s="191"/>
      <c r="D941" s="1005" t="s">
        <v>1636</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8" t="s">
        <v>1637</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1638</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1367</v>
      </c>
      <c r="D957" s="977" t="s">
        <v>1639</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1628</v>
      </c>
      <c r="E960" s="1001"/>
      <c r="F960" s="1001"/>
      <c r="G960" s="188"/>
      <c r="H960" s="267"/>
      <c r="I960" s="267"/>
    </row>
    <row r="961" spans="1:9" ht="14.25" customHeight="1">
      <c r="A961" s="191"/>
      <c r="B961" s="191"/>
      <c r="C961" s="191"/>
      <c r="D961" s="192"/>
      <c r="F961" s="188"/>
      <c r="G961" s="188"/>
      <c r="H961" s="267"/>
      <c r="I961" s="267"/>
    </row>
    <row r="962" spans="1:9" ht="14.4" customHeight="1">
      <c r="A962" s="271"/>
      <c r="B962" s="609" t="s">
        <v>1367</v>
      </c>
      <c r="C962" s="207"/>
      <c r="D962" s="1000" t="s">
        <v>1627</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0" t="s">
        <v>1626</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123</v>
      </c>
      <c r="C975" s="207"/>
      <c r="D975" s="1000" t="s">
        <v>1629</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0" t="s">
        <v>1630</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123</v>
      </c>
      <c r="C985" s="207"/>
      <c r="D985" s="1000" t="s">
        <v>1631</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123</v>
      </c>
      <c r="C988" s="207"/>
      <c r="D988" s="977" t="s">
        <v>1632</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123</v>
      </c>
      <c r="C991" s="207"/>
      <c r="D991" s="1002" t="s">
        <v>1761</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123</v>
      </c>
      <c r="C996" s="207"/>
      <c r="D996" s="997" t="s">
        <v>2141</v>
      </c>
      <c r="E996" s="997"/>
      <c r="F996" s="997"/>
      <c r="G996" s="188"/>
      <c r="H996" s="267"/>
      <c r="I996" s="267"/>
    </row>
    <row r="997" spans="1:9" ht="13.2">
      <c r="A997" s="207"/>
      <c r="B997" s="207"/>
      <c r="C997" s="207"/>
      <c r="D997" s="44"/>
      <c r="E997" s="188"/>
      <c r="F997" s="188"/>
      <c r="G997" s="188"/>
      <c r="H997" s="267"/>
      <c r="I997" s="267"/>
    </row>
    <row r="998" spans="1:9" ht="13.2">
      <c r="A998" s="207"/>
      <c r="B998" s="609" t="s">
        <v>123</v>
      </c>
      <c r="C998" s="207"/>
      <c r="D998" s="997" t="s">
        <v>2142</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1469</v>
      </c>
      <c r="E1000" s="998"/>
      <c r="F1000" s="998"/>
      <c r="G1000" s="188"/>
      <c r="H1000" s="267"/>
      <c r="I1000" s="267"/>
    </row>
    <row r="1001" spans="1:9" ht="13.2">
      <c r="A1001" s="207"/>
      <c r="C1001" s="207"/>
      <c r="D1001" s="192"/>
      <c r="E1001" s="188"/>
      <c r="F1001" s="188"/>
      <c r="G1001" s="188"/>
      <c r="H1001" s="267"/>
      <c r="I1001" s="267"/>
    </row>
    <row r="1002" spans="1:9" ht="14.4">
      <c r="A1002" s="271"/>
      <c r="B1002" s="609" t="s">
        <v>1367</v>
      </c>
      <c r="C1002" s="207"/>
      <c r="D1002" s="977" t="s">
        <v>1633</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123</v>
      </c>
      <c r="C1008" s="207"/>
      <c r="D1008" s="977" t="s">
        <v>1634</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1470</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7" t="s">
        <v>1640</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123</v>
      </c>
      <c r="C1020" s="207"/>
      <c r="D1020" s="977" t="s">
        <v>1641</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1471</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1367</v>
      </c>
      <c r="C1026" s="207"/>
      <c r="D1026" s="977" t="s">
        <v>1643</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7" t="s">
        <v>1642</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5" t="s">
        <v>1644</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7" t="s">
        <v>1645</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7" t="s">
        <v>1646</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7" t="s">
        <v>1472</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7" t="s">
        <v>1473</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123</v>
      </c>
      <c r="C1054" s="207"/>
      <c r="D1054" s="1039" t="s">
        <v>1116</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1474</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0" t="s">
        <v>2192</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0" t="s">
        <v>2193</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123</v>
      </c>
      <c r="C1078" s="207"/>
      <c r="D1078" s="1003" t="s">
        <v>1647</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123</v>
      </c>
      <c r="C1082" s="429"/>
      <c r="D1082" s="1033" t="s">
        <v>2143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1475</v>
      </c>
      <c r="E1086" s="998"/>
      <c r="F1086" s="998"/>
      <c r="G1086" s="188"/>
    </row>
    <row r="1087" spans="1:9" ht="13.2">
      <c r="C1087" s="207"/>
      <c r="D1087" s="192"/>
      <c r="E1087" s="188"/>
      <c r="F1087" s="188"/>
      <c r="G1087" s="188"/>
    </row>
    <row r="1088" spans="1:9" ht="13.2">
      <c r="A1088" s="207"/>
      <c r="B1088" s="609" t="s">
        <v>123</v>
      </c>
      <c r="C1088" s="207"/>
      <c r="D1088" s="977" t="s">
        <v>1648</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123</v>
      </c>
      <c r="C1092" s="207"/>
      <c r="D1092" s="977" t="s">
        <v>1649</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1108</v>
      </c>
      <c r="E1096" s="998"/>
      <c r="F1096" s="998"/>
      <c r="G1096" s="188"/>
    </row>
    <row r="1097" spans="1:7" ht="13.2">
      <c r="A1097" s="207"/>
      <c r="B1097" s="207"/>
      <c r="C1097" s="207"/>
      <c r="D1097" s="997" t="s">
        <v>1476</v>
      </c>
      <c r="E1097" s="997"/>
      <c r="F1097" s="997"/>
      <c r="G1097" s="188"/>
    </row>
    <row r="1098" spans="1:7" ht="13.2">
      <c r="A1098" s="207"/>
      <c r="B1098" s="207"/>
      <c r="C1098" s="207"/>
      <c r="D1098" s="419"/>
      <c r="E1098" s="188"/>
      <c r="F1098" s="188"/>
      <c r="G1098" s="188"/>
    </row>
    <row r="1099" spans="1:7" ht="14.4">
      <c r="A1099" s="271"/>
      <c r="B1099" s="609" t="s">
        <v>123</v>
      </c>
      <c r="C1099" s="207"/>
      <c r="D1099" s="977" t="s">
        <v>1650</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123</v>
      </c>
      <c r="C1102" s="207"/>
      <c r="D1102" s="977" t="s">
        <v>1651</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1477</v>
      </c>
      <c r="E1105" s="998"/>
      <c r="F1105" s="998"/>
      <c r="G1105" s="188"/>
    </row>
    <row r="1106" spans="1:7" ht="13.2">
      <c r="A1106" s="207"/>
      <c r="B1106" s="207"/>
      <c r="C1106" s="207"/>
      <c r="D1106" s="192"/>
      <c r="E1106" s="188"/>
      <c r="F1106" s="188"/>
      <c r="G1106" s="188"/>
    </row>
    <row r="1107" spans="1:7" ht="14.4">
      <c r="A1107" s="271"/>
      <c r="B1107" s="609" t="s">
        <v>123</v>
      </c>
      <c r="C1107" s="207"/>
      <c r="D1107" s="977" t="s">
        <v>1652</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123</v>
      </c>
      <c r="C1115" s="207"/>
      <c r="D1115" s="977" t="s">
        <v>1653</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6" customHeight="1">
      <c r="A1123" s="207"/>
      <c r="B1123" s="609" t="s">
        <v>123</v>
      </c>
      <c r="C1123" s="207"/>
      <c r="D1123" s="1002" t="s">
        <v>1762</v>
      </c>
      <c r="E1123" s="1003"/>
      <c r="F1123" s="1003"/>
      <c r="G1123" s="188"/>
    </row>
    <row r="1124" spans="1:7" ht="12.6"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1478</v>
      </c>
      <c r="E1127" s="998"/>
      <c r="F1127" s="998"/>
    </row>
    <row r="1128" spans="1:7" ht="13.2">
      <c r="D1128" s="192"/>
    </row>
    <row r="1129" spans="1:7" ht="14.4">
      <c r="A1129" s="271"/>
      <c r="B1129" s="609" t="s">
        <v>1367</v>
      </c>
      <c r="D1129" s="977" t="s">
        <v>1654</v>
      </c>
      <c r="E1129" s="977"/>
      <c r="F1129" s="977"/>
    </row>
    <row r="1130" spans="1:7" ht="13.2">
      <c r="D1130" s="977"/>
      <c r="E1130" s="977"/>
      <c r="F1130" s="977"/>
    </row>
    <row r="1131" spans="1:7" ht="13.2"/>
    <row r="1132" spans="1:7" ht="14.4">
      <c r="A1132" s="271"/>
      <c r="B1132" s="609" t="s">
        <v>123</v>
      </c>
      <c r="D1132" s="977" t="s">
        <v>1655</v>
      </c>
      <c r="E1132" s="977"/>
      <c r="F1132" s="977"/>
    </row>
    <row r="1133" spans="1:7" ht="13.2">
      <c r="D1133" s="977"/>
      <c r="E1133" s="977"/>
      <c r="F1133" s="977"/>
    </row>
    <row r="1134" spans="1:7" ht="13.2"/>
    <row r="1135" spans="1:7" ht="13.2">
      <c r="D1135" s="998" t="s">
        <v>1479</v>
      </c>
      <c r="E1135" s="998"/>
      <c r="F1135" s="998"/>
    </row>
    <row r="1136" spans="1:7" ht="13.2">
      <c r="D1136" s="192"/>
    </row>
    <row r="1137" spans="1:7" ht="14.4">
      <c r="A1137" s="271"/>
      <c r="B1137" s="609" t="s">
        <v>123</v>
      </c>
      <c r="D1137" s="997" t="s">
        <v>1656</v>
      </c>
      <c r="E1137" s="997"/>
      <c r="F1137" s="997"/>
    </row>
    <row r="1138" spans="1:7" ht="13.2"/>
    <row r="1139" spans="1:7" ht="14.4">
      <c r="A1139" s="271"/>
      <c r="B1139" s="609" t="s">
        <v>123</v>
      </c>
      <c r="D1139" s="977" t="s">
        <v>1657</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1667</v>
      </c>
      <c r="E1142" s="998"/>
      <c r="F1142" s="998"/>
      <c r="G1142"/>
    </row>
    <row r="1143" spans="1:7" ht="13.2">
      <c r="D1143" s="192"/>
      <c r="G1143"/>
    </row>
    <row r="1144" spans="1:7" ht="14.4" customHeight="1">
      <c r="A1144" s="271"/>
      <c r="B1144" s="609" t="s">
        <v>1367</v>
      </c>
      <c r="D1144" s="970" t="s">
        <v>2194</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1395</v>
      </c>
      <c r="B1159" s="1031"/>
      <c r="C1159" s="1031"/>
      <c r="D1159" s="1031"/>
      <c r="E1159" s="1031"/>
      <c r="F1159" s="1031"/>
      <c r="G1159" s="1031"/>
    </row>
    <row r="1160" spans="1:7" ht="13.2">
      <c r="A1160" s="44"/>
      <c r="B1160" s="44"/>
    </row>
    <row r="1161" spans="1:7" ht="13.2">
      <c r="C1161" s="207"/>
      <c r="D1161" s="998" t="s">
        <v>1658</v>
      </c>
      <c r="E1161" s="998"/>
      <c r="F1161" s="998"/>
    </row>
    <row r="1162" spans="1:7" ht="13.2">
      <c r="A1162" s="190"/>
      <c r="B1162" s="190"/>
      <c r="C1162" s="190"/>
      <c r="D1162" s="999" t="s">
        <v>1483</v>
      </c>
      <c r="E1162" s="997"/>
      <c r="F1162" s="997"/>
    </row>
    <row r="1163" spans="1:7" ht="13.2">
      <c r="A1163" s="190"/>
      <c r="B1163" s="190"/>
      <c r="C1163" s="190"/>
      <c r="F1163" s="188"/>
      <c r="G1163"/>
    </row>
    <row r="1164" spans="1:7" ht="13.65" customHeight="1">
      <c r="B1164" s="609" t="s">
        <v>1367</v>
      </c>
      <c r="D1164" s="1052" t="s">
        <v>2081</v>
      </c>
      <c r="E1164" s="1052"/>
      <c r="F1164" s="1052"/>
      <c r="G1164"/>
    </row>
    <row r="1165" spans="1:7" ht="13.2">
      <c r="D1165" s="1052"/>
      <c r="E1165" s="1052"/>
      <c r="F1165" s="1052"/>
      <c r="G1165"/>
    </row>
    <row r="1166" spans="1:7" ht="13.2">
      <c r="D1166" s="15"/>
      <c r="E1166" s="926" t="s">
        <v>2082</v>
      </c>
      <c r="F1166" s="15"/>
      <c r="G1166"/>
    </row>
    <row r="1167" spans="1:7" ht="13.2">
      <c r="D1167" s="15"/>
      <c r="E1167" s="15"/>
      <c r="F1167" s="15"/>
      <c r="G1167"/>
    </row>
    <row r="1168" spans="1:7" ht="13.2">
      <c r="D1168" s="994" t="s">
        <v>2080</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123</v>
      </c>
      <c r="C1172" s="191"/>
      <c r="D1172" s="977" t="s">
        <v>1668</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123</v>
      </c>
      <c r="C1177" s="191"/>
      <c r="D1177" s="970" t="s">
        <v>1747</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1367</v>
      </c>
      <c r="D1180" s="997" t="s">
        <v>1659</v>
      </c>
      <c r="E1180" s="997"/>
      <c r="F1180" s="997"/>
      <c r="G1180"/>
    </row>
    <row r="1181" spans="1:7" ht="13.2">
      <c r="G1181"/>
    </row>
    <row r="1182" spans="1:7" ht="14.4">
      <c r="A1182" s="271"/>
      <c r="B1182" s="609" t="s">
        <v>123</v>
      </c>
      <c r="D1182" s="997" t="s">
        <v>1660</v>
      </c>
      <c r="E1182" s="997"/>
      <c r="F1182" s="997"/>
      <c r="G1182"/>
    </row>
    <row r="1183" spans="1:7" ht="13.2">
      <c r="D1183" s="44"/>
      <c r="G1183"/>
    </row>
    <row r="1184" spans="1:7" ht="14.4">
      <c r="A1184" s="271"/>
      <c r="B1184" s="609" t="s">
        <v>123</v>
      </c>
      <c r="D1184" s="997" t="s">
        <v>1661</v>
      </c>
      <c r="E1184" s="997"/>
      <c r="F1184" s="997"/>
      <c r="G1184"/>
    </row>
    <row r="1185" spans="1:7" ht="13.2">
      <c r="D1185" s="44"/>
      <c r="G1185"/>
    </row>
    <row r="1186" spans="1:7" ht="14.4">
      <c r="A1186" s="271"/>
      <c r="B1186" s="609" t="s">
        <v>123</v>
      </c>
      <c r="D1186" s="977" t="s">
        <v>1662</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123</v>
      </c>
      <c r="C1189" s="290"/>
      <c r="D1189" s="995" t="s">
        <v>1663</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123</v>
      </c>
      <c r="C1192" s="290"/>
      <c r="D1192" s="996" t="s">
        <v>1664</v>
      </c>
      <c r="E1192" s="996"/>
      <c r="F1192" s="996"/>
      <c r="G1192" s="292"/>
    </row>
    <row r="1193" spans="1:7" s="448" customFormat="1" ht="13.2">
      <c r="A1193" s="290"/>
      <c r="B1193" s="290"/>
      <c r="C1193" s="290"/>
      <c r="D1193" s="291"/>
      <c r="E1193" s="292"/>
      <c r="F1193" s="292"/>
      <c r="G1193" s="292"/>
    </row>
    <row r="1194" spans="1:7" ht="14.4">
      <c r="A1194" s="271"/>
      <c r="B1194" s="609" t="s">
        <v>123</v>
      </c>
      <c r="D1194" s="997" t="s">
        <v>1665</v>
      </c>
      <c r="E1194" s="997"/>
      <c r="F1194" s="997"/>
    </row>
    <row r="1195" spans="1:7" ht="14.4">
      <c r="A1195" s="271"/>
      <c r="B1195" s="271"/>
      <c r="D1195" s="44"/>
    </row>
    <row r="1196" spans="1:7" ht="14.4">
      <c r="A1196" s="271"/>
      <c r="B1196" s="609" t="s">
        <v>123</v>
      </c>
      <c r="D1196" s="977" t="s">
        <v>1666</v>
      </c>
      <c r="E1196" s="977"/>
      <c r="F1196" s="977"/>
    </row>
    <row r="1197" spans="1:7" ht="14.4">
      <c r="A1197" s="271"/>
      <c r="B1197" s="271"/>
      <c r="D1197" s="977"/>
      <c r="E1197" s="977"/>
      <c r="F1197" s="977"/>
    </row>
    <row r="1198" spans="1:7" ht="13.2"/>
    <row r="1199" spans="1:7" ht="13.2">
      <c r="A1199" s="1031" t="s">
        <v>2000</v>
      </c>
      <c r="B1199" s="1031"/>
      <c r="C1199" s="1031"/>
      <c r="D1199" s="1031"/>
      <c r="E1199" s="1031"/>
      <c r="F1199" s="1031"/>
      <c r="G1199" s="1031"/>
    </row>
    <row r="1200" spans="1:7" ht="13.2"/>
    <row r="1201" spans="1:7" ht="13.2">
      <c r="A1201" s="1031" t="s">
        <v>1396</v>
      </c>
      <c r="B1201" s="1031"/>
      <c r="C1201" s="1031"/>
      <c r="D1201" s="1031"/>
      <c r="E1201" s="1031"/>
      <c r="F1201" s="1031"/>
      <c r="G1201" s="1031"/>
    </row>
    <row r="1202" spans="1:7" ht="13.2"/>
    <row r="1203" spans="1:7" ht="13.2">
      <c r="D1203" s="1001" t="s">
        <v>1502</v>
      </c>
      <c r="E1203" s="1001"/>
      <c r="F1203" s="1001"/>
    </row>
    <row r="1204" spans="1:7" ht="13.2">
      <c r="D1204" s="1036" t="s">
        <v>1907</v>
      </c>
      <c r="E1204" s="1036"/>
      <c r="F1204" s="1036"/>
    </row>
    <row r="1205" spans="1:7" ht="13.2">
      <c r="A1205" s="190"/>
      <c r="B1205" s="190"/>
      <c r="C1205" s="190"/>
    </row>
    <row r="1206" spans="1:7" ht="14.4">
      <c r="A1206" s="271"/>
      <c r="B1206" s="271"/>
      <c r="C1206" s="191"/>
      <c r="D1206" s="1001" t="s">
        <v>1503</v>
      </c>
      <c r="E1206" s="1001"/>
      <c r="F1206" s="1001"/>
    </row>
    <row r="1207" spans="1:7" ht="13.2">
      <c r="B1207" s="609" t="s">
        <v>1367</v>
      </c>
      <c r="D1207" s="996" t="s">
        <v>1504</v>
      </c>
      <c r="E1207" s="996"/>
      <c r="F1207" s="996"/>
    </row>
    <row r="1208" spans="1:7" ht="13.2">
      <c r="D1208" s="1036" t="s">
        <v>1908</v>
      </c>
      <c r="E1208" s="1036"/>
      <c r="F1208" s="1036"/>
    </row>
    <row r="1209" spans="1:7" ht="13.2">
      <c r="G1209"/>
    </row>
    <row r="1210" spans="1:7" ht="12.75" customHeight="1">
      <c r="B1210" s="609" t="s">
        <v>1367</v>
      </c>
      <c r="D1210" s="1020" t="s">
        <v>1825</v>
      </c>
      <c r="E1210" s="1020"/>
      <c r="F1210" s="1020"/>
      <c r="G1210"/>
    </row>
    <row r="1211" spans="1:7" ht="13.2">
      <c r="D1211" s="1020"/>
      <c r="E1211" s="1020"/>
      <c r="F1211" s="1020"/>
      <c r="G1211"/>
    </row>
    <row r="1212" spans="1:7" ht="13.2">
      <c r="G1212"/>
    </row>
    <row r="1213" spans="1:7" ht="12.75" customHeight="1"/>
    <row r="1214" spans="1:7" ht="13.2">
      <c r="A1214" s="1031" t="s">
        <v>1398</v>
      </c>
      <c r="B1214" s="1031"/>
      <c r="C1214" s="1031"/>
      <c r="D1214" s="1031"/>
      <c r="E1214" s="1031"/>
      <c r="F1214" s="1031"/>
      <c r="G1214" s="1031"/>
    </row>
    <row r="1215" spans="1:7" ht="13.2">
      <c r="A1215" s="44"/>
      <c r="B1215" s="44"/>
    </row>
    <row r="1216" spans="1:7" ht="12.75" customHeight="1">
      <c r="A1216" s="44"/>
      <c r="B1216" s="44"/>
      <c r="D1216" s="998" t="s">
        <v>1397</v>
      </c>
      <c r="E1216" s="998"/>
      <c r="F1216" s="998"/>
    </row>
    <row r="1217" spans="1:7" ht="12.75" customHeight="1">
      <c r="A1217" s="44"/>
      <c r="B1217" s="44"/>
      <c r="D1217" s="997" t="s">
        <v>1404</v>
      </c>
      <c r="E1217" s="997"/>
      <c r="F1217" s="997"/>
    </row>
    <row r="1218" spans="1:7" ht="12.75" customHeight="1">
      <c r="A1218" s="44"/>
      <c r="B1218" s="44"/>
    </row>
    <row r="1219" spans="1:7" ht="14.4">
      <c r="A1219" s="271"/>
      <c r="B1219" s="609" t="s">
        <v>123</v>
      </c>
      <c r="D1219" s="1007" t="s">
        <v>1012</v>
      </c>
      <c r="E1219" s="1007"/>
      <c r="F1219" s="1007"/>
    </row>
    <row r="1220" spans="1:7" ht="13.2">
      <c r="D1220" s="997" t="s">
        <v>1124</v>
      </c>
      <c r="E1220" s="997"/>
      <c r="F1220" s="997"/>
    </row>
    <row r="1221" spans="1:7" ht="13.2">
      <c r="E1221" s="1022" t="s">
        <v>2083</v>
      </c>
      <c r="F1221" s="1022"/>
    </row>
    <row r="1222" spans="1:7" ht="13.2">
      <c r="D1222" s="3"/>
    </row>
    <row r="1223" spans="1:7" ht="13.2">
      <c r="D1223" s="1035" t="s">
        <v>1264</v>
      </c>
      <c r="E1223" s="1035"/>
      <c r="F1223" s="1035"/>
    </row>
    <row r="1224" spans="1:7" ht="13.2">
      <c r="B1224" s="609" t="s">
        <v>123</v>
      </c>
      <c r="D1224" s="970" t="s">
        <v>2084</v>
      </c>
      <c r="E1224" s="977"/>
      <c r="F1224" s="977"/>
      <c r="G1224"/>
    </row>
    <row r="1225" spans="1:7" ht="13.2">
      <c r="D1225" s="977"/>
      <c r="E1225" s="977"/>
      <c r="F1225" s="977"/>
      <c r="G1225"/>
    </row>
    <row r="1226" spans="1:7" ht="13.2">
      <c r="D1226" s="501" t="s">
        <v>1267</v>
      </c>
      <c r="E1226"/>
      <c r="F1226"/>
      <c r="G1226"/>
    </row>
    <row r="1227" spans="1:7" ht="13.65" customHeight="1">
      <c r="D1227" s="970" t="s">
        <v>2085</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1015</v>
      </c>
      <c r="E1231" s="1022"/>
      <c r="F1231" s="1022"/>
      <c r="G1231"/>
    </row>
    <row r="1232" spans="1:7" ht="13.2">
      <c r="B1232" s="609" t="s">
        <v>123</v>
      </c>
      <c r="D1232" s="1007" t="s">
        <v>1265</v>
      </c>
      <c r="E1232" s="1007"/>
      <c r="F1232" s="1007"/>
      <c r="G1232"/>
    </row>
    <row r="1233" spans="1:7" ht="13.2">
      <c r="E1233"/>
      <c r="F1233"/>
      <c r="G1233"/>
    </row>
    <row r="1234" spans="1:7" ht="13.2">
      <c r="D1234" s="1037" t="s">
        <v>1266</v>
      </c>
      <c r="E1234" s="1037"/>
      <c r="F1234" s="1037"/>
      <c r="G1234"/>
    </row>
    <row r="1235" spans="1:7" ht="13.2">
      <c r="D1235" s="3" t="s">
        <v>1013</v>
      </c>
      <c r="E1235"/>
      <c r="F1235"/>
      <c r="G1235"/>
    </row>
    <row r="1236" spans="1:7" ht="14.4" customHeight="1">
      <c r="A1236" s="271"/>
      <c r="B1236" s="609" t="s">
        <v>123</v>
      </c>
      <c r="D1236" s="977" t="s">
        <v>1505</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1123</v>
      </c>
      <c r="E1240" s="419"/>
      <c r="F1240" s="419"/>
    </row>
    <row r="1241" spans="1:7" ht="14.4">
      <c r="A1241" s="271"/>
      <c r="B1241" s="609" t="s">
        <v>123</v>
      </c>
      <c r="D1241" s="977" t="s">
        <v>1506</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1429</v>
      </c>
      <c r="B1247" s="1031"/>
      <c r="C1247" s="1031"/>
      <c r="D1247" s="1031"/>
      <c r="E1247" s="1031"/>
      <c r="F1247" s="1031"/>
      <c r="G1247" s="1031"/>
    </row>
    <row r="1248" spans="1:7" ht="13.2">
      <c r="A1248" s="44"/>
      <c r="B1248" s="44"/>
    </row>
    <row r="1249" spans="1:7" ht="13.2">
      <c r="A1249" s="44"/>
      <c r="B1249" s="44"/>
      <c r="D1249" s="1027" t="s">
        <v>1430</v>
      </c>
      <c r="E1249" s="1027"/>
      <c r="F1249" s="1027"/>
    </row>
    <row r="1250" spans="1:7" ht="13.2">
      <c r="A1250" s="268"/>
      <c r="B1250" s="268"/>
      <c r="C1250" s="268"/>
      <c r="D1250" s="1007" t="s">
        <v>1443</v>
      </c>
      <c r="E1250" s="1007"/>
      <c r="F1250" s="1007"/>
      <c r="G1250" s="269"/>
    </row>
    <row r="1251" spans="1:7" ht="10.5" customHeight="1"/>
    <row r="1252" spans="1:7" ht="14.4">
      <c r="A1252" s="271"/>
      <c r="B1252" s="609" t="s">
        <v>123</v>
      </c>
      <c r="D1252" s="1007" t="s">
        <v>1125</v>
      </c>
      <c r="E1252" s="1007"/>
      <c r="F1252" s="1007"/>
    </row>
    <row r="1253" spans="1:7" ht="13.2">
      <c r="E1253" s="1022" t="s">
        <v>2086</v>
      </c>
      <c r="F1253" s="1022"/>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opLeftCell="A42" zoomScaleNormal="100" workbookViewId="0">
      <selection activeCell="AM559" sqref="AM559:AS559"/>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578" t="s">
        <v>791</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 customHeight="1">
      <c r="A10" s="1579" t="s">
        <v>2290</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 customHeight="1">
      <c r="A11" s="1580" t="s">
        <v>2310</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 customHeight="1">
      <c r="A12" s="980" t="s">
        <v>1864</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2" t="s">
        <v>2314</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 customHeight="1"/>
    <row r="17" spans="1:46" ht="12.9" customHeight="1">
      <c r="A17" s="63" t="s">
        <v>792</v>
      </c>
      <c r="C17" s="5"/>
      <c r="D17" s="5"/>
      <c r="E17" s="5"/>
      <c r="F17" s="5"/>
      <c r="G17" s="5"/>
      <c r="H17" s="1105" t="s">
        <v>2315</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6" ht="12.9" customHeight="1"/>
    <row r="19" spans="1:46" ht="12.9" customHeight="1">
      <c r="A19" s="989" t="s">
        <v>1092</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6" t="s">
        <v>1343</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0">
        <f>ROUND('Basis &amp; Credits'!AB55,0)</f>
        <v>2014263</v>
      </c>
      <c r="N25" s="1410"/>
      <c r="O25" s="1410"/>
      <c r="P25" s="1410"/>
      <c r="Q25" s="1410"/>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0">
        <f>'Basis &amp; Credits'!AB76</f>
        <v>0</v>
      </c>
      <c r="N27" s="1410"/>
      <c r="O27" s="1410"/>
      <c r="P27" s="1410"/>
      <c r="Q27" s="1410"/>
      <c r="R27" s="5" t="s">
        <v>1342</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2239</v>
      </c>
      <c r="B33"/>
      <c r="C33" s="102"/>
      <c r="D33" s="102"/>
      <c r="E33" s="102"/>
      <c r="F33" s="102"/>
      <c r="G33" s="102"/>
      <c r="H33" s="102"/>
      <c r="I33" s="102"/>
      <c r="J33" s="102"/>
      <c r="K33" s="102"/>
      <c r="L33" s="102"/>
      <c r="M33" s="102"/>
      <c r="N33" s="102"/>
      <c r="O33" s="1100" t="s">
        <v>107</v>
      </c>
      <c r="P33" s="1100"/>
      <c r="Q33" s="1581" t="s">
        <v>2242</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 customHeight="1">
      <c r="A34" s="990" t="s">
        <v>2243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2244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2245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2246</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2247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2248</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2249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2251</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2254</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2255</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2256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2257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2258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2259</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2" t="s">
        <v>2260</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2261</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3">
        <v>2</v>
      </c>
      <c r="H115" s="1103"/>
      <c r="I115" s="41" t="s">
        <v>411</v>
      </c>
      <c r="J115" s="41"/>
      <c r="L115" s="1404" t="s">
        <v>2316</v>
      </c>
      <c r="M115" s="1405"/>
      <c r="N115" s="1405"/>
      <c r="O115" s="41" t="s">
        <v>2250</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4" t="s">
        <v>2312</v>
      </c>
      <c r="D117" s="1405"/>
      <c r="E117" s="1405"/>
      <c r="F117" s="1405"/>
      <c r="G117" s="1405"/>
      <c r="H117" s="1405"/>
      <c r="I117" s="1405"/>
      <c r="J117" s="1405"/>
      <c r="K117" s="1405"/>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2317</v>
      </c>
      <c r="Z118" s="1396"/>
      <c r="AA118" s="1396"/>
      <c r="AB118" s="1396"/>
      <c r="AC118" s="1396"/>
      <c r="AD118" s="1396"/>
      <c r="AE118" s="1396"/>
      <c r="AF118" s="1396"/>
      <c r="AG118" s="1396"/>
      <c r="AH118" s="1396"/>
      <c r="AI118" s="1396"/>
      <c r="AJ118" s="1396"/>
      <c r="AK118" s="1396"/>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2318</v>
      </c>
      <c r="Z121" s="1396"/>
      <c r="AA121" s="1396"/>
      <c r="AB121" s="1396"/>
      <c r="AC121" s="1396"/>
      <c r="AD121" s="1396"/>
      <c r="AE121" s="1396"/>
      <c r="AF121" s="1396"/>
      <c r="AG121" s="1396"/>
      <c r="AH121" s="1396"/>
      <c r="AI121" s="1396"/>
      <c r="AJ121" s="1396"/>
      <c r="AK121" s="1396"/>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96" t="s">
        <v>2319</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78</v>
      </c>
    </row>
    <row r="157" spans="1:72" ht="12.9" customHeight="1">
      <c r="D157" s="339" t="s">
        <v>542</v>
      </c>
      <c r="O157" s="1261" t="s">
        <v>2320</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708</v>
      </c>
      <c r="BN157" s="30" t="s">
        <v>421</v>
      </c>
      <c r="BT157" t="s">
        <v>28</v>
      </c>
    </row>
    <row r="158" spans="1:72" ht="12.9" customHeight="1">
      <c r="D158" s="12" t="s">
        <v>543</v>
      </c>
      <c r="F158" s="12"/>
      <c r="G158" s="12"/>
      <c r="H158" s="12"/>
      <c r="I158" s="12"/>
      <c r="J158" s="12"/>
      <c r="K158" s="12"/>
      <c r="L158" s="12"/>
      <c r="M158" s="12"/>
      <c r="N158" s="12"/>
      <c r="O158" s="1481" t="s">
        <v>544</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422</v>
      </c>
      <c r="BT158" t="s">
        <v>29</v>
      </c>
    </row>
    <row r="159" spans="1:72" ht="12.9" customHeight="1">
      <c r="D159" t="s">
        <v>646</v>
      </c>
      <c r="O159" s="1109" t="s">
        <v>2321</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72</v>
      </c>
      <c r="BT159" t="s">
        <v>383</v>
      </c>
    </row>
    <row r="160" spans="1:72" ht="12.9" customHeight="1">
      <c r="D160" t="s">
        <v>647</v>
      </c>
      <c r="O160" s="1396" t="s">
        <v>2322</v>
      </c>
      <c r="P160" s="1396"/>
      <c r="Q160" s="1396"/>
      <c r="R160" s="1396"/>
      <c r="S160" s="1396"/>
      <c r="T160" s="1396"/>
      <c r="U160" s="1396"/>
      <c r="V160" s="1396"/>
      <c r="W160" s="1396"/>
      <c r="X160" s="1396"/>
      <c r="Y160" s="12"/>
      <c r="Z160" s="12"/>
      <c r="AA160" s="12"/>
      <c r="AB160" s="12"/>
      <c r="AC160" s="12"/>
      <c r="AD160" s="12"/>
      <c r="AE160" s="12"/>
      <c r="AF160" s="12"/>
      <c r="BN160" s="30" t="s">
        <v>74</v>
      </c>
      <c r="BT160" t="s">
        <v>384</v>
      </c>
    </row>
    <row r="161" spans="1:72" ht="12.9" customHeight="1">
      <c r="D161" t="s">
        <v>648</v>
      </c>
      <c r="O161" s="1483">
        <v>94002</v>
      </c>
      <c r="P161" s="1483"/>
      <c r="Q161" s="1483"/>
      <c r="R161" s="1483"/>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85" t="s">
        <v>2323</v>
      </c>
      <c r="P162" s="1485"/>
      <c r="Q162" s="1485"/>
      <c r="R162" s="1485"/>
      <c r="S162" s="1485"/>
      <c r="T162" s="1485"/>
      <c r="V162" s="179" t="s">
        <v>12</v>
      </c>
      <c r="W162" s="1484"/>
      <c r="X162" s="1484"/>
      <c r="Y162" s="14"/>
      <c r="Z162" s="14"/>
      <c r="AA162" s="14"/>
      <c r="AB162" s="14"/>
      <c r="AC162" s="14"/>
      <c r="AD162" s="14"/>
      <c r="AE162" s="14"/>
      <c r="AF162" s="14"/>
      <c r="BJ162" t="s">
        <v>107</v>
      </c>
      <c r="BN162" s="30" t="s">
        <v>76</v>
      </c>
      <c r="BT162" t="s">
        <v>386</v>
      </c>
    </row>
    <row r="163" spans="1:72" ht="12.9" customHeight="1">
      <c r="D163" t="s">
        <v>650</v>
      </c>
      <c r="O163" s="1485" t="s">
        <v>2324</v>
      </c>
      <c r="P163" s="1485"/>
      <c r="Q163" s="1485"/>
      <c r="R163" s="1485"/>
      <c r="S163" s="1485"/>
      <c r="T163" s="1485"/>
      <c r="U163" s="14"/>
      <c r="V163" s="14"/>
      <c r="W163" s="14"/>
      <c r="X163" s="14"/>
      <c r="Y163" s="14"/>
      <c r="Z163" s="14"/>
      <c r="AA163" s="14"/>
      <c r="AB163" s="14"/>
      <c r="AC163" s="14"/>
      <c r="AD163" s="14"/>
      <c r="AE163" s="14"/>
      <c r="AF163" s="14"/>
      <c r="BN163" s="30" t="s">
        <v>475</v>
      </c>
      <c r="BT163" t="s">
        <v>387</v>
      </c>
    </row>
    <row r="164" spans="1:72" ht="12.9" customHeight="1">
      <c r="D164" t="s">
        <v>651</v>
      </c>
      <c r="O164" s="1479" t="s">
        <v>2325</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2088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4" t="s">
        <v>2295</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59" customFormat="1" ht="12.9" customHeight="1">
      <c r="A169" s="1085" t="s">
        <v>378</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485</v>
      </c>
      <c r="BT169" t="s">
        <v>393</v>
      </c>
    </row>
    <row r="170" spans="1:72" s="959"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7" t="s">
        <v>504</v>
      </c>
      <c r="K173" s="1397"/>
      <c r="L173" s="1397"/>
      <c r="M173" s="1397"/>
      <c r="N173" s="1397"/>
      <c r="O173" s="1397"/>
      <c r="P173" s="1397"/>
      <c r="Q173" s="1397"/>
      <c r="R173" s="1397"/>
      <c r="S173" s="1397"/>
      <c r="U173" s="32"/>
      <c r="X173" s="32"/>
      <c r="BN173" s="30" t="s">
        <v>490</v>
      </c>
      <c r="BT173" t="s">
        <v>397</v>
      </c>
    </row>
    <row r="174" spans="1:72" ht="12.9" customHeight="1">
      <c r="C174" s="31"/>
      <c r="D174" t="s">
        <v>437</v>
      </c>
      <c r="U174" s="1100" t="s">
        <v>107</v>
      </c>
      <c r="V174" s="1100"/>
      <c r="BN174" s="30" t="s">
        <v>593</v>
      </c>
      <c r="BT174" t="s">
        <v>398</v>
      </c>
    </row>
    <row r="175" spans="1:72" ht="12.9" customHeight="1">
      <c r="C175" s="12"/>
      <c r="D175" s="33"/>
      <c r="E175" t="s">
        <v>229</v>
      </c>
      <c r="O175" s="34"/>
      <c r="P175" t="s">
        <v>2094</v>
      </c>
      <c r="T175" s="34" t="s">
        <v>230</v>
      </c>
      <c r="U175" s="1283">
        <v>24</v>
      </c>
      <c r="V175" s="1283"/>
      <c r="W175" s="1" t="s">
        <v>231</v>
      </c>
      <c r="X175" s="1482">
        <v>16</v>
      </c>
      <c r="Y175" s="1482"/>
      <c r="BN175" s="30" t="s">
        <v>594</v>
      </c>
      <c r="BT175" t="s">
        <v>399</v>
      </c>
    </row>
    <row r="176" spans="1:72" ht="12.9" customHeight="1">
      <c r="C176" s="31"/>
      <c r="D176" t="s">
        <v>278</v>
      </c>
      <c r="U176" s="1100" t="s">
        <v>481</v>
      </c>
      <c r="V176" s="1100"/>
      <c r="BN176" s="30" t="s">
        <v>596</v>
      </c>
      <c r="BT176" t="s">
        <v>400</v>
      </c>
    </row>
    <row r="177" spans="1:72" ht="12.9" customHeight="1">
      <c r="C177" s="31"/>
      <c r="D177" s="361" t="s">
        <v>1223</v>
      </c>
      <c r="BN177" s="30" t="s">
        <v>597</v>
      </c>
      <c r="BT177" t="s">
        <v>401</v>
      </c>
    </row>
    <row r="178" spans="1:72" ht="12.9" customHeight="1">
      <c r="C178" s="31"/>
      <c r="E178" s="361" t="s">
        <v>2094</v>
      </c>
      <c r="F178" s="361"/>
      <c r="G178" s="361"/>
      <c r="I178" s="939" t="s">
        <v>230</v>
      </c>
      <c r="J178" s="1488"/>
      <c r="K178" s="1488"/>
      <c r="L178" s="370" t="s">
        <v>231</v>
      </c>
      <c r="M178" s="1333"/>
      <c r="N178" s="1333"/>
      <c r="O178" s="361"/>
      <c r="P178" s="361"/>
      <c r="Q178" s="361"/>
      <c r="R178" s="361"/>
      <c r="U178" s="361" t="s">
        <v>1224</v>
      </c>
      <c r="V178" s="361"/>
      <c r="W178" s="361"/>
      <c r="X178" s="361"/>
      <c r="Y178" s="361"/>
      <c r="Z178" s="361"/>
      <c r="AA178" s="361"/>
      <c r="AB178" s="361"/>
      <c r="AD178" s="1489"/>
      <c r="AE178" s="1489"/>
      <c r="AF178" s="1489"/>
      <c r="AG178" s="1489"/>
      <c r="AH178" s="1489"/>
      <c r="BN178" s="30" t="s">
        <v>598</v>
      </c>
      <c r="BT178" t="s">
        <v>402</v>
      </c>
    </row>
    <row r="179" spans="1:72" ht="12.9" customHeight="1">
      <c r="C179" s="31"/>
      <c r="BN179" s="30" t="s">
        <v>599</v>
      </c>
      <c r="BT179" t="s">
        <v>403</v>
      </c>
    </row>
    <row r="180" spans="1:72" ht="12.9" customHeight="1">
      <c r="C180" s="12"/>
      <c r="D180" t="s">
        <v>2095</v>
      </c>
      <c r="O180" s="361"/>
      <c r="P180" s="361"/>
      <c r="Q180" s="361"/>
      <c r="R180" s="361"/>
      <c r="Y180" s="1100" t="s">
        <v>481</v>
      </c>
      <c r="Z180" s="1463"/>
      <c r="BN180" s="30" t="s">
        <v>601</v>
      </c>
      <c r="BT180" t="s">
        <v>404</v>
      </c>
    </row>
    <row r="181" spans="1:72" ht="12.9" customHeight="1">
      <c r="C181" s="12"/>
      <c r="D181" s="35"/>
      <c r="E181" s="361" t="s">
        <v>1222</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2" t="str">
        <f>H17</f>
        <v>Hill Street</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119</v>
      </c>
      <c r="BN184" s="30" t="s">
        <v>573</v>
      </c>
      <c r="BT184" t="s">
        <v>408</v>
      </c>
    </row>
    <row r="185" spans="1:72" ht="12.9" customHeight="1">
      <c r="C185" s="29"/>
      <c r="D185" t="s">
        <v>428</v>
      </c>
      <c r="I185" s="1260" t="s">
        <v>2326</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120</v>
      </c>
      <c r="BN185" s="30" t="s">
        <v>574</v>
      </c>
      <c r="BT185" t="s">
        <v>838</v>
      </c>
    </row>
    <row r="186" spans="1:72" ht="12.9" customHeight="1">
      <c r="C186" s="29"/>
      <c r="E186" t="s">
        <v>61</v>
      </c>
      <c r="BN186" s="30" t="s">
        <v>575</v>
      </c>
      <c r="BT186" t="s">
        <v>839</v>
      </c>
    </row>
    <row r="187" spans="1:72" ht="12.9"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576</v>
      </c>
      <c r="BT187" t="s">
        <v>840</v>
      </c>
    </row>
    <row r="188" spans="1:72" ht="12.9"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578</v>
      </c>
      <c r="BT188" t="s">
        <v>841</v>
      </c>
    </row>
    <row r="189" spans="1:72" ht="12.9" customHeight="1">
      <c r="C189" s="29"/>
      <c r="D189" t="s">
        <v>429</v>
      </c>
      <c r="I189" s="1109" t="s">
        <v>2322</v>
      </c>
      <c r="J189" s="1109"/>
      <c r="K189" s="1109"/>
      <c r="L189" s="1109"/>
      <c r="M189" s="1109"/>
      <c r="N189" s="1109"/>
      <c r="O189" s="1109"/>
      <c r="P189" s="1109"/>
      <c r="Q189" t="s">
        <v>431</v>
      </c>
      <c r="T189" s="1109" t="s">
        <v>116</v>
      </c>
      <c r="U189" s="1109"/>
      <c r="V189" s="1109"/>
      <c r="W189" s="1109"/>
      <c r="X189" s="1109"/>
      <c r="Y189" s="1109"/>
      <c r="Z189" s="1109"/>
      <c r="AA189" s="1109"/>
      <c r="AB189" s="1109"/>
      <c r="AC189" s="1109"/>
      <c r="AD189" s="1109"/>
      <c r="AE189" s="1109"/>
      <c r="BC189" t="s">
        <v>78</v>
      </c>
      <c r="BH189" s="41" t="s">
        <v>123</v>
      </c>
      <c r="BN189" s="30" t="s">
        <v>579</v>
      </c>
      <c r="BT189" t="s">
        <v>108</v>
      </c>
    </row>
    <row r="190" spans="1:72" ht="12.9" customHeight="1">
      <c r="C190" s="29"/>
      <c r="D190" t="s">
        <v>432</v>
      </c>
      <c r="I190" s="1260">
        <v>94002</v>
      </c>
      <c r="J190" s="1260"/>
      <c r="K190" s="1260"/>
      <c r="L190" s="1260"/>
      <c r="M190" s="1260"/>
      <c r="N190" s="1260"/>
      <c r="O190" t="s">
        <v>434</v>
      </c>
      <c r="T190" s="1486">
        <v>6087</v>
      </c>
      <c r="U190" s="1486"/>
      <c r="V190" s="1486"/>
      <c r="W190" s="1486"/>
      <c r="X190" s="1486"/>
      <c r="Y190" s="1486"/>
      <c r="Z190" s="1486"/>
      <c r="AA190" s="1486"/>
      <c r="AB190" s="1486"/>
      <c r="AC190" s="1486"/>
      <c r="AD190" s="1486"/>
      <c r="AE190" s="1486"/>
      <c r="BC190" t="s">
        <v>662</v>
      </c>
      <c r="BH190" t="s">
        <v>662</v>
      </c>
      <c r="BN190" s="30" t="s">
        <v>420</v>
      </c>
      <c r="BT190" t="s">
        <v>109</v>
      </c>
    </row>
    <row r="191" spans="1:72" ht="12.9" customHeight="1">
      <c r="C191" s="29"/>
      <c r="D191" t="s">
        <v>80</v>
      </c>
      <c r="N191" s="1357" t="s">
        <v>2327</v>
      </c>
      <c r="O191" s="1357"/>
      <c r="P191" s="1357"/>
      <c r="Q191" s="1357"/>
      <c r="R191" s="1357"/>
      <c r="S191" s="1357"/>
      <c r="T191" s="1357"/>
      <c r="U191" s="1357"/>
      <c r="V191" s="1357"/>
      <c r="W191" s="1357"/>
      <c r="X191" s="1357"/>
      <c r="Y191" s="1357"/>
      <c r="Z191" s="1357"/>
      <c r="AA191" s="1357"/>
      <c r="AB191" s="1357"/>
      <c r="AC191" s="1357"/>
      <c r="AD191" s="1357"/>
      <c r="AE191" s="1357"/>
      <c r="BC191" t="s">
        <v>1415</v>
      </c>
      <c r="BH191" t="s">
        <v>1415</v>
      </c>
      <c r="BN191" s="30" t="s">
        <v>581</v>
      </c>
      <c r="BT191" t="s">
        <v>110</v>
      </c>
    </row>
    <row r="192" spans="1:72" ht="12.9"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663</v>
      </c>
      <c r="BH192" t="s">
        <v>614</v>
      </c>
      <c r="BN192" s="30" t="s">
        <v>582</v>
      </c>
      <c r="BT192" t="s">
        <v>111</v>
      </c>
    </row>
    <row r="193" spans="1:73" ht="12.9" customHeight="1">
      <c r="C193" s="29"/>
      <c r="D193" t="s">
        <v>435</v>
      </c>
      <c r="T193" s="1100" t="s">
        <v>107</v>
      </c>
      <c r="U193" s="1100"/>
      <c r="W193" s="41" t="s">
        <v>1877</v>
      </c>
      <c r="AA193" s="1492">
        <v>2024</v>
      </c>
      <c r="AB193" s="1492"/>
      <c r="AC193" s="1492"/>
      <c r="BC193" t="s">
        <v>563</v>
      </c>
      <c r="BH193" s="5" t="s">
        <v>1420</v>
      </c>
      <c r="BN193" s="30" t="s">
        <v>583</v>
      </c>
      <c r="BT193" t="s">
        <v>112</v>
      </c>
    </row>
    <row r="194" spans="1:73" ht="12.9" customHeight="1">
      <c r="C194" s="29"/>
      <c r="D194" t="s">
        <v>117</v>
      </c>
      <c r="T194" s="1058" t="s">
        <v>481</v>
      </c>
      <c r="U194" s="1058"/>
      <c r="W194" t="s">
        <v>62</v>
      </c>
      <c r="AI194" s="1100" t="s">
        <v>481</v>
      </c>
      <c r="AJ194" s="1100"/>
      <c r="AX194" s="5" t="s">
        <v>123</v>
      </c>
      <c r="BC194" t="s">
        <v>614</v>
      </c>
      <c r="BN194" s="30" t="s">
        <v>752</v>
      </c>
      <c r="BT194" t="s">
        <v>113</v>
      </c>
    </row>
    <row r="195" spans="1:73" ht="12.9" customHeight="1">
      <c r="C195" s="29"/>
      <c r="D195" s="41" t="s">
        <v>1725</v>
      </c>
      <c r="T195" s="1058" t="s">
        <v>481</v>
      </c>
      <c r="U195" s="1058"/>
      <c r="X195" s="797" t="s">
        <v>2096</v>
      </c>
      <c r="AX195" s="5" t="s">
        <v>1141</v>
      </c>
      <c r="BN195" s="30" t="s">
        <v>753</v>
      </c>
      <c r="BT195" t="s">
        <v>114</v>
      </c>
    </row>
    <row r="196" spans="1:73" ht="12.9" customHeight="1">
      <c r="C196" s="29"/>
      <c r="D196" s="5" t="s">
        <v>1146</v>
      </c>
      <c r="T196" s="1058" t="s">
        <v>481</v>
      </c>
      <c r="U196" s="1058"/>
      <c r="AK196" s="1491"/>
      <c r="AL196" s="1491"/>
      <c r="AX196" s="41" t="s">
        <v>2189</v>
      </c>
      <c r="BN196" s="30" t="s">
        <v>754</v>
      </c>
      <c r="BT196" t="s">
        <v>115</v>
      </c>
    </row>
    <row r="197" spans="1:73" ht="12.9" customHeight="1">
      <c r="C197" s="29"/>
      <c r="D197" s="41" t="s">
        <v>1878</v>
      </c>
      <c r="T197" s="1100" t="s">
        <v>481</v>
      </c>
      <c r="U197" s="1100"/>
      <c r="AX197" s="5" t="s">
        <v>1142</v>
      </c>
      <c r="BC197" t="s">
        <v>78</v>
      </c>
      <c r="BN197" s="30" t="s">
        <v>755</v>
      </c>
      <c r="BT197" t="s">
        <v>116</v>
      </c>
    </row>
    <row r="198" spans="1:73" ht="12.9" customHeight="1">
      <c r="C198" s="29"/>
      <c r="D198" s="41" t="s">
        <v>1906</v>
      </c>
      <c r="W198" s="1334" t="s">
        <v>481</v>
      </c>
      <c r="X198" s="1100"/>
      <c r="AX198" s="5" t="s">
        <v>1143</v>
      </c>
      <c r="BC198" t="s">
        <v>1094</v>
      </c>
      <c r="BN198" s="30" t="s">
        <v>756</v>
      </c>
      <c r="BT198" t="s">
        <v>802</v>
      </c>
    </row>
    <row r="199" spans="1:73" ht="12.9" customHeight="1">
      <c r="C199" s="29"/>
      <c r="L199" s="309"/>
      <c r="M199" s="309"/>
      <c r="N199" s="309"/>
      <c r="O199" s="309"/>
      <c r="P199" s="309"/>
      <c r="Q199" s="921" t="s">
        <v>2097</v>
      </c>
      <c r="R199" s="1105" t="s">
        <v>2008</v>
      </c>
      <c r="S199" s="1105"/>
      <c r="T199" s="1105"/>
      <c r="U199" s="1105"/>
      <c r="V199" s="1105"/>
      <c r="W199" s="1105"/>
      <c r="X199" s="1105"/>
      <c r="Y199" s="1105"/>
      <c r="Z199" s="1105"/>
      <c r="AA199" s="1105"/>
      <c r="AB199" s="1105"/>
      <c r="AH199" s="1"/>
      <c r="AI199" s="1"/>
      <c r="AX199" s="5" t="s">
        <v>1144</v>
      </c>
      <c r="BC199" s="5" t="s">
        <v>1095</v>
      </c>
      <c r="BN199" s="30" t="s">
        <v>757</v>
      </c>
      <c r="BO199" s="39"/>
      <c r="BP199" s="40"/>
      <c r="BQ199" s="40"/>
      <c r="BR199" s="40"/>
      <c r="BS199" s="40"/>
      <c r="BT199" s="40" t="s">
        <v>803</v>
      </c>
    </row>
    <row r="200" spans="1:73" ht="12.9" customHeight="1">
      <c r="C200" s="29"/>
      <c r="D200" t="s">
        <v>559</v>
      </c>
      <c r="AH200" s="1"/>
      <c r="AI200" s="1"/>
      <c r="AX200" s="41" t="s">
        <v>2280</v>
      </c>
      <c r="BC200" s="41" t="s">
        <v>2046</v>
      </c>
      <c r="BN200" s="266" t="s">
        <v>657</v>
      </c>
      <c r="BO200" s="21"/>
      <c r="BP200" s="40"/>
      <c r="BQ200" s="40"/>
      <c r="BR200" s="40"/>
      <c r="BS200" s="40"/>
      <c r="BT200" s="40" t="s">
        <v>804</v>
      </c>
    </row>
    <row r="201" spans="1:73" ht="12.9" customHeight="1">
      <c r="C201" s="29"/>
      <c r="G201" s="894" t="s">
        <v>2012</v>
      </c>
      <c r="AX201" s="41" t="s">
        <v>2045</v>
      </c>
      <c r="BC201" t="s">
        <v>860</v>
      </c>
      <c r="BN201" s="30" t="s">
        <v>658</v>
      </c>
      <c r="BO201" s="21"/>
      <c r="BP201" s="40"/>
      <c r="BQ201" s="40"/>
      <c r="BR201" s="40"/>
      <c r="BS201" s="40"/>
      <c r="BT201" s="40" t="s">
        <v>805</v>
      </c>
    </row>
    <row r="202" spans="1:73" ht="12.9" customHeight="1">
      <c r="A202" s="3" t="s">
        <v>118</v>
      </c>
      <c r="C202" s="3" t="s">
        <v>1140</v>
      </c>
      <c r="AX202" s="5" t="s">
        <v>1145</v>
      </c>
      <c r="BC202" t="s">
        <v>1427</v>
      </c>
      <c r="BN202" s="30" t="s">
        <v>659</v>
      </c>
      <c r="BT202" s="40" t="s">
        <v>806</v>
      </c>
      <c r="BU202" s="21"/>
    </row>
    <row r="203" spans="1:73" ht="12.9" customHeight="1">
      <c r="D203" s="1262" t="str">
        <f>IF(AND(M25&gt;0,M27&gt;0),"Federal and State","Federal Only")</f>
        <v>Federal Only</v>
      </c>
      <c r="E203" s="1262"/>
      <c r="F203" s="1262"/>
      <c r="G203" s="1262"/>
      <c r="H203" s="1262"/>
      <c r="I203" s="1262"/>
      <c r="J203" s="1262"/>
      <c r="K203" s="1262"/>
      <c r="L203" s="1262"/>
      <c r="M203" s="1262"/>
      <c r="P203" s="1495">
        <f>M25</f>
        <v>2014263</v>
      </c>
      <c r="Q203" s="1495"/>
      <c r="R203" s="1495"/>
      <c r="S203" s="1495"/>
      <c r="T203" s="1495"/>
      <c r="U203" s="1495"/>
      <c r="W203" s="1495">
        <f>M27</f>
        <v>0</v>
      </c>
      <c r="X203" s="1495"/>
      <c r="Y203" s="1495"/>
      <c r="Z203" s="1495"/>
      <c r="AA203" s="1495"/>
      <c r="AB203" s="1495"/>
      <c r="AV203" t="s">
        <v>123</v>
      </c>
      <c r="AX203" s="5" t="s">
        <v>563</v>
      </c>
      <c r="BC203" t="s">
        <v>1425</v>
      </c>
      <c r="BN203" s="30" t="s">
        <v>660</v>
      </c>
      <c r="BT203" s="40" t="s">
        <v>807</v>
      </c>
      <c r="BU203" s="21"/>
    </row>
    <row r="204" spans="1:73" ht="12.9" customHeight="1">
      <c r="C204" s="29"/>
      <c r="P204" s="1412" t="s">
        <v>174</v>
      </c>
      <c r="Q204" s="1412"/>
      <c r="R204" s="1412"/>
      <c r="S204" s="1412"/>
      <c r="T204" s="1412"/>
      <c r="U204" s="1412"/>
      <c r="V204" s="36"/>
      <c r="W204" s="1412" t="s">
        <v>175</v>
      </c>
      <c r="X204" s="1412"/>
      <c r="Y204" s="1412"/>
      <c r="Z204" s="1412"/>
      <c r="AA204" s="1412"/>
      <c r="AB204" s="1412"/>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1366</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1428</v>
      </c>
      <c r="BN206" s="30" t="s">
        <v>897</v>
      </c>
      <c r="BT206" s="40" t="s">
        <v>809</v>
      </c>
    </row>
    <row r="207" spans="1:73" ht="12.9" customHeight="1">
      <c r="A207" s="3" t="s">
        <v>121</v>
      </c>
      <c r="C207" s="3" t="s">
        <v>801</v>
      </c>
      <c r="X207" s="803"/>
      <c r="Y207" s="913"/>
      <c r="Z207" s="804"/>
      <c r="AA207" s="804"/>
      <c r="AB207" s="804"/>
      <c r="AC207" s="804"/>
      <c r="AD207" s="804"/>
      <c r="AE207" s="804"/>
      <c r="AF207" s="804"/>
      <c r="AG207" s="804"/>
      <c r="AH207" s="804"/>
      <c r="AI207" s="804"/>
      <c r="AJ207" s="804"/>
      <c r="AK207" s="805"/>
      <c r="BC207" t="s">
        <v>2281</v>
      </c>
      <c r="BN207" s="30" t="s">
        <v>1</v>
      </c>
      <c r="BT207" s="40" t="s">
        <v>810</v>
      </c>
    </row>
    <row r="208" spans="1:73" ht="12.9" customHeight="1">
      <c r="C208" s="29"/>
      <c r="D208" s="1396" t="s">
        <v>2328</v>
      </c>
      <c r="E208" s="1396"/>
      <c r="F208" s="1396"/>
      <c r="G208" s="1396"/>
      <c r="H208" s="1396"/>
      <c r="I208" s="1396"/>
      <c r="J208" s="1396"/>
      <c r="K208" s="1396"/>
      <c r="L208" s="1396"/>
      <c r="M208" s="1396"/>
      <c r="X208" s="803"/>
      <c r="Y208" s="914"/>
      <c r="Z208" s="804"/>
      <c r="AA208" s="804"/>
      <c r="AB208" s="804"/>
      <c r="AC208" s="804"/>
      <c r="AD208" s="804"/>
      <c r="AE208" s="804"/>
      <c r="AF208" s="804"/>
      <c r="AG208" s="804"/>
      <c r="AH208" s="804"/>
      <c r="AI208" s="804"/>
      <c r="AJ208" s="804"/>
      <c r="AK208" s="805"/>
      <c r="BC208" t="s">
        <v>1426</v>
      </c>
      <c r="BN208" s="30" t="s">
        <v>2</v>
      </c>
      <c r="BT208" s="40" t="s">
        <v>811</v>
      </c>
    </row>
    <row r="209" spans="1:72" ht="12.9" customHeight="1">
      <c r="C209" s="12"/>
      <c r="X209" s="803"/>
      <c r="Y209" s="914"/>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1139</v>
      </c>
      <c r="X210" s="803"/>
      <c r="Y210" s="914"/>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5" t="s">
        <v>1141</v>
      </c>
      <c r="E211" s="1396"/>
      <c r="F211" s="1396"/>
      <c r="G211" s="1396"/>
      <c r="H211" s="1396"/>
      <c r="I211" s="1396"/>
      <c r="J211" s="1396"/>
      <c r="K211" s="1396"/>
      <c r="L211" s="1396"/>
      <c r="M211" s="1396"/>
      <c r="N211" s="1396"/>
      <c r="O211" s="1396"/>
      <c r="P211" s="1396"/>
      <c r="X211" s="803"/>
      <c r="Y211" s="1487" t="s">
        <v>481</v>
      </c>
      <c r="Z211" s="148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1416</v>
      </c>
      <c r="AX213" t="s">
        <v>2008</v>
      </c>
      <c r="BC213" t="s">
        <v>625</v>
      </c>
      <c r="BN213" s="30" t="s">
        <v>6</v>
      </c>
      <c r="BT213" s="40" t="s">
        <v>815</v>
      </c>
    </row>
    <row r="214" spans="1:72" ht="12.9" customHeight="1">
      <c r="C214" s="29"/>
      <c r="D214" s="1396" t="s">
        <v>662</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AX214" t="s">
        <v>2009</v>
      </c>
      <c r="BC214" t="s">
        <v>629</v>
      </c>
      <c r="BN214" s="30" t="s">
        <v>442</v>
      </c>
      <c r="BT214" s="40" t="s">
        <v>816</v>
      </c>
    </row>
    <row r="215" spans="1:72" ht="12.9" customHeight="1">
      <c r="D215" s="35"/>
      <c r="E215" s="41" t="s">
        <v>2092</v>
      </c>
      <c r="AC215" s="1493">
        <v>18</v>
      </c>
      <c r="AD215" s="1493"/>
      <c r="AF215" s="1490">
        <f>IFERROR(AC215/AG433,"")</f>
        <v>0.5</v>
      </c>
      <c r="AG215" s="1490"/>
      <c r="AX215" t="s">
        <v>2010</v>
      </c>
      <c r="BC215" t="s">
        <v>626</v>
      </c>
    </row>
    <row r="216" spans="1:72" ht="12.9" customHeight="1">
      <c r="D216" s="35"/>
      <c r="E216" s="937" t="s">
        <v>1423</v>
      </c>
      <c r="AX216" t="s">
        <v>2011</v>
      </c>
      <c r="BC216" t="s">
        <v>743</v>
      </c>
    </row>
    <row r="217" spans="1:72" ht="12.9" customHeight="1">
      <c r="E217" s="1409" t="s">
        <v>123</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AX217" s="41" t="s">
        <v>2013</v>
      </c>
      <c r="BC217" t="s">
        <v>627</v>
      </c>
    </row>
    <row r="218" spans="1:72" ht="12.9" customHeight="1">
      <c r="E218" s="41" t="s">
        <v>1949</v>
      </c>
      <c r="AA218" s="49"/>
      <c r="AC218" s="1365"/>
      <c r="AD218" s="1365"/>
      <c r="AE218" s="1365"/>
      <c r="AF218" s="1365"/>
      <c r="AG218" s="1365"/>
      <c r="AH218" s="1365"/>
      <c r="AI218" s="1365"/>
      <c r="AJ218" s="1365"/>
      <c r="AK218" s="1365"/>
      <c r="AL218" s="1365"/>
      <c r="AM218" s="1365"/>
      <c r="BC218" t="s">
        <v>628</v>
      </c>
      <c r="BI218" s="39"/>
    </row>
    <row r="219" spans="1:72" ht="12.9" customHeight="1">
      <c r="E219" s="41" t="s">
        <v>1950</v>
      </c>
      <c r="AA219" s="49"/>
      <c r="AC219" s="1365"/>
      <c r="AD219" s="1365"/>
      <c r="AE219" s="1365"/>
      <c r="AF219" s="1365"/>
      <c r="AG219" s="1365"/>
      <c r="AH219" s="1365"/>
      <c r="AI219" s="1365"/>
      <c r="AJ219" s="1365"/>
      <c r="AK219" s="1365"/>
      <c r="AL219" s="1365"/>
      <c r="AM219" s="1365"/>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1748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t="s">
        <v>136</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556</v>
      </c>
      <c r="O225" s="1100">
        <v>15</v>
      </c>
      <c r="P225" s="1100"/>
    </row>
    <row r="226" spans="1:59" ht="12.9" customHeight="1">
      <c r="D226" t="s">
        <v>557</v>
      </c>
      <c r="O226" s="1100">
        <v>21</v>
      </c>
      <c r="P226" s="1100"/>
      <c r="BB226" s="5" t="s">
        <v>637</v>
      </c>
      <c r="BG226" s="410">
        <f>IF(AND(AND($M$251="for profit",$M$259="for profit",$M$267="nonprofit")),2,0)</f>
        <v>0</v>
      </c>
    </row>
    <row r="227" spans="1:59" ht="12.9" customHeight="1">
      <c r="D227" t="s">
        <v>558</v>
      </c>
      <c r="O227" s="1100">
        <v>13</v>
      </c>
      <c r="P227" s="1100"/>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1169</v>
      </c>
      <c r="U229" s="360" t="s">
        <v>1170</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5" t="s">
        <v>494</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11" t="str">
        <f>H15</f>
        <v>Linc Housing Corporation (as Sole Member of LINC-Hill Street LLC, the Managing General Partner of LINC-Hill Street,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2.9" customHeight="1">
      <c r="D236" s="5" t="s">
        <v>371</v>
      </c>
      <c r="E236" s="5"/>
      <c r="F236" s="5"/>
      <c r="G236" s="5"/>
      <c r="H236" s="5"/>
      <c r="I236" s="5"/>
      <c r="J236" s="5"/>
      <c r="K236" s="5"/>
      <c r="M236" s="1105" t="s">
        <v>2311</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636</v>
      </c>
      <c r="BG236" s="410">
        <f>IF(AND(AND($M$251="nonprofit",$M$259="nonprofit",$M$267="nonprofit")),1,0)</f>
        <v>0</v>
      </c>
    </row>
    <row r="237" spans="1:59" ht="12.9" customHeight="1">
      <c r="D237" s="5" t="s">
        <v>429</v>
      </c>
      <c r="E237" s="5"/>
      <c r="M237" s="1105" t="s">
        <v>2312</v>
      </c>
      <c r="N237" s="1396"/>
      <c r="O237" s="1396"/>
      <c r="P237" s="1396"/>
      <c r="Q237" s="1396"/>
      <c r="R237" s="1396"/>
      <c r="S237" s="1396"/>
      <c r="T237" s="1396"/>
      <c r="V237" s="42" t="s">
        <v>372</v>
      </c>
      <c r="W237" s="1403" t="s">
        <v>2313</v>
      </c>
      <c r="X237" s="1261"/>
      <c r="Y237" s="5" t="s">
        <v>432</v>
      </c>
      <c r="AC237" s="1396">
        <v>90807</v>
      </c>
      <c r="AD237" s="1396"/>
      <c r="AE237" s="1396"/>
      <c r="AN237" s="41"/>
      <c r="BB237" t="s">
        <v>636</v>
      </c>
      <c r="BG237" s="410">
        <f>IF(AND(AND($M$251="nonprofit",$M$259="nonprofit",$M$267="(select one)")),1,0)</f>
        <v>0</v>
      </c>
    </row>
    <row r="238" spans="1:59" ht="12.9" customHeight="1">
      <c r="D238" s="5" t="s">
        <v>373</v>
      </c>
      <c r="E238" s="5"/>
      <c r="F238" s="5"/>
      <c r="G238" s="5"/>
      <c r="H238" s="5"/>
      <c r="I238" s="5"/>
      <c r="J238" s="5"/>
      <c r="K238" s="28"/>
      <c r="M238" s="1105" t="s">
        <v>2317</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636</v>
      </c>
      <c r="BG238" s="410">
        <f>IF(AND(AND($M$251="nonprofit",$M$259="(select one)",$M$267="(select one)")),1,0)</f>
        <v>1</v>
      </c>
    </row>
    <row r="239" spans="1:59" ht="12.9" customHeight="1">
      <c r="D239" s="5" t="s">
        <v>374</v>
      </c>
      <c r="E239" s="5"/>
      <c r="F239" s="5"/>
      <c r="M239" s="1375" t="s">
        <v>2336</v>
      </c>
      <c r="N239" s="1266"/>
      <c r="O239" s="1266"/>
      <c r="P239" s="1266"/>
      <c r="Q239" s="1266"/>
      <c r="R239" s="1266"/>
      <c r="S239" s="5" t="s">
        <v>817</v>
      </c>
      <c r="T239" s="5"/>
      <c r="U239" s="1261"/>
      <c r="V239" s="1261"/>
      <c r="W239" s="1261"/>
      <c r="X239" s="5" t="s">
        <v>375</v>
      </c>
      <c r="Z239" s="1266"/>
      <c r="AA239" s="1266"/>
      <c r="AB239" s="1266"/>
      <c r="AC239" s="1266"/>
      <c r="AD239" s="1266"/>
      <c r="AE239" s="1266"/>
      <c r="AM239" s="41"/>
      <c r="AN239" s="41"/>
      <c r="BB239" t="s">
        <v>1008</v>
      </c>
      <c r="BG239" s="410">
        <f>IF(AND(AND($M$251="for profit",$M$259="for profit",$M$267="for profit")),3,0)</f>
        <v>0</v>
      </c>
    </row>
    <row r="240" spans="1:59" ht="12.9" customHeight="1">
      <c r="D240" s="5" t="s">
        <v>376</v>
      </c>
      <c r="E240" s="5"/>
      <c r="F240" s="5"/>
      <c r="M240" s="1479" t="s">
        <v>2329</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0" t="s">
        <v>493</v>
      </c>
      <c r="N241" s="1260"/>
      <c r="O241" s="1260"/>
      <c r="P241" s="1260"/>
      <c r="Q241" s="1260"/>
      <c r="R241" s="1260"/>
      <c r="S241" s="1260"/>
      <c r="T241" s="1260"/>
      <c r="U241" s="5" t="s">
        <v>1135</v>
      </c>
      <c r="AA241" s="1407" t="s">
        <v>123</v>
      </c>
      <c r="AB241" s="1408"/>
      <c r="AC241" s="1408"/>
      <c r="AD241" s="1408"/>
      <c r="AE241" s="1408"/>
      <c r="AF241" s="1408"/>
      <c r="AG241" s="1408"/>
      <c r="AH241" s="1408"/>
      <c r="AI241" s="1408"/>
      <c r="AJ241" s="1408"/>
      <c r="AK241" s="1408"/>
      <c r="AL241" s="41"/>
      <c r="AM241" s="5"/>
      <c r="AN241" s="41"/>
      <c r="AO241" s="41"/>
      <c r="BB241" t="s">
        <v>1008</v>
      </c>
      <c r="BG241" s="411">
        <f>IF(AND(AND($M$251="for profit",$M$259="(select one)",$M$267="(select one)")),3,0)</f>
        <v>0</v>
      </c>
    </row>
    <row r="242" spans="1:67" ht="12.9" customHeight="1">
      <c r="D242" t="s">
        <v>630</v>
      </c>
      <c r="M242" s="1105" t="s">
        <v>123</v>
      </c>
      <c r="N242" s="1109"/>
      <c r="O242" s="1109"/>
      <c r="P242" s="1109"/>
      <c r="Q242" s="1109"/>
      <c r="R242" s="1109"/>
      <c r="S242" s="1109"/>
      <c r="T242" s="1109"/>
      <c r="U242" s="1109"/>
      <c r="V242" s="1109"/>
      <c r="W242" s="1109"/>
      <c r="X242" s="1109"/>
      <c r="Y242" s="1109"/>
      <c r="Z242" s="1109"/>
      <c r="AA242" s="1109"/>
      <c r="AB242" s="1109"/>
      <c r="AC242" s="1109"/>
      <c r="AD242" s="1109"/>
      <c r="AE242" s="1109"/>
      <c r="AF242" s="938" t="str">
        <f>IF(AND(M241="other",M242=""),"!","")</f>
        <v/>
      </c>
      <c r="AG242" s="938"/>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1459</v>
      </c>
      <c r="D245" s="5" t="s">
        <v>631</v>
      </c>
      <c r="E245" s="5"/>
      <c r="F245" s="5"/>
      <c r="G245" s="5"/>
      <c r="H245" s="5"/>
      <c r="I245" s="5"/>
      <c r="J245" s="5"/>
      <c r="K245" s="5"/>
      <c r="L245" s="5"/>
      <c r="M245" s="1402" t="s">
        <v>2330</v>
      </c>
      <c r="N245" s="1402"/>
      <c r="O245" s="1402"/>
      <c r="P245" s="1402"/>
      <c r="Q245" s="1402"/>
      <c r="R245" s="1402"/>
      <c r="S245" s="1402"/>
      <c r="T245" s="1402"/>
      <c r="U245" s="1402"/>
      <c r="V245" s="1402"/>
      <c r="W245" s="1402"/>
      <c r="X245" s="1402"/>
      <c r="Y245" s="1402"/>
      <c r="Z245" s="1402"/>
      <c r="AA245" s="1402"/>
      <c r="AB245" s="1402"/>
      <c r="AC245" s="1402"/>
      <c r="AD245" s="1402"/>
      <c r="AE245" s="1402"/>
      <c r="AF245" s="1478" t="s">
        <v>2331</v>
      </c>
      <c r="AG245" s="1478"/>
      <c r="AH245" s="1478"/>
      <c r="AI245" s="1478"/>
      <c r="AJ245" s="1478"/>
      <c r="AK245" s="1478"/>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396" t="str">
        <f>M236</f>
        <v>3590 Elm Avenue</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453</v>
      </c>
      <c r="BH246">
        <v>3</v>
      </c>
      <c r="BI246" t="s">
        <v>635</v>
      </c>
    </row>
    <row r="247" spans="1:67" ht="12.9" customHeight="1">
      <c r="A247" s="28"/>
      <c r="B247" s="5"/>
      <c r="C247" s="5"/>
      <c r="D247" s="5" t="s">
        <v>429</v>
      </c>
      <c r="E247" s="5"/>
      <c r="M247" s="1396" t="str">
        <f>M237</f>
        <v>Long Beach</v>
      </c>
      <c r="N247" s="1396"/>
      <c r="O247" s="1396"/>
      <c r="P247" s="1396"/>
      <c r="Q247" s="1396"/>
      <c r="R247" s="1396"/>
      <c r="S247" s="1396"/>
      <c r="T247" s="1396"/>
      <c r="V247" s="42" t="s">
        <v>372</v>
      </c>
      <c r="W247" s="1261" t="str">
        <f>W237</f>
        <v>CA</v>
      </c>
      <c r="X247" s="1261"/>
      <c r="Y247" s="5" t="s">
        <v>432</v>
      </c>
      <c r="AC247" s="1396">
        <f>AC237</f>
        <v>90807</v>
      </c>
      <c r="AD247" s="1396"/>
      <c r="AE247" s="1396"/>
      <c r="AN247" s="41"/>
    </row>
    <row r="248" spans="1:67" ht="12.9" customHeight="1">
      <c r="A248" s="28"/>
      <c r="B248" s="5"/>
      <c r="C248" s="5"/>
      <c r="D248" s="5" t="s">
        <v>373</v>
      </c>
      <c r="E248" s="5"/>
      <c r="F248" s="5"/>
      <c r="G248" s="5"/>
      <c r="H248" s="5"/>
      <c r="I248" s="5"/>
      <c r="J248" s="5"/>
      <c r="K248" s="5"/>
      <c r="L248" s="28"/>
      <c r="M248" s="1105" t="s">
        <v>2317</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2.9" customHeight="1">
      <c r="A249" s="28"/>
      <c r="B249" s="5"/>
      <c r="C249" s="5"/>
      <c r="D249" s="5" t="s">
        <v>374</v>
      </c>
      <c r="E249" s="5"/>
      <c r="F249" s="5"/>
      <c r="M249" s="1375" t="s">
        <v>2336</v>
      </c>
      <c r="N249" s="1266"/>
      <c r="O249" s="1266"/>
      <c r="P249" s="1266"/>
      <c r="Q249" s="1266"/>
      <c r="R249" s="1266"/>
      <c r="S249" s="5" t="s">
        <v>817</v>
      </c>
      <c r="T249" s="5"/>
      <c r="U249" s="1261"/>
      <c r="V249" s="1261"/>
      <c r="W249" s="1261"/>
      <c r="X249" s="5" t="s">
        <v>375</v>
      </c>
      <c r="Z249" s="1266"/>
      <c r="AA249" s="1266"/>
      <c r="AB249" s="1266"/>
      <c r="AC249" s="1266"/>
      <c r="AD249" s="1266"/>
      <c r="AE249" s="1266"/>
      <c r="AM249" s="5"/>
      <c r="AN249" s="41"/>
    </row>
    <row r="250" spans="1:67" ht="12.9" customHeight="1">
      <c r="A250" s="28"/>
      <c r="B250" s="5"/>
      <c r="C250" s="5"/>
      <c r="D250" s="5" t="s">
        <v>376</v>
      </c>
      <c r="E250" s="5"/>
      <c r="F250" s="5"/>
      <c r="M250" s="1479" t="s">
        <v>2329</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634</v>
      </c>
      <c r="E251" s="5"/>
      <c r="F251" s="5"/>
      <c r="G251" s="5"/>
      <c r="H251" s="5"/>
      <c r="I251" s="5"/>
      <c r="J251" s="5"/>
      <c r="K251" s="5"/>
      <c r="L251" s="5"/>
      <c r="M251" s="1260" t="s">
        <v>633</v>
      </c>
      <c r="N251" s="1260"/>
      <c r="O251" s="1260"/>
      <c r="P251" s="1260"/>
      <c r="Q251" s="1260"/>
      <c r="R251" s="1260"/>
      <c r="S251" s="1260"/>
      <c r="T251" s="1260"/>
      <c r="U251" s="5" t="s">
        <v>1135</v>
      </c>
      <c r="AA251" s="1407" t="s">
        <v>2332</v>
      </c>
      <c r="AB251" s="1408"/>
      <c r="AC251" s="1408"/>
      <c r="AD251" s="1408"/>
      <c r="AE251" s="1408"/>
      <c r="AF251" s="1408"/>
      <c r="AG251" s="1408"/>
      <c r="AH251" s="1408"/>
      <c r="AI251" s="1408"/>
      <c r="AJ251" s="1408"/>
      <c r="AK251" s="140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1460</v>
      </c>
      <c r="D253" s="5" t="s">
        <v>1203</v>
      </c>
      <c r="E253" s="5"/>
      <c r="F253" s="5"/>
      <c r="G253" s="5"/>
      <c r="H253" s="5"/>
      <c r="I253" s="5"/>
      <c r="J253" s="5"/>
      <c r="K253" s="5"/>
      <c r="L253" s="5"/>
      <c r="M253" s="1402" t="s">
        <v>2333</v>
      </c>
      <c r="N253" s="1402"/>
      <c r="O253" s="1402"/>
      <c r="P253" s="1402"/>
      <c r="Q253" s="1402"/>
      <c r="R253" s="1402"/>
      <c r="S253" s="1402"/>
      <c r="T253" s="1402"/>
      <c r="U253" s="1402"/>
      <c r="V253" s="1402"/>
      <c r="W253" s="1402"/>
      <c r="X253" s="1402"/>
      <c r="Y253" s="1402"/>
      <c r="Z253" s="1402"/>
      <c r="AA253" s="1402"/>
      <c r="AB253" s="1402"/>
      <c r="AC253" s="1402"/>
      <c r="AD253" s="1402"/>
      <c r="AE253" s="1402"/>
      <c r="AF253" s="1478" t="s">
        <v>78</v>
      </c>
      <c r="AG253" s="1478"/>
      <c r="AH253" s="1478"/>
      <c r="AI253" s="1478"/>
      <c r="AJ253" s="1478"/>
      <c r="AK253" s="1478"/>
      <c r="AM253" s="5"/>
    </row>
    <row r="254" spans="1:67" ht="12.9" customHeight="1">
      <c r="A254" s="28"/>
      <c r="B254" s="5"/>
      <c r="C254" s="5"/>
      <c r="D254" s="5" t="s">
        <v>371</v>
      </c>
      <c r="E254" s="5"/>
      <c r="F254" s="5"/>
      <c r="G254" s="5"/>
      <c r="H254" s="5"/>
      <c r="I254" s="5"/>
      <c r="J254" s="5"/>
      <c r="K254" s="5"/>
      <c r="L254" s="5"/>
      <c r="M254" s="1105"/>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2.9" customHeight="1">
      <c r="A255" s="28"/>
      <c r="B255" s="5"/>
      <c r="C255" s="5"/>
      <c r="D255" s="5" t="s">
        <v>429</v>
      </c>
      <c r="E255" s="5"/>
      <c r="M255" s="1396"/>
      <c r="N255" s="1396"/>
      <c r="O255" s="1396"/>
      <c r="P255" s="1396"/>
      <c r="Q255" s="1396"/>
      <c r="R255" s="1396"/>
      <c r="S255" s="1396"/>
      <c r="T255" s="1396"/>
      <c r="V255" s="42" t="s">
        <v>372</v>
      </c>
      <c r="W255" s="1261"/>
      <c r="X255" s="1261"/>
      <c r="Y255" s="5" t="s">
        <v>432</v>
      </c>
      <c r="AC255" s="1396"/>
      <c r="AD255" s="1396"/>
      <c r="AE255" s="1396"/>
    </row>
    <row r="256" spans="1:67" ht="12.9" customHeight="1">
      <c r="A256" s="28"/>
      <c r="B256" s="5"/>
      <c r="C256" s="5"/>
      <c r="D256" s="5" t="s">
        <v>373</v>
      </c>
      <c r="E256" s="5"/>
      <c r="F256" s="5"/>
      <c r="G256" s="5"/>
      <c r="H256" s="5"/>
      <c r="I256" s="5"/>
      <c r="J256" s="5"/>
      <c r="K256" s="5"/>
      <c r="L256" s="28"/>
      <c r="M256" s="1396"/>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2.9" customHeight="1">
      <c r="A257" s="28"/>
      <c r="B257" s="5"/>
      <c r="C257" s="5"/>
      <c r="D257" s="5" t="s">
        <v>374</v>
      </c>
      <c r="E257" s="5"/>
      <c r="F257" s="5"/>
      <c r="M257" s="1266"/>
      <c r="N257" s="1266"/>
      <c r="O257" s="1266"/>
      <c r="P257" s="1266"/>
      <c r="Q257" s="1266"/>
      <c r="R257" s="1266"/>
      <c r="S257" s="5" t="s">
        <v>817</v>
      </c>
      <c r="T257" s="5"/>
      <c r="U257" s="1261"/>
      <c r="V257" s="1261"/>
      <c r="W257" s="1261"/>
      <c r="X257" s="5" t="s">
        <v>375</v>
      </c>
      <c r="Z257" s="1266"/>
      <c r="AA257" s="1266"/>
      <c r="AB257" s="1266"/>
      <c r="AC257" s="1266"/>
      <c r="AD257" s="1266"/>
      <c r="AE257" s="1266"/>
      <c r="BA257" s="43"/>
    </row>
    <row r="258" spans="1:53" ht="12.9" customHeight="1">
      <c r="A258" s="28"/>
      <c r="B258" s="5"/>
      <c r="C258" s="5"/>
      <c r="D258" s="5" t="s">
        <v>376</v>
      </c>
      <c r="E258" s="5"/>
      <c r="F258" s="5"/>
      <c r="M258" s="1479"/>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634</v>
      </c>
      <c r="E259" s="5"/>
      <c r="F259" s="5"/>
      <c r="G259" s="5"/>
      <c r="H259" s="5"/>
      <c r="I259" s="5"/>
      <c r="J259" s="5"/>
      <c r="K259" s="5"/>
      <c r="L259" s="5"/>
      <c r="M259" s="1260" t="s">
        <v>78</v>
      </c>
      <c r="N259" s="1260"/>
      <c r="O259" s="1260"/>
      <c r="P259" s="1260"/>
      <c r="Q259" s="1260"/>
      <c r="R259" s="1260"/>
      <c r="S259" s="1260"/>
      <c r="T259" s="1260"/>
      <c r="U259" s="5" t="s">
        <v>1135</v>
      </c>
      <c r="AA259" s="1408"/>
      <c r="AB259" s="1408"/>
      <c r="AC259" s="1408"/>
      <c r="AD259" s="1408"/>
      <c r="AE259" s="1408"/>
      <c r="AF259" s="1408"/>
      <c r="AG259" s="1408"/>
      <c r="AH259" s="1408"/>
      <c r="AI259" s="1408"/>
      <c r="AJ259" s="1408"/>
      <c r="AK259" s="140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1876</v>
      </c>
      <c r="D261" s="5" t="s">
        <v>631</v>
      </c>
      <c r="E261" s="5"/>
      <c r="F261" s="5"/>
      <c r="G261" s="5"/>
      <c r="H261" s="5"/>
      <c r="I261" s="5"/>
      <c r="J261" s="5"/>
      <c r="K261" s="5"/>
      <c r="L261" s="5"/>
      <c r="M261" s="1402" t="s">
        <v>2333</v>
      </c>
      <c r="N261" s="1478"/>
      <c r="O261" s="1478"/>
      <c r="P261" s="1478"/>
      <c r="Q261" s="1478"/>
      <c r="R261" s="1478"/>
      <c r="S261" s="1478"/>
      <c r="T261" s="1478"/>
      <c r="U261" s="1478"/>
      <c r="V261" s="1478"/>
      <c r="W261" s="1478"/>
      <c r="X261" s="1478"/>
      <c r="Y261" s="1478"/>
      <c r="Z261" s="1478"/>
      <c r="AA261" s="1478"/>
      <c r="AB261" s="1478"/>
      <c r="AC261" s="1478"/>
      <c r="AD261" s="1478"/>
      <c r="AE261" s="1478"/>
      <c r="AF261" s="1478" t="s">
        <v>78</v>
      </c>
      <c r="AG261" s="1478"/>
      <c r="AH261" s="1478"/>
      <c r="AI261" s="1478"/>
      <c r="AJ261" s="1478"/>
      <c r="AK261" s="1478"/>
      <c r="AL261" s="41"/>
    </row>
    <row r="262" spans="1:53" ht="12.9" customHeight="1">
      <c r="A262" s="18"/>
      <c r="B262" s="5"/>
      <c r="C262" s="5"/>
      <c r="D262" s="5" t="s">
        <v>371</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2.9" customHeight="1">
      <c r="A263" s="18"/>
      <c r="B263" s="5"/>
      <c r="C263" s="5"/>
      <c r="D263" s="5" t="s">
        <v>429</v>
      </c>
      <c r="E263" s="5"/>
      <c r="M263" s="1396"/>
      <c r="N263" s="1396"/>
      <c r="O263" s="1396"/>
      <c r="P263" s="1396"/>
      <c r="Q263" s="1396"/>
      <c r="R263" s="1396"/>
      <c r="S263" s="1396"/>
      <c r="T263" s="1396"/>
      <c r="V263" s="42" t="s">
        <v>372</v>
      </c>
      <c r="W263" s="1261"/>
      <c r="X263" s="1261"/>
      <c r="Y263" s="5" t="s">
        <v>432</v>
      </c>
      <c r="AC263" s="1396"/>
      <c r="AD263" s="1396"/>
      <c r="AE263" s="1396"/>
      <c r="AL263" s="41"/>
      <c r="BA263" s="43"/>
    </row>
    <row r="264" spans="1:53" ht="12.9" customHeight="1">
      <c r="A264" s="18"/>
      <c r="B264" s="5"/>
      <c r="C264" s="5"/>
      <c r="D264" s="5" t="s">
        <v>373</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2.9" customHeight="1">
      <c r="A265" s="18"/>
      <c r="B265" s="5"/>
      <c r="C265" s="5"/>
      <c r="D265" s="5" t="s">
        <v>374</v>
      </c>
      <c r="E265" s="5"/>
      <c r="F265" s="5"/>
      <c r="M265" s="1266"/>
      <c r="N265" s="1266"/>
      <c r="O265" s="1266"/>
      <c r="P265" s="1266"/>
      <c r="Q265" s="1266"/>
      <c r="R265" s="1266"/>
      <c r="S265" s="5" t="s">
        <v>817</v>
      </c>
      <c r="T265" s="5"/>
      <c r="U265" s="1261"/>
      <c r="V265" s="1261"/>
      <c r="W265" s="1261"/>
      <c r="X265" s="5" t="s">
        <v>375</v>
      </c>
      <c r="Z265" s="1266"/>
      <c r="AA265" s="1266"/>
      <c r="AB265" s="1266"/>
      <c r="AC265" s="1266"/>
      <c r="AD265" s="1266"/>
      <c r="AE265" s="1266"/>
      <c r="AL265" s="41"/>
      <c r="BA265" s="43"/>
    </row>
    <row r="266" spans="1:53" ht="12.9" customHeight="1">
      <c r="A266" s="18"/>
      <c r="B266" s="5"/>
      <c r="C266" s="5"/>
      <c r="D266" s="5" t="s">
        <v>376</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0" t="s">
        <v>78</v>
      </c>
      <c r="N267" s="1260"/>
      <c r="O267" s="1260"/>
      <c r="P267" s="1260"/>
      <c r="Q267" s="1260"/>
      <c r="R267" s="1260"/>
      <c r="S267" s="1260"/>
      <c r="T267" s="1260"/>
      <c r="U267" s="5" t="s">
        <v>1135</v>
      </c>
      <c r="AA267" s="1408"/>
      <c r="AB267" s="1408"/>
      <c r="AC267" s="1408"/>
      <c r="AD267" s="1408"/>
      <c r="AE267" s="1408"/>
      <c r="AF267" s="1408"/>
      <c r="AG267" s="1408"/>
      <c r="AH267" s="1408"/>
      <c r="AI267" s="1408"/>
      <c r="AJ267" s="1408"/>
      <c r="AK267" s="140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3" t="str">
        <f>BO245</f>
        <v>Nonprofit</v>
      </c>
      <c r="U269" s="1583"/>
      <c r="V269" s="1583"/>
      <c r="W269" s="1583"/>
      <c r="X269" s="1583"/>
      <c r="Z269" s="474" t="s">
        <v>1204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1201</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1202</v>
      </c>
      <c r="AA271" s="54"/>
      <c r="AB271" s="54"/>
      <c r="AC271" s="54"/>
      <c r="AD271" s="193"/>
      <c r="AE271" s="193"/>
      <c r="AF271" s="193"/>
      <c r="AG271" s="193"/>
      <c r="AH271" s="193"/>
      <c r="AI271" s="193"/>
      <c r="AJ271" s="193"/>
      <c r="AK271" s="410"/>
      <c r="AL271" s="477"/>
    </row>
    <row r="272" spans="1:53" ht="12.9" customHeight="1">
      <c r="A272" s="5"/>
      <c r="B272" s="45">
        <v>0</v>
      </c>
      <c r="D272" s="1396" t="s">
        <v>891</v>
      </c>
      <c r="E272" s="1396"/>
      <c r="F272" s="1396"/>
      <c r="G272" s="1396"/>
      <c r="H272" s="1396"/>
      <c r="J272" t="s">
        <v>890</v>
      </c>
      <c r="X272" s="1480"/>
      <c r="Y272" s="1480"/>
      <c r="Z272" s="1480"/>
      <c r="AA272" s="1480"/>
      <c r="AB272" s="1480"/>
      <c r="AC272" s="1480"/>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78" t="s">
        <v>2332</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371</v>
      </c>
      <c r="E277" s="5"/>
      <c r="F277" s="5"/>
      <c r="G277" s="5"/>
      <c r="H277" s="5"/>
      <c r="I277" s="5"/>
      <c r="J277" s="5"/>
      <c r="K277" s="5"/>
      <c r="L277" s="1396" t="str">
        <f>M236</f>
        <v>3590 Elm Avenue</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2.9" customHeight="1">
      <c r="D278" s="5" t="s">
        <v>429</v>
      </c>
      <c r="E278" s="5"/>
      <c r="L278" s="1396" t="str">
        <f>M237</f>
        <v>Long Beach</v>
      </c>
      <c r="M278" s="1396"/>
      <c r="N278" s="1396"/>
      <c r="O278" s="1396"/>
      <c r="P278" s="1396"/>
      <c r="Q278" s="1396"/>
      <c r="R278" s="1396"/>
      <c r="S278" s="1396"/>
      <c r="U278" s="42" t="s">
        <v>372</v>
      </c>
      <c r="V278" s="1261" t="str">
        <f>W237</f>
        <v>CA</v>
      </c>
      <c r="W278" s="1261"/>
      <c r="X278" s="5" t="s">
        <v>432</v>
      </c>
      <c r="AB278" s="1396">
        <f>AC237</f>
        <v>90807</v>
      </c>
      <c r="AC278" s="1396"/>
      <c r="AD278" s="1396"/>
      <c r="AK278" s="41"/>
      <c r="AL278" s="41"/>
      <c r="BA278" s="43"/>
    </row>
    <row r="279" spans="1:53" ht="12.9" customHeight="1">
      <c r="D279" s="5" t="s">
        <v>373</v>
      </c>
      <c r="E279" s="5"/>
      <c r="F279" s="5"/>
      <c r="G279" s="5"/>
      <c r="H279" s="5"/>
      <c r="I279" s="5"/>
      <c r="J279" s="5"/>
      <c r="K279" s="28"/>
      <c r="L279" s="1396" t="s">
        <v>2334</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2.9" customHeight="1">
      <c r="D280" s="5" t="s">
        <v>374</v>
      </c>
      <c r="E280" s="5"/>
      <c r="F280" s="5"/>
      <c r="L280" s="1266" t="s">
        <v>2335</v>
      </c>
      <c r="M280" s="1266"/>
      <c r="N280" s="1266"/>
      <c r="O280" s="1266"/>
      <c r="P280" s="1266"/>
      <c r="Q280" s="1266"/>
      <c r="R280" s="5" t="s">
        <v>817</v>
      </c>
      <c r="S280" s="5"/>
      <c r="T280" s="1261"/>
      <c r="U280" s="1261"/>
      <c r="V280" s="1261"/>
      <c r="W280" s="5" t="s">
        <v>375</v>
      </c>
      <c r="Y280" s="1266"/>
      <c r="Z280" s="1266"/>
      <c r="AA280" s="1266"/>
      <c r="AB280" s="1266"/>
      <c r="AC280" s="1266"/>
      <c r="AD280" s="1266"/>
      <c r="BA280" s="43"/>
    </row>
    <row r="281" spans="1:53" ht="12.9" customHeight="1">
      <c r="D281" s="5" t="s">
        <v>376</v>
      </c>
      <c r="E281" s="5"/>
      <c r="F281" s="5"/>
      <c r="L281" s="1479" t="s">
        <v>2337</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185</v>
      </c>
      <c r="E282" s="41"/>
      <c r="F282" s="41"/>
      <c r="G282" s="41"/>
      <c r="H282" s="41"/>
      <c r="I282" s="41"/>
      <c r="L282" s="1403" t="s">
        <v>2338</v>
      </c>
      <c r="M282" s="1403"/>
      <c r="N282" s="1403"/>
      <c r="O282" s="1403"/>
      <c r="P282" s="1403"/>
      <c r="Q282" s="1403"/>
      <c r="R282" s="1403"/>
      <c r="S282" s="1403"/>
      <c r="T282" s="1403"/>
      <c r="U282" s="1403"/>
      <c r="V282" s="1403"/>
      <c r="W282" s="1403"/>
      <c r="X282" s="1403"/>
      <c r="Y282" s="1403"/>
      <c r="Z282" s="1403"/>
      <c r="AA282" s="1403"/>
      <c r="AB282" s="1403"/>
      <c r="AC282" s="1403"/>
      <c r="AD282" s="1403"/>
      <c r="AK282" s="41"/>
      <c r="AL282" s="41"/>
      <c r="BA282" s="43"/>
    </row>
    <row r="283" spans="1:53" ht="12.9" customHeight="1">
      <c r="L283" s="4" t="s">
        <v>186</v>
      </c>
      <c r="BA283" s="43"/>
    </row>
    <row r="284" spans="1:53" ht="12.9" customHeight="1">
      <c r="A284" s="1085" t="s">
        <v>495</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9" t="s">
        <v>2332</v>
      </c>
      <c r="I289" s="1109"/>
      <c r="J289" s="1109"/>
      <c r="K289" s="1109"/>
      <c r="L289" s="1109"/>
      <c r="M289" s="1109"/>
      <c r="N289" s="1109"/>
      <c r="O289" s="1109"/>
      <c r="P289" s="1109"/>
      <c r="Q289" s="1109"/>
      <c r="R289" s="1109"/>
      <c r="T289" s="41" t="s">
        <v>744</v>
      </c>
      <c r="V289" s="41"/>
      <c r="W289" s="41"/>
      <c r="X289" s="41"/>
      <c r="Y289" s="41"/>
      <c r="AA289" s="1109" t="s">
        <v>2348</v>
      </c>
      <c r="AB289" s="1109"/>
      <c r="AC289" s="1109"/>
      <c r="AD289" s="1109"/>
      <c r="AE289" s="1109"/>
      <c r="AF289" s="1109"/>
      <c r="AG289" s="1109"/>
      <c r="AH289" s="1109"/>
      <c r="AI289" s="1109"/>
      <c r="AJ289" s="1109"/>
      <c r="AK289" s="1109"/>
      <c r="BA289" s="43"/>
    </row>
    <row r="290" spans="2:53" ht="12.9" customHeight="1">
      <c r="B290" s="41" t="s">
        <v>698</v>
      </c>
      <c r="C290" s="41"/>
      <c r="D290" s="41"/>
      <c r="E290" s="41"/>
      <c r="F290" s="41"/>
      <c r="H290" s="1260" t="s">
        <v>2311</v>
      </c>
      <c r="I290" s="1260"/>
      <c r="J290" s="1260"/>
      <c r="K290" s="1260"/>
      <c r="L290" s="1260"/>
      <c r="M290" s="1260"/>
      <c r="N290" s="1260"/>
      <c r="O290" s="1260"/>
      <c r="P290" s="1260"/>
      <c r="Q290" s="1260"/>
      <c r="R290" s="1260"/>
      <c r="T290" s="41" t="s">
        <v>698</v>
      </c>
      <c r="V290" s="41"/>
      <c r="W290" s="41"/>
      <c r="X290" s="41"/>
      <c r="Y290" s="41"/>
      <c r="AA290" s="1260" t="s">
        <v>2349</v>
      </c>
      <c r="AB290" s="1260"/>
      <c r="AC290" s="1260"/>
      <c r="AD290" s="1260"/>
      <c r="AE290" s="1260"/>
      <c r="AF290" s="1260"/>
      <c r="AG290" s="1260"/>
      <c r="AH290" s="1260"/>
      <c r="AI290" s="1260"/>
      <c r="AJ290" s="1260"/>
      <c r="AK290" s="1260"/>
      <c r="BA290" s="43"/>
    </row>
    <row r="291" spans="2:53" ht="12.9" customHeight="1">
      <c r="B291" s="41" t="s">
        <v>700</v>
      </c>
      <c r="C291" s="41"/>
      <c r="D291" s="41"/>
      <c r="E291" s="41"/>
      <c r="F291" s="41"/>
      <c r="H291" s="1260" t="s">
        <v>2339</v>
      </c>
      <c r="I291" s="1260"/>
      <c r="J291" s="1260"/>
      <c r="K291" s="1260"/>
      <c r="L291" s="1260"/>
      <c r="M291" s="1260"/>
      <c r="N291" s="1260"/>
      <c r="O291" s="1260"/>
      <c r="P291" s="1260"/>
      <c r="Q291" s="1260"/>
      <c r="R291" s="1260"/>
      <c r="T291" s="41" t="s">
        <v>699</v>
      </c>
      <c r="V291" s="41"/>
      <c r="W291" s="41"/>
      <c r="X291" s="41"/>
      <c r="Y291" s="41"/>
      <c r="AA291" s="1260" t="s">
        <v>2350</v>
      </c>
      <c r="AB291" s="1260"/>
      <c r="AC291" s="1260"/>
      <c r="AD291" s="1260"/>
      <c r="AE291" s="1260"/>
      <c r="AF291" s="1260"/>
      <c r="AG291" s="1260"/>
      <c r="AH291" s="1260"/>
      <c r="AI291" s="1260"/>
      <c r="AJ291" s="1260"/>
      <c r="AK291" s="1260"/>
      <c r="BA291" s="43"/>
    </row>
    <row r="292" spans="2:53" ht="12.9" customHeight="1">
      <c r="B292" s="41" t="s">
        <v>373</v>
      </c>
      <c r="C292" s="41"/>
      <c r="D292" s="41"/>
      <c r="E292" s="41"/>
      <c r="F292" s="41"/>
      <c r="H292" s="1260" t="s">
        <v>2317</v>
      </c>
      <c r="I292" s="1260"/>
      <c r="J292" s="1260"/>
      <c r="K292" s="1260"/>
      <c r="L292" s="1260"/>
      <c r="M292" s="1260"/>
      <c r="N292" s="1260"/>
      <c r="O292" s="1260"/>
      <c r="P292" s="1260"/>
      <c r="Q292" s="1260"/>
      <c r="R292" s="1260"/>
      <c r="T292" s="41" t="s">
        <v>373</v>
      </c>
      <c r="V292" s="41"/>
      <c r="W292" s="41"/>
      <c r="X292" s="41"/>
      <c r="Y292" s="41"/>
      <c r="AA292" s="1260" t="s">
        <v>2351</v>
      </c>
      <c r="AB292" s="1260"/>
      <c r="AC292" s="1260"/>
      <c r="AD292" s="1260"/>
      <c r="AE292" s="1260"/>
      <c r="AF292" s="1260"/>
      <c r="AG292" s="1260"/>
      <c r="AH292" s="1260"/>
      <c r="AI292" s="1260"/>
      <c r="AJ292" s="1260"/>
      <c r="AK292" s="1260"/>
      <c r="BA292" s="43"/>
    </row>
    <row r="293" spans="2:53" ht="12.9" customHeight="1">
      <c r="B293" s="41" t="s">
        <v>374</v>
      </c>
      <c r="C293" s="41"/>
      <c r="D293" s="41"/>
      <c r="E293" s="41"/>
      <c r="F293" s="41"/>
      <c r="G293" s="41"/>
      <c r="H293" s="1407" t="s">
        <v>2336</v>
      </c>
      <c r="I293" s="1408"/>
      <c r="J293" s="1408"/>
      <c r="K293" s="1408"/>
      <c r="L293" s="1408"/>
      <c r="M293" s="1408"/>
      <c r="N293" s="5" t="s">
        <v>817</v>
      </c>
      <c r="O293" s="5"/>
      <c r="P293" s="1396"/>
      <c r="Q293" s="1396"/>
      <c r="R293" s="1396"/>
      <c r="S293" s="41"/>
      <c r="T293" s="41" t="s">
        <v>374</v>
      </c>
      <c r="V293" s="41"/>
      <c r="W293" s="41"/>
      <c r="X293" s="41"/>
      <c r="Y293" s="41"/>
      <c r="AA293" s="1407" t="s">
        <v>2352</v>
      </c>
      <c r="AB293" s="1408"/>
      <c r="AC293" s="1408"/>
      <c r="AD293" s="1408"/>
      <c r="AE293" s="1408"/>
      <c r="AF293" s="1408"/>
      <c r="AG293" s="5" t="s">
        <v>817</v>
      </c>
      <c r="AH293" s="5"/>
      <c r="AI293" s="1396"/>
      <c r="AJ293" s="1396"/>
      <c r="AK293" s="1396"/>
      <c r="BA293" s="43"/>
    </row>
    <row r="294" spans="2:53" ht="12.9" customHeight="1">
      <c r="B294" s="41" t="s">
        <v>375</v>
      </c>
      <c r="C294" s="41"/>
      <c r="D294" s="41"/>
      <c r="E294" s="41"/>
      <c r="F294" s="41"/>
      <c r="G294" s="41"/>
      <c r="H294" s="1266"/>
      <c r="I294" s="1266"/>
      <c r="J294" s="1266"/>
      <c r="K294" s="1266"/>
      <c r="L294" s="1266"/>
      <c r="M294" s="1266"/>
      <c r="N294" s="5"/>
      <c r="O294" s="5"/>
      <c r="P294" s="44"/>
      <c r="Q294" s="44"/>
      <c r="R294" s="44"/>
      <c r="S294" s="41"/>
      <c r="T294" s="41" t="s">
        <v>375</v>
      </c>
      <c r="V294" s="41"/>
      <c r="W294" s="41"/>
      <c r="X294" s="41"/>
      <c r="Y294" s="41"/>
      <c r="AA294" s="1266"/>
      <c r="AB294" s="1266"/>
      <c r="AC294" s="1266"/>
      <c r="AD294" s="1266"/>
      <c r="AE294" s="1266"/>
      <c r="AF294" s="1266"/>
      <c r="AG294" s="5"/>
      <c r="AH294" s="5"/>
      <c r="AI294" s="44"/>
      <c r="AJ294" s="44"/>
      <c r="AK294" s="44"/>
      <c r="BA294" s="43"/>
    </row>
    <row r="295" spans="2:53" ht="12.9" customHeight="1">
      <c r="B295" s="41" t="s">
        <v>701</v>
      </c>
      <c r="C295" s="41"/>
      <c r="D295" s="41"/>
      <c r="E295" s="41"/>
      <c r="F295" s="41"/>
      <c r="G295" s="41"/>
      <c r="H295" s="1260" t="s">
        <v>2329</v>
      </c>
      <c r="I295" s="1260"/>
      <c r="J295" s="1260"/>
      <c r="K295" s="1260"/>
      <c r="L295" s="1260"/>
      <c r="M295" s="1260"/>
      <c r="N295" s="1109"/>
      <c r="O295" s="1109"/>
      <c r="P295" s="1109"/>
      <c r="Q295" s="1109"/>
      <c r="R295" s="1109"/>
      <c r="S295" s="41"/>
      <c r="T295" s="41" t="s">
        <v>701</v>
      </c>
      <c r="V295" s="41"/>
      <c r="W295" s="41"/>
      <c r="X295" s="41"/>
      <c r="Y295" s="41"/>
      <c r="AA295" s="1260" t="s">
        <v>2353</v>
      </c>
      <c r="AB295" s="1260"/>
      <c r="AC295" s="1260"/>
      <c r="AD295" s="1260"/>
      <c r="AE295" s="1260"/>
      <c r="AF295" s="1260"/>
      <c r="AG295" s="1109"/>
      <c r="AH295" s="1109"/>
      <c r="AI295" s="1109"/>
      <c r="AJ295" s="1109"/>
      <c r="AK295" s="110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9" t="s">
        <v>2341</v>
      </c>
      <c r="I297" s="1109"/>
      <c r="J297" s="1109"/>
      <c r="K297" s="1109"/>
      <c r="L297" s="1109"/>
      <c r="M297" s="1109"/>
      <c r="N297" s="1109"/>
      <c r="O297" s="1109"/>
      <c r="P297" s="1109"/>
      <c r="Q297" s="1109"/>
      <c r="R297" s="1109"/>
      <c r="T297" s="41" t="s">
        <v>35</v>
      </c>
      <c r="V297" s="41"/>
      <c r="W297" s="41"/>
      <c r="X297" s="41"/>
      <c r="Y297" s="41"/>
      <c r="AA297" s="1109" t="s">
        <v>2340</v>
      </c>
      <c r="AB297" s="1109"/>
      <c r="AC297" s="1109"/>
      <c r="AD297" s="1109"/>
      <c r="AE297" s="1109"/>
      <c r="AF297" s="1109"/>
      <c r="AG297" s="1109"/>
      <c r="AH297" s="1109"/>
      <c r="AI297" s="1109"/>
      <c r="AJ297" s="1109"/>
      <c r="AK297" s="1109"/>
      <c r="BA297" s="43"/>
    </row>
    <row r="298" spans="2:53" ht="12.9" customHeight="1">
      <c r="B298" s="41" t="s">
        <v>698</v>
      </c>
      <c r="C298" s="41"/>
      <c r="D298" s="41"/>
      <c r="E298" s="41"/>
      <c r="F298" s="41"/>
      <c r="H298" s="1260" t="s">
        <v>2342</v>
      </c>
      <c r="I298" s="1260"/>
      <c r="J298" s="1260"/>
      <c r="K298" s="1260"/>
      <c r="L298" s="1260"/>
      <c r="M298" s="1260"/>
      <c r="N298" s="1260"/>
      <c r="O298" s="1260"/>
      <c r="P298" s="1260"/>
      <c r="Q298" s="1260"/>
      <c r="R298" s="1260"/>
      <c r="T298" s="41" t="s">
        <v>698</v>
      </c>
      <c r="V298" s="41"/>
      <c r="W298" s="41"/>
      <c r="X298" s="41"/>
      <c r="Y298" s="41"/>
      <c r="AA298" s="1260"/>
      <c r="AB298" s="1260"/>
      <c r="AC298" s="1260"/>
      <c r="AD298" s="1260"/>
      <c r="AE298" s="1260"/>
      <c r="AF298" s="1260"/>
      <c r="AG298" s="1260"/>
      <c r="AH298" s="1260"/>
      <c r="AI298" s="1260"/>
      <c r="AJ298" s="1260"/>
      <c r="AK298" s="1260"/>
      <c r="BA298" s="43"/>
    </row>
    <row r="299" spans="2:53" ht="12.9" customHeight="1">
      <c r="B299" s="41" t="s">
        <v>700</v>
      </c>
      <c r="C299" s="41"/>
      <c r="D299" s="41"/>
      <c r="E299" s="41"/>
      <c r="F299" s="41"/>
      <c r="H299" s="1260" t="s">
        <v>2343</v>
      </c>
      <c r="I299" s="1260"/>
      <c r="J299" s="1260"/>
      <c r="K299" s="1260"/>
      <c r="L299" s="1260"/>
      <c r="M299" s="1260"/>
      <c r="N299" s="1260"/>
      <c r="O299" s="1260"/>
      <c r="P299" s="1260"/>
      <c r="Q299" s="1260"/>
      <c r="R299" s="1260"/>
      <c r="T299" s="41" t="s">
        <v>699</v>
      </c>
      <c r="V299" s="41"/>
      <c r="W299" s="41"/>
      <c r="X299" s="41"/>
      <c r="Y299" s="41"/>
      <c r="AA299" s="1260"/>
      <c r="AB299" s="1260"/>
      <c r="AC299" s="1260"/>
      <c r="AD299" s="1260"/>
      <c r="AE299" s="1260"/>
      <c r="AF299" s="1260"/>
      <c r="AG299" s="1260"/>
      <c r="AH299" s="1260"/>
      <c r="AI299" s="1260"/>
      <c r="AJ299" s="1260"/>
      <c r="AK299" s="1260"/>
      <c r="BA299" s="43"/>
    </row>
    <row r="300" spans="2:53" ht="12.9" customHeight="1">
      <c r="B300" s="41" t="s">
        <v>373</v>
      </c>
      <c r="C300" s="41"/>
      <c r="D300" s="41"/>
      <c r="E300" s="41"/>
      <c r="F300" s="41"/>
      <c r="H300" s="1260" t="s">
        <v>2344</v>
      </c>
      <c r="I300" s="1260"/>
      <c r="J300" s="1260"/>
      <c r="K300" s="1260"/>
      <c r="L300" s="1260"/>
      <c r="M300" s="1260"/>
      <c r="N300" s="1260"/>
      <c r="O300" s="1260"/>
      <c r="P300" s="1260"/>
      <c r="Q300" s="1260"/>
      <c r="R300" s="1260"/>
      <c r="T300" s="41" t="s">
        <v>373</v>
      </c>
      <c r="V300" s="41"/>
      <c r="W300" s="41"/>
      <c r="X300" s="41"/>
      <c r="Y300" s="41"/>
      <c r="AA300" s="1260"/>
      <c r="AB300" s="1260"/>
      <c r="AC300" s="1260"/>
      <c r="AD300" s="1260"/>
      <c r="AE300" s="1260"/>
      <c r="AF300" s="1260"/>
      <c r="AG300" s="1260"/>
      <c r="AH300" s="1260"/>
      <c r="AI300" s="1260"/>
      <c r="AJ300" s="1260"/>
      <c r="AK300" s="1260"/>
      <c r="BA300" s="43"/>
    </row>
    <row r="301" spans="2:53" ht="12.9" customHeight="1">
      <c r="B301" s="41" t="s">
        <v>374</v>
      </c>
      <c r="C301" s="41"/>
      <c r="D301" s="41"/>
      <c r="E301" s="41"/>
      <c r="F301" s="41"/>
      <c r="G301" s="41"/>
      <c r="H301" s="1407" t="s">
        <v>2346</v>
      </c>
      <c r="I301" s="1408"/>
      <c r="J301" s="1408"/>
      <c r="K301" s="1408"/>
      <c r="L301" s="1408"/>
      <c r="M301" s="1408"/>
      <c r="N301" s="5" t="s">
        <v>817</v>
      </c>
      <c r="O301" s="5"/>
      <c r="P301" s="1396">
        <v>181</v>
      </c>
      <c r="Q301" s="1396"/>
      <c r="R301" s="1396"/>
      <c r="S301" s="41"/>
      <c r="T301" s="41" t="s">
        <v>374</v>
      </c>
      <c r="V301" s="41"/>
      <c r="W301" s="41"/>
      <c r="X301" s="41"/>
      <c r="Y301" s="41"/>
      <c r="AA301" s="1408"/>
      <c r="AB301" s="1408"/>
      <c r="AC301" s="1408"/>
      <c r="AD301" s="1408"/>
      <c r="AE301" s="1408"/>
      <c r="AF301" s="1408"/>
      <c r="AG301" s="5" t="s">
        <v>817</v>
      </c>
      <c r="AH301" s="5"/>
      <c r="AI301" s="1396"/>
      <c r="AJ301" s="1396"/>
      <c r="AK301" s="1396"/>
      <c r="BA301" s="43"/>
    </row>
    <row r="302" spans="2:53" ht="12.9" customHeight="1">
      <c r="B302" s="41" t="s">
        <v>375</v>
      </c>
      <c r="C302" s="41"/>
      <c r="D302" s="41"/>
      <c r="E302" s="41"/>
      <c r="F302" s="41"/>
      <c r="G302" s="41"/>
      <c r="H302" s="1375" t="s">
        <v>2347</v>
      </c>
      <c r="I302" s="1266"/>
      <c r="J302" s="1266"/>
      <c r="K302" s="1266"/>
      <c r="L302" s="1266"/>
      <c r="M302" s="1266"/>
      <c r="N302" s="5"/>
      <c r="O302" s="5"/>
      <c r="P302" s="44"/>
      <c r="Q302" s="44"/>
      <c r="R302" s="44"/>
      <c r="S302" s="41"/>
      <c r="T302" s="41" t="s">
        <v>375</v>
      </c>
      <c r="V302" s="41"/>
      <c r="W302" s="41"/>
      <c r="X302" s="41"/>
      <c r="Y302" s="41"/>
      <c r="AA302" s="1266"/>
      <c r="AB302" s="1266"/>
      <c r="AC302" s="1266"/>
      <c r="AD302" s="1266"/>
      <c r="AE302" s="1266"/>
      <c r="AF302" s="1266"/>
      <c r="AG302" s="5"/>
      <c r="AH302" s="5"/>
      <c r="AI302" s="44"/>
      <c r="AJ302" s="44"/>
      <c r="AK302" s="44"/>
      <c r="BA302" s="43"/>
    </row>
    <row r="303" spans="2:53" ht="12.9" customHeight="1">
      <c r="B303" s="41" t="s">
        <v>701</v>
      </c>
      <c r="C303" s="41"/>
      <c r="D303" s="41"/>
      <c r="E303" s="41"/>
      <c r="F303" s="41"/>
      <c r="G303" s="41"/>
      <c r="H303" s="1260" t="s">
        <v>2345</v>
      </c>
      <c r="I303" s="1260"/>
      <c r="J303" s="1260"/>
      <c r="K303" s="1260"/>
      <c r="L303" s="1260"/>
      <c r="M303" s="1260"/>
      <c r="N303" s="1109"/>
      <c r="O303" s="1109"/>
      <c r="P303" s="1109"/>
      <c r="Q303" s="1109"/>
      <c r="R303" s="1109"/>
      <c r="S303" s="41"/>
      <c r="T303" s="41" t="s">
        <v>701</v>
      </c>
      <c r="V303" s="41"/>
      <c r="W303" s="41"/>
      <c r="X303" s="41"/>
      <c r="Y303" s="41"/>
      <c r="AA303" s="1260"/>
      <c r="AB303" s="1260"/>
      <c r="AC303" s="1260"/>
      <c r="AD303" s="1260"/>
      <c r="AE303" s="1260"/>
      <c r="AF303" s="1260"/>
      <c r="AG303" s="1109"/>
      <c r="AH303" s="1109"/>
      <c r="AI303" s="1109"/>
      <c r="AJ303" s="1109"/>
      <c r="AK303" s="1109"/>
      <c r="BA303" s="43"/>
    </row>
    <row r="304" spans="2:53" ht="12.9" customHeight="1">
      <c r="BA304" s="43"/>
    </row>
    <row r="305" spans="2:53" ht="12.9" customHeight="1">
      <c r="B305" s="41" t="s">
        <v>702</v>
      </c>
      <c r="C305" s="41"/>
      <c r="D305" s="41"/>
      <c r="E305" s="41"/>
      <c r="F305" s="41"/>
      <c r="H305" s="1109" t="s">
        <v>2341</v>
      </c>
      <c r="I305" s="1109"/>
      <c r="J305" s="1109"/>
      <c r="K305" s="1109"/>
      <c r="L305" s="1109"/>
      <c r="M305" s="1109"/>
      <c r="N305" s="1109"/>
      <c r="O305" s="1109"/>
      <c r="P305" s="1109"/>
      <c r="Q305" s="1109"/>
      <c r="R305" s="1109"/>
      <c r="T305" s="5" t="s">
        <v>1096</v>
      </c>
      <c r="V305" s="41"/>
      <c r="W305" s="41"/>
      <c r="X305" s="41"/>
      <c r="Y305" s="41"/>
      <c r="AA305" s="1109" t="s">
        <v>2340</v>
      </c>
      <c r="AB305" s="1109"/>
      <c r="AC305" s="1109"/>
      <c r="AD305" s="1109"/>
      <c r="AE305" s="1109"/>
      <c r="AF305" s="1109"/>
      <c r="AG305" s="1109"/>
      <c r="AH305" s="1109"/>
      <c r="AI305" s="1109"/>
      <c r="AJ305" s="1109"/>
      <c r="AK305" s="1109"/>
      <c r="BA305" s="43"/>
    </row>
    <row r="306" spans="2:53" ht="12.9" customHeight="1">
      <c r="B306" s="41" t="s">
        <v>698</v>
      </c>
      <c r="C306" s="41"/>
      <c r="D306" s="41"/>
      <c r="E306" s="41"/>
      <c r="F306" s="41"/>
      <c r="H306" s="1260" t="s">
        <v>2342</v>
      </c>
      <c r="I306" s="1260"/>
      <c r="J306" s="1260"/>
      <c r="K306" s="1260"/>
      <c r="L306" s="1260"/>
      <c r="M306" s="1260"/>
      <c r="N306" s="1260"/>
      <c r="O306" s="1260"/>
      <c r="P306" s="1260"/>
      <c r="Q306" s="1260"/>
      <c r="R306" s="1260"/>
      <c r="T306" s="41" t="s">
        <v>698</v>
      </c>
      <c r="V306" s="41"/>
      <c r="W306" s="41"/>
      <c r="X306" s="41"/>
      <c r="Y306" s="41"/>
      <c r="AA306" s="1260"/>
      <c r="AB306" s="1260"/>
      <c r="AC306" s="1260"/>
      <c r="AD306" s="1260"/>
      <c r="AE306" s="1260"/>
      <c r="AF306" s="1260"/>
      <c r="AG306" s="1260"/>
      <c r="AH306" s="1260"/>
      <c r="AI306" s="1260"/>
      <c r="AJ306" s="1260"/>
      <c r="AK306" s="1260"/>
      <c r="BA306" s="43"/>
    </row>
    <row r="307" spans="2:53" ht="12.9" customHeight="1">
      <c r="B307" s="41" t="s">
        <v>700</v>
      </c>
      <c r="C307" s="41"/>
      <c r="D307" s="41"/>
      <c r="E307" s="41"/>
      <c r="F307" s="41"/>
      <c r="H307" s="1260" t="s">
        <v>2343</v>
      </c>
      <c r="I307" s="1260"/>
      <c r="J307" s="1260"/>
      <c r="K307" s="1260"/>
      <c r="L307" s="1260"/>
      <c r="M307" s="1260"/>
      <c r="N307" s="1260"/>
      <c r="O307" s="1260"/>
      <c r="P307" s="1260"/>
      <c r="Q307" s="1260"/>
      <c r="R307" s="1260"/>
      <c r="T307" s="41" t="s">
        <v>699</v>
      </c>
      <c r="V307" s="41"/>
      <c r="W307" s="41"/>
      <c r="X307" s="41"/>
      <c r="Y307" s="41"/>
      <c r="AA307" s="1260"/>
      <c r="AB307" s="1260"/>
      <c r="AC307" s="1260"/>
      <c r="AD307" s="1260"/>
      <c r="AE307" s="1260"/>
      <c r="AF307" s="1260"/>
      <c r="AG307" s="1260"/>
      <c r="AH307" s="1260"/>
      <c r="AI307" s="1260"/>
      <c r="AJ307" s="1260"/>
      <c r="AK307" s="1260"/>
      <c r="BA307" s="43"/>
    </row>
    <row r="308" spans="2:53" ht="12.9" customHeight="1">
      <c r="B308" s="41" t="s">
        <v>373</v>
      </c>
      <c r="C308" s="41"/>
      <c r="D308" s="41"/>
      <c r="E308" s="41"/>
      <c r="F308" s="41"/>
      <c r="H308" s="1260" t="s">
        <v>2344</v>
      </c>
      <c r="I308" s="1260"/>
      <c r="J308" s="1260"/>
      <c r="K308" s="1260"/>
      <c r="L308" s="1260"/>
      <c r="M308" s="1260"/>
      <c r="N308" s="1260"/>
      <c r="O308" s="1260"/>
      <c r="P308" s="1260"/>
      <c r="Q308" s="1260"/>
      <c r="R308" s="1260"/>
      <c r="T308" s="41" t="s">
        <v>373</v>
      </c>
      <c r="V308" s="41"/>
      <c r="W308" s="41"/>
      <c r="X308" s="41"/>
      <c r="Y308" s="41"/>
      <c r="AA308" s="1260"/>
      <c r="AB308" s="1260"/>
      <c r="AC308" s="1260"/>
      <c r="AD308" s="1260"/>
      <c r="AE308" s="1260"/>
      <c r="AF308" s="1260"/>
      <c r="AG308" s="1260"/>
      <c r="AH308" s="1260"/>
      <c r="AI308" s="1260"/>
      <c r="AJ308" s="1260"/>
      <c r="AK308" s="1260"/>
      <c r="BA308" s="43"/>
    </row>
    <row r="309" spans="2:53" ht="12.9" customHeight="1">
      <c r="B309" s="41" t="s">
        <v>374</v>
      </c>
      <c r="C309" s="41"/>
      <c r="D309" s="41"/>
      <c r="E309" s="41"/>
      <c r="F309" s="41"/>
      <c r="G309" s="41"/>
      <c r="H309" s="1408" t="s">
        <v>2346</v>
      </c>
      <c r="I309" s="1408"/>
      <c r="J309" s="1408"/>
      <c r="K309" s="1408"/>
      <c r="L309" s="1408"/>
      <c r="M309" s="1408"/>
      <c r="N309" s="5" t="s">
        <v>817</v>
      </c>
      <c r="O309" s="5"/>
      <c r="P309" s="1396">
        <v>181</v>
      </c>
      <c r="Q309" s="1396"/>
      <c r="R309" s="1396"/>
      <c r="S309" s="41"/>
      <c r="T309" s="41" t="s">
        <v>374</v>
      </c>
      <c r="V309" s="41"/>
      <c r="W309" s="41"/>
      <c r="X309" s="41"/>
      <c r="Y309" s="41"/>
      <c r="AA309" s="1408"/>
      <c r="AB309" s="1408"/>
      <c r="AC309" s="1408"/>
      <c r="AD309" s="1408"/>
      <c r="AE309" s="1408"/>
      <c r="AF309" s="1408"/>
      <c r="AG309" s="5" t="s">
        <v>817</v>
      </c>
      <c r="AH309" s="5"/>
      <c r="AI309" s="1396"/>
      <c r="AJ309" s="1396"/>
      <c r="AK309" s="1396"/>
      <c r="BA309" s="43"/>
    </row>
    <row r="310" spans="2:53" ht="12.9" customHeight="1">
      <c r="B310" s="41" t="s">
        <v>375</v>
      </c>
      <c r="C310" s="41"/>
      <c r="D310" s="41"/>
      <c r="E310" s="41"/>
      <c r="F310" s="41"/>
      <c r="G310" s="41"/>
      <c r="H310" s="1266" t="s">
        <v>2347</v>
      </c>
      <c r="I310" s="1266"/>
      <c r="J310" s="1266"/>
      <c r="K310" s="1266"/>
      <c r="L310" s="1266"/>
      <c r="M310" s="1266"/>
      <c r="N310" s="5"/>
      <c r="O310" s="5"/>
      <c r="P310" s="44"/>
      <c r="Q310" s="44"/>
      <c r="R310" s="44"/>
      <c r="S310" s="41"/>
      <c r="T310" s="41" t="s">
        <v>375</v>
      </c>
      <c r="V310" s="41"/>
      <c r="W310" s="41"/>
      <c r="X310" s="41"/>
      <c r="Y310" s="41"/>
      <c r="AA310" s="1266"/>
      <c r="AB310" s="1266"/>
      <c r="AC310" s="1266"/>
      <c r="AD310" s="1266"/>
      <c r="AE310" s="1266"/>
      <c r="AF310" s="1266"/>
      <c r="AG310" s="5"/>
      <c r="AH310" s="5"/>
      <c r="AI310" s="44"/>
      <c r="AJ310" s="44"/>
      <c r="AK310" s="44"/>
      <c r="BA310" s="43"/>
    </row>
    <row r="311" spans="2:53" ht="12.9" customHeight="1">
      <c r="B311" s="41" t="s">
        <v>701</v>
      </c>
      <c r="C311" s="41"/>
      <c r="D311" s="41"/>
      <c r="E311" s="41"/>
      <c r="F311" s="41"/>
      <c r="G311" s="41"/>
      <c r="H311" s="1260" t="s">
        <v>2345</v>
      </c>
      <c r="I311" s="1260"/>
      <c r="J311" s="1260"/>
      <c r="K311" s="1260"/>
      <c r="L311" s="1260"/>
      <c r="M311" s="1260"/>
      <c r="N311" s="1109"/>
      <c r="O311" s="1109"/>
      <c r="P311" s="1109"/>
      <c r="Q311" s="1109"/>
      <c r="R311" s="1109"/>
      <c r="S311" s="41"/>
      <c r="T311" s="41" t="s">
        <v>701</v>
      </c>
      <c r="V311" s="41"/>
      <c r="W311" s="41"/>
      <c r="X311" s="41"/>
      <c r="Y311" s="41"/>
      <c r="AA311" s="1260"/>
      <c r="AB311" s="1260"/>
      <c r="AC311" s="1260"/>
      <c r="AD311" s="1260"/>
      <c r="AE311" s="1260"/>
      <c r="AF311" s="1260"/>
      <c r="AG311" s="1109"/>
      <c r="AH311" s="1109"/>
      <c r="AI311" s="1109"/>
      <c r="AJ311" s="1109"/>
      <c r="AK311" s="1109"/>
      <c r="BA311" s="43"/>
    </row>
    <row r="312" spans="2:53" ht="12.9" customHeight="1">
      <c r="BA312" s="43"/>
    </row>
    <row r="313" spans="2:53" ht="12.9" customHeight="1">
      <c r="B313" s="5" t="s">
        <v>1137</v>
      </c>
      <c r="C313" s="41"/>
      <c r="D313" s="41"/>
      <c r="E313" s="41"/>
      <c r="F313" s="41"/>
      <c r="H313" s="1109" t="s">
        <v>2354</v>
      </c>
      <c r="I313" s="1109"/>
      <c r="J313" s="1109"/>
      <c r="K313" s="1109"/>
      <c r="L313" s="1109"/>
      <c r="M313" s="1109"/>
      <c r="N313" s="1109"/>
      <c r="O313" s="1109"/>
      <c r="P313" s="1109"/>
      <c r="Q313" s="1109"/>
      <c r="R313" s="1109"/>
      <c r="T313" s="41" t="s">
        <v>36</v>
      </c>
      <c r="V313" s="41"/>
      <c r="W313" s="41"/>
      <c r="X313" s="41"/>
      <c r="Y313" s="41"/>
      <c r="AA313" s="1105" t="s">
        <v>2467</v>
      </c>
      <c r="AB313" s="1109"/>
      <c r="AC313" s="1109"/>
      <c r="AD313" s="1109"/>
      <c r="AE313" s="1109"/>
      <c r="AF313" s="1109"/>
      <c r="AG313" s="1109"/>
      <c r="AH313" s="1109"/>
      <c r="AI313" s="1109"/>
      <c r="AJ313" s="1109"/>
      <c r="AK313" s="1109"/>
      <c r="BA313" s="43"/>
    </row>
    <row r="314" spans="2:53" ht="12.9" customHeight="1">
      <c r="B314" s="41" t="s">
        <v>698</v>
      </c>
      <c r="C314" s="41"/>
      <c r="D314" s="41"/>
      <c r="E314" s="41"/>
      <c r="F314" s="41"/>
      <c r="H314" s="1260" t="s">
        <v>2355</v>
      </c>
      <c r="I314" s="1260"/>
      <c r="J314" s="1260"/>
      <c r="K314" s="1260"/>
      <c r="L314" s="1260"/>
      <c r="M314" s="1260"/>
      <c r="N314" s="1260"/>
      <c r="O314" s="1260"/>
      <c r="P314" s="1260"/>
      <c r="Q314" s="1260"/>
      <c r="R314" s="1260"/>
      <c r="T314" s="41" t="s">
        <v>698</v>
      </c>
      <c r="V314" s="41"/>
      <c r="W314" s="41"/>
      <c r="X314" s="41"/>
      <c r="Y314" s="41"/>
      <c r="AA314" s="1403" t="s">
        <v>2468</v>
      </c>
      <c r="AB314" s="1260"/>
      <c r="AC314" s="1260"/>
      <c r="AD314" s="1260"/>
      <c r="AE314" s="1260"/>
      <c r="AF314" s="1260"/>
      <c r="AG314" s="1260"/>
      <c r="AH314" s="1260"/>
      <c r="AI314" s="1260"/>
      <c r="AJ314" s="1260"/>
      <c r="AK314" s="1260"/>
      <c r="BA314" s="43"/>
    </row>
    <row r="315" spans="2:53" ht="12.9" customHeight="1">
      <c r="B315" s="41" t="s">
        <v>700</v>
      </c>
      <c r="C315" s="41"/>
      <c r="D315" s="41"/>
      <c r="E315" s="41"/>
      <c r="F315" s="41"/>
      <c r="H315" s="1260" t="s">
        <v>2356</v>
      </c>
      <c r="I315" s="1260"/>
      <c r="J315" s="1260"/>
      <c r="K315" s="1260"/>
      <c r="L315" s="1260"/>
      <c r="M315" s="1260"/>
      <c r="N315" s="1260"/>
      <c r="O315" s="1260"/>
      <c r="P315" s="1260"/>
      <c r="Q315" s="1260"/>
      <c r="R315" s="1260"/>
      <c r="T315" s="41" t="s">
        <v>699</v>
      </c>
      <c r="V315" s="41"/>
      <c r="W315" s="41"/>
      <c r="X315" s="41"/>
      <c r="Y315" s="41"/>
      <c r="AA315" s="1403" t="s">
        <v>2469</v>
      </c>
      <c r="AB315" s="1260"/>
      <c r="AC315" s="1260"/>
      <c r="AD315" s="1260"/>
      <c r="AE315" s="1260"/>
      <c r="AF315" s="1260"/>
      <c r="AG315" s="1260"/>
      <c r="AH315" s="1260"/>
      <c r="AI315" s="1260"/>
      <c r="AJ315" s="1260"/>
      <c r="AK315" s="1260"/>
      <c r="BA315" s="43"/>
    </row>
    <row r="316" spans="2:53" ht="12.9" customHeight="1">
      <c r="B316" s="41" t="s">
        <v>373</v>
      </c>
      <c r="C316" s="41"/>
      <c r="D316" s="41"/>
      <c r="E316" s="41"/>
      <c r="F316" s="41"/>
      <c r="H316" s="1260" t="s">
        <v>2357</v>
      </c>
      <c r="I316" s="1260"/>
      <c r="J316" s="1260"/>
      <c r="K316" s="1260"/>
      <c r="L316" s="1260"/>
      <c r="M316" s="1260"/>
      <c r="N316" s="1260"/>
      <c r="O316" s="1260"/>
      <c r="P316" s="1260"/>
      <c r="Q316" s="1260"/>
      <c r="R316" s="1260"/>
      <c r="T316" s="41" t="s">
        <v>373</v>
      </c>
      <c r="V316" s="41"/>
      <c r="W316" s="41"/>
      <c r="X316" s="41"/>
      <c r="Y316" s="41"/>
      <c r="AA316" s="1403" t="s">
        <v>2470</v>
      </c>
      <c r="AB316" s="1260"/>
      <c r="AC316" s="1260"/>
      <c r="AD316" s="1260"/>
      <c r="AE316" s="1260"/>
      <c r="AF316" s="1260"/>
      <c r="AG316" s="1260"/>
      <c r="AH316" s="1260"/>
      <c r="AI316" s="1260"/>
      <c r="AJ316" s="1260"/>
      <c r="AK316" s="1260"/>
      <c r="BA316" s="43"/>
    </row>
    <row r="317" spans="2:53" ht="12.9" customHeight="1">
      <c r="B317" s="41" t="s">
        <v>374</v>
      </c>
      <c r="C317" s="41"/>
      <c r="D317" s="41"/>
      <c r="E317" s="41"/>
      <c r="F317" s="41"/>
      <c r="G317" s="41"/>
      <c r="H317" s="1407" t="s">
        <v>2359</v>
      </c>
      <c r="I317" s="1408"/>
      <c r="J317" s="1408"/>
      <c r="K317" s="1408"/>
      <c r="L317" s="1408"/>
      <c r="M317" s="1408"/>
      <c r="N317" s="5" t="s">
        <v>817</v>
      </c>
      <c r="O317" s="5"/>
      <c r="P317" s="1396"/>
      <c r="Q317" s="1396"/>
      <c r="R317" s="1396"/>
      <c r="S317" s="41"/>
      <c r="T317" s="41" t="s">
        <v>374</v>
      </c>
      <c r="V317" s="41"/>
      <c r="W317" s="41"/>
      <c r="X317" s="41"/>
      <c r="Y317" s="41"/>
      <c r="AA317" s="1407" t="s">
        <v>2471</v>
      </c>
      <c r="AB317" s="1408"/>
      <c r="AC317" s="1408"/>
      <c r="AD317" s="1408"/>
      <c r="AE317" s="1408"/>
      <c r="AF317" s="1408"/>
      <c r="AG317" s="5" t="s">
        <v>817</v>
      </c>
      <c r="AH317" s="5"/>
      <c r="AI317" s="1396"/>
      <c r="AJ317" s="1396"/>
      <c r="AK317" s="1396"/>
      <c r="BA317" s="43"/>
    </row>
    <row r="318" spans="2:53" ht="12.9" customHeight="1">
      <c r="B318" s="41" t="s">
        <v>375</v>
      </c>
      <c r="C318" s="41"/>
      <c r="D318" s="41"/>
      <c r="E318" s="41"/>
      <c r="F318" s="41"/>
      <c r="G318" s="41"/>
      <c r="H318" s="1375" t="s">
        <v>2360</v>
      </c>
      <c r="I318" s="1266"/>
      <c r="J318" s="1266"/>
      <c r="K318" s="1266"/>
      <c r="L318" s="1266"/>
      <c r="M318" s="1266"/>
      <c r="N318" s="5"/>
      <c r="O318" s="5"/>
      <c r="P318" s="44"/>
      <c r="Q318" s="44"/>
      <c r="R318" s="44"/>
      <c r="S318" s="41"/>
      <c r="T318" s="41" t="s">
        <v>375</v>
      </c>
      <c r="V318" s="41"/>
      <c r="W318" s="41"/>
      <c r="X318" s="41"/>
      <c r="Y318" s="41"/>
      <c r="AA318" s="1375" t="s">
        <v>123</v>
      </c>
      <c r="AB318" s="1266"/>
      <c r="AC318" s="1266"/>
      <c r="AD318" s="1266"/>
      <c r="AE318" s="1266"/>
      <c r="AF318" s="1266"/>
      <c r="AG318" s="5"/>
      <c r="AH318" s="5"/>
      <c r="AI318" s="44"/>
      <c r="AJ318" s="44"/>
      <c r="AK318" s="44"/>
      <c r="BA318" s="43"/>
    </row>
    <row r="319" spans="2:53" ht="12.9" customHeight="1">
      <c r="B319" s="41" t="s">
        <v>701</v>
      </c>
      <c r="C319" s="41"/>
      <c r="D319" s="41"/>
      <c r="E319" s="41"/>
      <c r="F319" s="41"/>
      <c r="G319" s="41"/>
      <c r="H319" s="1260" t="s">
        <v>2358</v>
      </c>
      <c r="I319" s="1260"/>
      <c r="J319" s="1260"/>
      <c r="K319" s="1260"/>
      <c r="L319" s="1260"/>
      <c r="M319" s="1260"/>
      <c r="N319" s="1109"/>
      <c r="O319" s="1109"/>
      <c r="P319" s="1109"/>
      <c r="Q319" s="1109"/>
      <c r="R319" s="1109"/>
      <c r="S319" s="41"/>
      <c r="T319" s="41" t="s">
        <v>701</v>
      </c>
      <c r="V319" s="41"/>
      <c r="W319" s="41"/>
      <c r="X319" s="41"/>
      <c r="Y319" s="41"/>
      <c r="AA319" s="1403" t="s">
        <v>2472</v>
      </c>
      <c r="AB319" s="1260"/>
      <c r="AC319" s="1260"/>
      <c r="AD319" s="1260"/>
      <c r="AE319" s="1260"/>
      <c r="AF319" s="1260"/>
      <c r="AG319" s="1109"/>
      <c r="AH319" s="1109"/>
      <c r="AI319" s="1109"/>
      <c r="AJ319" s="1109"/>
      <c r="AK319" s="110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1138</v>
      </c>
      <c r="C321" s="41"/>
      <c r="D321" s="41"/>
      <c r="E321" s="41"/>
      <c r="F321" s="41"/>
      <c r="H321" s="1109" t="s">
        <v>2361</v>
      </c>
      <c r="I321" s="1109"/>
      <c r="J321" s="1109"/>
      <c r="K321" s="1109"/>
      <c r="L321" s="1109"/>
      <c r="M321" s="1109"/>
      <c r="N321" s="1109"/>
      <c r="O321" s="1109"/>
      <c r="P321" s="1109"/>
      <c r="Q321" s="1109"/>
      <c r="R321" s="1109"/>
      <c r="T321" s="41" t="s">
        <v>37</v>
      </c>
      <c r="V321" s="41"/>
      <c r="W321" s="41"/>
      <c r="X321" s="41"/>
      <c r="Y321" s="41"/>
      <c r="AA321" s="1109" t="s">
        <v>2368</v>
      </c>
      <c r="AB321" s="1109"/>
      <c r="AC321" s="1109"/>
      <c r="AD321" s="1109"/>
      <c r="AE321" s="1109"/>
      <c r="AF321" s="1109"/>
      <c r="AG321" s="1109"/>
      <c r="AH321" s="1109"/>
      <c r="AI321" s="1109"/>
      <c r="AJ321" s="1109"/>
      <c r="AK321" s="1109"/>
      <c r="BA321" s="43"/>
    </row>
    <row r="322" spans="2:53" ht="12.9" customHeight="1">
      <c r="B322" s="41" t="s">
        <v>698</v>
      </c>
      <c r="C322" s="41"/>
      <c r="D322" s="41"/>
      <c r="E322" s="41"/>
      <c r="F322" s="41"/>
      <c r="H322" s="1260" t="s">
        <v>2362</v>
      </c>
      <c r="I322" s="1260"/>
      <c r="J322" s="1260"/>
      <c r="K322" s="1260"/>
      <c r="L322" s="1260"/>
      <c r="M322" s="1260"/>
      <c r="N322" s="1260"/>
      <c r="O322" s="1260"/>
      <c r="P322" s="1260"/>
      <c r="Q322" s="1260"/>
      <c r="R322" s="1260"/>
      <c r="T322" s="41" t="s">
        <v>698</v>
      </c>
      <c r="V322" s="41"/>
      <c r="W322" s="41"/>
      <c r="X322" s="41"/>
      <c r="Y322" s="41"/>
      <c r="AA322" s="1260" t="s">
        <v>2369</v>
      </c>
      <c r="AB322" s="1260"/>
      <c r="AC322" s="1260"/>
      <c r="AD322" s="1260"/>
      <c r="AE322" s="1260"/>
      <c r="AF322" s="1260"/>
      <c r="AG322" s="1260"/>
      <c r="AH322" s="1260"/>
      <c r="AI322" s="1260"/>
      <c r="AJ322" s="1260"/>
      <c r="AK322" s="1260"/>
      <c r="BA322" s="43"/>
    </row>
    <row r="323" spans="2:53" ht="12.9" customHeight="1">
      <c r="B323" s="41" t="s">
        <v>700</v>
      </c>
      <c r="C323" s="41"/>
      <c r="D323" s="41"/>
      <c r="E323" s="41"/>
      <c r="F323" s="41"/>
      <c r="H323" s="1260" t="s">
        <v>2363</v>
      </c>
      <c r="I323" s="1260"/>
      <c r="J323" s="1260"/>
      <c r="K323" s="1260"/>
      <c r="L323" s="1260"/>
      <c r="M323" s="1260"/>
      <c r="N323" s="1260"/>
      <c r="O323" s="1260"/>
      <c r="P323" s="1260"/>
      <c r="Q323" s="1260"/>
      <c r="R323" s="1260"/>
      <c r="T323" s="41" t="s">
        <v>699</v>
      </c>
      <c r="V323" s="41"/>
      <c r="W323" s="41"/>
      <c r="X323" s="41"/>
      <c r="Y323" s="41"/>
      <c r="AA323" s="1260" t="s">
        <v>2370</v>
      </c>
      <c r="AB323" s="1260"/>
      <c r="AC323" s="1260"/>
      <c r="AD323" s="1260"/>
      <c r="AE323" s="1260"/>
      <c r="AF323" s="1260"/>
      <c r="AG323" s="1260"/>
      <c r="AH323" s="1260"/>
      <c r="AI323" s="1260"/>
      <c r="AJ323" s="1260"/>
      <c r="AK323" s="1260"/>
      <c r="BA323" s="43"/>
    </row>
    <row r="324" spans="2:53" ht="12.9" customHeight="1">
      <c r="B324" s="41" t="s">
        <v>373</v>
      </c>
      <c r="C324" s="41"/>
      <c r="D324" s="41"/>
      <c r="E324" s="41"/>
      <c r="F324" s="41"/>
      <c r="H324" s="1260" t="s">
        <v>2364</v>
      </c>
      <c r="I324" s="1260"/>
      <c r="J324" s="1260"/>
      <c r="K324" s="1260"/>
      <c r="L324" s="1260"/>
      <c r="M324" s="1260"/>
      <c r="N324" s="1260"/>
      <c r="O324" s="1260"/>
      <c r="P324" s="1260"/>
      <c r="Q324" s="1260"/>
      <c r="R324" s="1260"/>
      <c r="T324" s="41" t="s">
        <v>373</v>
      </c>
      <c r="V324" s="41"/>
      <c r="W324" s="41"/>
      <c r="X324" s="41"/>
      <c r="Y324" s="41"/>
      <c r="AA324" s="1260" t="s">
        <v>2371</v>
      </c>
      <c r="AB324" s="1260"/>
      <c r="AC324" s="1260"/>
      <c r="AD324" s="1260"/>
      <c r="AE324" s="1260"/>
      <c r="AF324" s="1260"/>
      <c r="AG324" s="1260"/>
      <c r="AH324" s="1260"/>
      <c r="AI324" s="1260"/>
      <c r="AJ324" s="1260"/>
      <c r="AK324" s="1260"/>
      <c r="BA324" s="43"/>
    </row>
    <row r="325" spans="2:53" ht="12.9" customHeight="1">
      <c r="B325" s="41" t="s">
        <v>374</v>
      </c>
      <c r="C325" s="41"/>
      <c r="D325" s="41"/>
      <c r="E325" s="41"/>
      <c r="F325" s="41"/>
      <c r="G325" s="41"/>
      <c r="H325" s="1407" t="s">
        <v>2366</v>
      </c>
      <c r="I325" s="1408"/>
      <c r="J325" s="1408"/>
      <c r="K325" s="1408"/>
      <c r="L325" s="1408"/>
      <c r="M325" s="1408"/>
      <c r="N325" s="5" t="s">
        <v>817</v>
      </c>
      <c r="O325" s="5"/>
      <c r="P325" s="1396"/>
      <c r="Q325" s="1396"/>
      <c r="R325" s="1396"/>
      <c r="S325" s="41"/>
      <c r="T325" s="41" t="s">
        <v>374</v>
      </c>
      <c r="V325" s="41"/>
      <c r="W325" s="41"/>
      <c r="X325" s="41"/>
      <c r="Y325" s="41"/>
      <c r="AA325" s="1407" t="s">
        <v>2378</v>
      </c>
      <c r="AB325" s="1408"/>
      <c r="AC325" s="1408"/>
      <c r="AD325" s="1408"/>
      <c r="AE325" s="1408"/>
      <c r="AF325" s="1408"/>
      <c r="AG325" s="5" t="s">
        <v>817</v>
      </c>
      <c r="AH325" s="5"/>
      <c r="AI325" s="1396"/>
      <c r="AJ325" s="1396"/>
      <c r="AK325" s="1396"/>
      <c r="BA325" s="43"/>
    </row>
    <row r="326" spans="2:53" ht="12.9" customHeight="1">
      <c r="B326" s="41" t="s">
        <v>375</v>
      </c>
      <c r="C326" s="41"/>
      <c r="D326" s="41"/>
      <c r="E326" s="41"/>
      <c r="F326" s="41"/>
      <c r="G326" s="41"/>
      <c r="H326" s="1375" t="s">
        <v>2367</v>
      </c>
      <c r="I326" s="1266"/>
      <c r="J326" s="1266"/>
      <c r="K326" s="1266"/>
      <c r="L326" s="1266"/>
      <c r="M326" s="1266"/>
      <c r="N326" s="5"/>
      <c r="O326" s="5"/>
      <c r="P326" s="44"/>
      <c r="Q326" s="44"/>
      <c r="R326" s="44"/>
      <c r="S326" s="41"/>
      <c r="T326" s="41" t="s">
        <v>375</v>
      </c>
      <c r="V326" s="41"/>
      <c r="W326" s="41"/>
      <c r="X326" s="41"/>
      <c r="Y326" s="41"/>
      <c r="AA326" s="1266" t="s">
        <v>123</v>
      </c>
      <c r="AB326" s="1266"/>
      <c r="AC326" s="1266"/>
      <c r="AD326" s="1266"/>
      <c r="AE326" s="1266"/>
      <c r="AF326" s="1266"/>
      <c r="AG326" s="5"/>
      <c r="AH326" s="5"/>
      <c r="AI326" s="44"/>
      <c r="AJ326" s="44"/>
      <c r="AK326" s="44"/>
      <c r="BA326" s="43"/>
    </row>
    <row r="327" spans="2:53" ht="12.9" customHeight="1">
      <c r="B327" s="41" t="s">
        <v>701</v>
      </c>
      <c r="C327" s="41"/>
      <c r="D327" s="41"/>
      <c r="E327" s="41"/>
      <c r="F327" s="41"/>
      <c r="G327" s="41"/>
      <c r="H327" s="1260" t="s">
        <v>2365</v>
      </c>
      <c r="I327" s="1260"/>
      <c r="J327" s="1260"/>
      <c r="K327" s="1260"/>
      <c r="L327" s="1260"/>
      <c r="M327" s="1260"/>
      <c r="N327" s="1109"/>
      <c r="O327" s="1109"/>
      <c r="P327" s="1109"/>
      <c r="Q327" s="1109"/>
      <c r="R327" s="1109"/>
      <c r="S327" s="41"/>
      <c r="T327" s="41" t="s">
        <v>701</v>
      </c>
      <c r="V327" s="41"/>
      <c r="W327" s="41"/>
      <c r="X327" s="41"/>
      <c r="Y327" s="41"/>
      <c r="AA327" s="1260" t="s">
        <v>2372</v>
      </c>
      <c r="AB327" s="1260"/>
      <c r="AC327" s="1260"/>
      <c r="AD327" s="1260"/>
      <c r="AE327" s="1260"/>
      <c r="AF327" s="1260"/>
      <c r="AG327" s="1109"/>
      <c r="AH327" s="1109"/>
      <c r="AI327" s="1109"/>
      <c r="AJ327" s="1109"/>
      <c r="AK327" s="110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9" t="s">
        <v>2373</v>
      </c>
      <c r="I329" s="1109"/>
      <c r="J329" s="1109"/>
      <c r="K329" s="1109"/>
      <c r="L329" s="1109"/>
      <c r="M329" s="1109"/>
      <c r="N329" s="1109"/>
      <c r="O329" s="1109"/>
      <c r="P329" s="1109"/>
      <c r="Q329" s="1109"/>
      <c r="R329" s="1109"/>
      <c r="T329" s="5" t="s">
        <v>1097</v>
      </c>
      <c r="V329" s="41"/>
      <c r="W329" s="41"/>
      <c r="X329" s="41"/>
      <c r="Y329" s="41"/>
      <c r="AA329" s="1105" t="s">
        <v>2497</v>
      </c>
      <c r="AB329" s="1109"/>
      <c r="AC329" s="1109"/>
      <c r="AD329" s="1109"/>
      <c r="AE329" s="1109"/>
      <c r="AF329" s="1109"/>
      <c r="AG329" s="1109"/>
      <c r="AH329" s="1109"/>
      <c r="AI329" s="1109"/>
      <c r="AJ329" s="1109"/>
      <c r="AK329" s="1109"/>
      <c r="BA329" s="43"/>
    </row>
    <row r="330" spans="2:53" ht="12.9" customHeight="1">
      <c r="B330" s="41" t="s">
        <v>698</v>
      </c>
      <c r="C330" s="41"/>
      <c r="D330" s="41"/>
      <c r="E330" s="41"/>
      <c r="F330" s="41"/>
      <c r="H330" s="1260" t="s">
        <v>2374</v>
      </c>
      <c r="I330" s="1260"/>
      <c r="J330" s="1260"/>
      <c r="K330" s="1260"/>
      <c r="L330" s="1260"/>
      <c r="M330" s="1260"/>
      <c r="N330" s="1260"/>
      <c r="O330" s="1260"/>
      <c r="P330" s="1260"/>
      <c r="Q330" s="1260"/>
      <c r="R330" s="1260"/>
      <c r="T330" s="41" t="s">
        <v>698</v>
      </c>
      <c r="V330" s="41"/>
      <c r="W330" s="41"/>
      <c r="X330" s="41"/>
      <c r="Y330" s="41"/>
      <c r="AA330" s="1403" t="s">
        <v>2473</v>
      </c>
      <c r="AB330" s="1260"/>
      <c r="AC330" s="1260"/>
      <c r="AD330" s="1260"/>
      <c r="AE330" s="1260"/>
      <c r="AF330" s="1260"/>
      <c r="AG330" s="1260"/>
      <c r="AH330" s="1260"/>
      <c r="AI330" s="1260"/>
      <c r="AJ330" s="1260"/>
      <c r="AK330" s="1260"/>
      <c r="BA330" s="43"/>
    </row>
    <row r="331" spans="2:53" ht="12.9" customHeight="1">
      <c r="B331" s="41" t="s">
        <v>700</v>
      </c>
      <c r="C331" s="41"/>
      <c r="D331" s="41"/>
      <c r="E331" s="41"/>
      <c r="F331" s="41"/>
      <c r="G331" s="41"/>
      <c r="H331" s="1260" t="s">
        <v>2375</v>
      </c>
      <c r="I331" s="1260"/>
      <c r="J331" s="1260"/>
      <c r="K331" s="1260"/>
      <c r="L331" s="1260"/>
      <c r="M331" s="1260"/>
      <c r="N331" s="1260"/>
      <c r="O331" s="1260"/>
      <c r="P331" s="1260"/>
      <c r="Q331" s="1260"/>
      <c r="R331" s="1260"/>
      <c r="T331" s="41" t="s">
        <v>699</v>
      </c>
      <c r="V331" s="41"/>
      <c r="W331" s="41"/>
      <c r="X331" s="41"/>
      <c r="Y331" s="41"/>
      <c r="AA331" s="1403" t="s">
        <v>2474</v>
      </c>
      <c r="AB331" s="1260"/>
      <c r="AC331" s="1260"/>
      <c r="AD331" s="1260"/>
      <c r="AE331" s="1260"/>
      <c r="AF331" s="1260"/>
      <c r="AG331" s="1260"/>
      <c r="AH331" s="1260"/>
      <c r="AI331" s="1260"/>
      <c r="AJ331" s="1260"/>
      <c r="AK331" s="1260"/>
      <c r="BA331" s="43"/>
    </row>
    <row r="332" spans="2:53" ht="12.9" customHeight="1">
      <c r="B332" s="41" t="s">
        <v>373</v>
      </c>
      <c r="C332" s="41"/>
      <c r="D332" s="41"/>
      <c r="E332" s="41"/>
      <c r="F332" s="41"/>
      <c r="H332" s="1260" t="s">
        <v>2376</v>
      </c>
      <c r="I332" s="1260"/>
      <c r="J332" s="1260"/>
      <c r="K332" s="1260"/>
      <c r="L332" s="1260"/>
      <c r="M332" s="1260"/>
      <c r="N332" s="1260"/>
      <c r="O332" s="1260"/>
      <c r="P332" s="1260"/>
      <c r="Q332" s="1260"/>
      <c r="R332" s="1260"/>
      <c r="T332" s="41" t="s">
        <v>373</v>
      </c>
      <c r="V332" s="41"/>
      <c r="W332" s="41"/>
      <c r="X332" s="41"/>
      <c r="Y332" s="41"/>
      <c r="AA332" s="1403" t="s">
        <v>2475</v>
      </c>
      <c r="AB332" s="1260"/>
      <c r="AC332" s="1260"/>
      <c r="AD332" s="1260"/>
      <c r="AE332" s="1260"/>
      <c r="AF332" s="1260"/>
      <c r="AG332" s="1260"/>
      <c r="AH332" s="1260"/>
      <c r="AI332" s="1260"/>
      <c r="AJ332" s="1260"/>
      <c r="AK332" s="1260"/>
      <c r="BA332" s="43"/>
    </row>
    <row r="333" spans="2:53" ht="12.9" customHeight="1">
      <c r="B333" s="41" t="s">
        <v>374</v>
      </c>
      <c r="C333" s="41"/>
      <c r="D333" s="41"/>
      <c r="E333" s="41"/>
      <c r="F333" s="41"/>
      <c r="G333" s="41"/>
      <c r="H333" s="1407" t="s">
        <v>2379</v>
      </c>
      <c r="I333" s="1408"/>
      <c r="J333" s="1408"/>
      <c r="K333" s="1408"/>
      <c r="L333" s="1408"/>
      <c r="M333" s="1408"/>
      <c r="N333" s="5" t="s">
        <v>817</v>
      </c>
      <c r="O333" s="5"/>
      <c r="P333" s="1396"/>
      <c r="Q333" s="1396"/>
      <c r="R333" s="1396"/>
      <c r="T333" s="41" t="s">
        <v>374</v>
      </c>
      <c r="V333" s="41"/>
      <c r="W333" s="41"/>
      <c r="X333" s="41"/>
      <c r="Y333" s="41"/>
      <c r="AA333" s="1407" t="s">
        <v>2476</v>
      </c>
      <c r="AB333" s="1408"/>
      <c r="AC333" s="1408"/>
      <c r="AD333" s="1408"/>
      <c r="AE333" s="1408"/>
      <c r="AF333" s="1408"/>
      <c r="AG333" s="5" t="s">
        <v>817</v>
      </c>
      <c r="AH333" s="5"/>
      <c r="AI333" s="1396"/>
      <c r="AJ333" s="1396"/>
      <c r="AK333" s="1396"/>
      <c r="BA333" s="43"/>
    </row>
    <row r="334" spans="2:53" ht="12.9" customHeight="1">
      <c r="B334" s="41" t="s">
        <v>375</v>
      </c>
      <c r="C334" s="41"/>
      <c r="D334" s="41"/>
      <c r="E334" s="41"/>
      <c r="F334" s="41"/>
      <c r="G334" s="41"/>
      <c r="H334" s="1375" t="s">
        <v>2380</v>
      </c>
      <c r="I334" s="1266"/>
      <c r="J334" s="1266"/>
      <c r="K334" s="1266"/>
      <c r="L334" s="1266"/>
      <c r="M334" s="1266"/>
      <c r="N334" s="5"/>
      <c r="O334" s="5"/>
      <c r="P334" s="44"/>
      <c r="Q334" s="44"/>
      <c r="R334" s="44"/>
      <c r="T334" s="41" t="s">
        <v>375</v>
      </c>
      <c r="V334" s="41"/>
      <c r="W334" s="41"/>
      <c r="X334" s="41"/>
      <c r="Y334" s="41"/>
      <c r="AA334" s="1266" t="s">
        <v>123</v>
      </c>
      <c r="AB334" s="1266"/>
      <c r="AC334" s="1266"/>
      <c r="AD334" s="1266"/>
      <c r="AE334" s="1266"/>
      <c r="AF334" s="1266"/>
      <c r="AG334" s="5"/>
      <c r="AH334" s="5"/>
      <c r="AI334" s="44"/>
      <c r="AJ334" s="44"/>
      <c r="AK334" s="44"/>
      <c r="BA334" s="43"/>
    </row>
    <row r="335" spans="2:53" ht="12.9" customHeight="1">
      <c r="B335" s="41" t="s">
        <v>701</v>
      </c>
      <c r="C335" s="41"/>
      <c r="D335" s="41"/>
      <c r="E335" s="41"/>
      <c r="F335" s="41"/>
      <c r="G335" s="41"/>
      <c r="H335" s="1260" t="s">
        <v>2377</v>
      </c>
      <c r="I335" s="1260"/>
      <c r="J335" s="1260"/>
      <c r="K335" s="1260"/>
      <c r="L335" s="1260"/>
      <c r="M335" s="1260"/>
      <c r="N335" s="1109"/>
      <c r="O335" s="1109"/>
      <c r="P335" s="1109"/>
      <c r="Q335" s="1109"/>
      <c r="R335" s="1109"/>
      <c r="T335" s="41" t="s">
        <v>701</v>
      </c>
      <c r="V335" s="41"/>
      <c r="W335" s="41"/>
      <c r="X335" s="41"/>
      <c r="Y335" s="41"/>
      <c r="AA335" s="1403" t="s">
        <v>2477</v>
      </c>
      <c r="AB335" s="1260"/>
      <c r="AC335" s="1260"/>
      <c r="AD335" s="1260"/>
      <c r="AE335" s="1260"/>
      <c r="AF335" s="1260"/>
      <c r="AG335" s="1109"/>
      <c r="AH335" s="1109"/>
      <c r="AI335" s="1109"/>
      <c r="AJ335" s="1109"/>
      <c r="AK335" s="110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9" t="s">
        <v>2381</v>
      </c>
      <c r="I337" s="1109"/>
      <c r="J337" s="1109"/>
      <c r="K337" s="1109"/>
      <c r="L337" s="1109"/>
      <c r="M337" s="1109"/>
      <c r="N337" s="1109"/>
      <c r="O337" s="1109"/>
      <c r="P337" s="1109"/>
      <c r="Q337" s="1109"/>
      <c r="R337" s="1109"/>
      <c r="T337" s="361" t="s">
        <v>1136</v>
      </c>
      <c r="AA337" s="1109" t="s">
        <v>2381</v>
      </c>
      <c r="AB337" s="1109"/>
      <c r="AC337" s="1109"/>
      <c r="AD337" s="1109"/>
      <c r="AE337" s="1109"/>
      <c r="AF337" s="1109"/>
      <c r="AG337" s="1109"/>
      <c r="AH337" s="1109"/>
      <c r="AI337" s="1109"/>
      <c r="AJ337" s="1109"/>
      <c r="AK337" s="1109"/>
      <c r="BA337" s="43"/>
    </row>
    <row r="338" spans="1:53" ht="12.9" customHeight="1">
      <c r="B338" s="361" t="s">
        <v>698</v>
      </c>
      <c r="C338" s="361"/>
      <c r="D338" s="361"/>
      <c r="E338" s="361"/>
      <c r="F338" s="361"/>
      <c r="G338" s="361"/>
      <c r="H338" s="1260"/>
      <c r="I338" s="1260"/>
      <c r="J338" s="1260"/>
      <c r="K338" s="1260"/>
      <c r="L338" s="1260"/>
      <c r="M338" s="1260"/>
      <c r="N338" s="1260"/>
      <c r="O338" s="1260"/>
      <c r="P338" s="1260"/>
      <c r="Q338" s="1260"/>
      <c r="R338" s="1260"/>
      <c r="T338" s="41" t="s">
        <v>698</v>
      </c>
      <c r="AA338" s="1260"/>
      <c r="AB338" s="1260"/>
      <c r="AC338" s="1260"/>
      <c r="AD338" s="1260"/>
      <c r="AE338" s="1260"/>
      <c r="AF338" s="1260"/>
      <c r="AG338" s="1260"/>
      <c r="AH338" s="1260"/>
      <c r="AI338" s="1260"/>
      <c r="AJ338" s="1260"/>
      <c r="AK338" s="1260"/>
      <c r="BA338" s="43"/>
    </row>
    <row r="339" spans="1:53" ht="12.9" customHeight="1">
      <c r="B339" s="361" t="s">
        <v>700</v>
      </c>
      <c r="C339" s="361"/>
      <c r="D339" s="361"/>
      <c r="E339" s="361"/>
      <c r="F339" s="361"/>
      <c r="G339" s="361"/>
      <c r="H339" s="1260"/>
      <c r="I339" s="1260"/>
      <c r="J339" s="1260"/>
      <c r="K339" s="1260"/>
      <c r="L339" s="1260"/>
      <c r="M339" s="1260"/>
      <c r="N339" s="1260"/>
      <c r="O339" s="1260"/>
      <c r="P339" s="1260"/>
      <c r="Q339" s="1260"/>
      <c r="R339" s="1260"/>
      <c r="T339" s="41" t="s">
        <v>699</v>
      </c>
      <c r="AA339" s="1260"/>
      <c r="AB339" s="1260"/>
      <c r="AC339" s="1260"/>
      <c r="AD339" s="1260"/>
      <c r="AE339" s="1260"/>
      <c r="AF339" s="1260"/>
      <c r="AG339" s="1260"/>
      <c r="AH339" s="1260"/>
      <c r="AI339" s="1260"/>
      <c r="AJ339" s="1260"/>
      <c r="AK339" s="1260"/>
    </row>
    <row r="340" spans="1:53" ht="12.9" customHeight="1">
      <c r="B340" s="361" t="s">
        <v>373</v>
      </c>
      <c r="C340" s="361"/>
      <c r="D340" s="361"/>
      <c r="E340" s="361"/>
      <c r="F340" s="361"/>
      <c r="G340" s="361"/>
      <c r="H340" s="1260"/>
      <c r="I340" s="1260"/>
      <c r="J340" s="1260"/>
      <c r="K340" s="1260"/>
      <c r="L340" s="1260"/>
      <c r="M340" s="1260"/>
      <c r="N340" s="1260"/>
      <c r="O340" s="1260"/>
      <c r="P340" s="1260"/>
      <c r="Q340" s="1260"/>
      <c r="R340" s="1260"/>
      <c r="T340" s="41" t="s">
        <v>373</v>
      </c>
      <c r="AA340" s="1260"/>
      <c r="AB340" s="1260"/>
      <c r="AC340" s="1260"/>
      <c r="AD340" s="1260"/>
      <c r="AE340" s="1260"/>
      <c r="AF340" s="1260"/>
      <c r="AG340" s="1260"/>
      <c r="AH340" s="1260"/>
      <c r="AI340" s="1260"/>
      <c r="AJ340" s="1260"/>
      <c r="AK340" s="1260"/>
    </row>
    <row r="341" spans="1:53" ht="12.9" customHeight="1">
      <c r="B341" s="361" t="s">
        <v>374</v>
      </c>
      <c r="C341" s="361"/>
      <c r="D341" s="361"/>
      <c r="E341" s="361"/>
      <c r="F341" s="361"/>
      <c r="G341" s="361"/>
      <c r="H341" s="1408"/>
      <c r="I341" s="1408"/>
      <c r="J341" s="1408"/>
      <c r="K341" s="1408"/>
      <c r="L341" s="1408"/>
      <c r="M341" s="1408"/>
      <c r="N341" s="5" t="s">
        <v>817</v>
      </c>
      <c r="O341" s="5"/>
      <c r="P341" s="1396"/>
      <c r="Q341" s="1396"/>
      <c r="R341" s="1396"/>
      <c r="T341" s="41" t="s">
        <v>374</v>
      </c>
      <c r="AA341" s="1408"/>
      <c r="AB341" s="1408"/>
      <c r="AC341" s="1408"/>
      <c r="AD341" s="1408"/>
      <c r="AE341" s="1408"/>
      <c r="AF341" s="1408"/>
      <c r="AG341" s="5" t="s">
        <v>817</v>
      </c>
      <c r="AH341" s="5"/>
      <c r="AI341" s="1396"/>
      <c r="AJ341" s="1396"/>
      <c r="AK341" s="1396"/>
    </row>
    <row r="342" spans="1:53" ht="12.9" customHeight="1">
      <c r="B342" s="361" t="s">
        <v>375</v>
      </c>
      <c r="C342" s="361"/>
      <c r="D342" s="361"/>
      <c r="E342" s="361"/>
      <c r="F342" s="361"/>
      <c r="G342" s="361"/>
      <c r="H342" s="1266"/>
      <c r="I342" s="1266"/>
      <c r="J342" s="1266"/>
      <c r="K342" s="1266"/>
      <c r="L342" s="1266"/>
      <c r="M342" s="1266"/>
      <c r="N342" s="5"/>
      <c r="O342" s="5"/>
      <c r="P342" s="44"/>
      <c r="Q342" s="44"/>
      <c r="R342" s="44"/>
      <c r="T342" s="41" t="s">
        <v>375</v>
      </c>
      <c r="AA342" s="1266"/>
      <c r="AB342" s="1266"/>
      <c r="AC342" s="1266"/>
      <c r="AD342" s="1266"/>
      <c r="AE342" s="1266"/>
      <c r="AF342" s="1266"/>
      <c r="AG342" s="5"/>
      <c r="AH342" s="5"/>
      <c r="AI342" s="44"/>
      <c r="AJ342" s="44"/>
      <c r="AK342" s="44"/>
    </row>
    <row r="343" spans="1:53" ht="12.9" customHeight="1">
      <c r="B343" s="361" t="s">
        <v>701</v>
      </c>
      <c r="C343" s="361"/>
      <c r="D343" s="361"/>
      <c r="E343" s="361"/>
      <c r="F343" s="361"/>
      <c r="G343" s="361"/>
      <c r="H343" s="1260"/>
      <c r="I343" s="1260"/>
      <c r="J343" s="1260"/>
      <c r="K343" s="1260"/>
      <c r="L343" s="1260"/>
      <c r="M343" s="1260"/>
      <c r="N343" s="1109"/>
      <c r="O343" s="1109"/>
      <c r="P343" s="1109"/>
      <c r="Q343" s="1109"/>
      <c r="R343" s="1109"/>
      <c r="T343" s="41" t="s">
        <v>701</v>
      </c>
      <c r="AA343" s="1260"/>
      <c r="AB343" s="1260"/>
      <c r="AC343" s="1260"/>
      <c r="AD343" s="1260"/>
      <c r="AE343" s="1260"/>
      <c r="AF343" s="1260"/>
      <c r="AG343" s="1109"/>
      <c r="AH343" s="1109"/>
      <c r="AI343" s="1109"/>
      <c r="AJ343" s="1109"/>
      <c r="AK343" s="110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496</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00" t="s">
        <v>107</v>
      </c>
      <c r="N349" s="1100"/>
      <c r="P349" t="s">
        <v>1951</v>
      </c>
      <c r="AJ349" s="1100" t="s">
        <v>481</v>
      </c>
      <c r="AK349" s="1100"/>
    </row>
    <row r="350" spans="1:53" ht="12.9" customHeight="1">
      <c r="D350" s="41" t="s">
        <v>1879</v>
      </c>
      <c r="M350" s="1100" t="s">
        <v>123</v>
      </c>
      <c r="N350" s="1100"/>
      <c r="P350" s="41" t="s">
        <v>1952</v>
      </c>
      <c r="AJ350" s="1330">
        <v>0</v>
      </c>
      <c r="AK350" s="1330"/>
    </row>
    <row r="351" spans="1:53" ht="12.9" customHeight="1">
      <c r="D351" t="s">
        <v>312</v>
      </c>
      <c r="M351" s="1100" t="s">
        <v>123</v>
      </c>
      <c r="N351" s="1100"/>
      <c r="P351" t="s">
        <v>1953</v>
      </c>
      <c r="AJ351" s="1100" t="s">
        <v>481</v>
      </c>
      <c r="AK351" s="1100"/>
    </row>
    <row r="352" spans="1:53" ht="12.9" customHeight="1">
      <c r="D352" t="s">
        <v>313</v>
      </c>
      <c r="M352" s="1100" t="s">
        <v>123</v>
      </c>
      <c r="N352" s="1100"/>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00" t="s">
        <v>123</v>
      </c>
      <c r="O357" s="1100"/>
      <c r="P357" s="49"/>
      <c r="Q357" s="49"/>
      <c r="R357" s="49"/>
      <c r="S357" s="49"/>
      <c r="T357" s="49"/>
      <c r="U357" s="49"/>
      <c r="V357" s="49"/>
      <c r="W357" s="49"/>
      <c r="X357" s="49"/>
      <c r="Y357" s="49"/>
      <c r="Z357" s="49"/>
      <c r="AC357" s="49"/>
      <c r="AD357" s="49"/>
      <c r="AE357" s="49"/>
    </row>
    <row r="358" spans="1:57" ht="12.9" customHeight="1">
      <c r="E358" t="s">
        <v>732</v>
      </c>
      <c r="Y358" s="1100" t="s">
        <v>123</v>
      </c>
      <c r="Z358" s="1100"/>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00" t="s">
        <v>123</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314</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123</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481</v>
      </c>
    </row>
    <row r="363" spans="1:57" ht="12.9" customHeight="1">
      <c r="E363" s="5" t="s">
        <v>589</v>
      </c>
      <c r="F363" s="5"/>
      <c r="G363" s="5"/>
      <c r="H363" s="5"/>
      <c r="I363" s="5"/>
      <c r="J363" s="5"/>
      <c r="K363" s="5"/>
      <c r="L363" s="5"/>
      <c r="N363" s="1334" t="s">
        <v>123</v>
      </c>
      <c r="O363" s="1103"/>
      <c r="P363" s="1103"/>
      <c r="Q363" s="1103"/>
      <c r="R363" s="5"/>
      <c r="U363" s="5" t="s">
        <v>590</v>
      </c>
      <c r="V363" s="5"/>
      <c r="W363" s="5"/>
      <c r="X363" s="5"/>
      <c r="Y363" s="5"/>
      <c r="Z363" s="5"/>
      <c r="AA363" s="5"/>
      <c r="AB363" s="5"/>
      <c r="AC363" s="1334" t="s">
        <v>123</v>
      </c>
      <c r="AD363" s="1103"/>
      <c r="AE363" s="1103"/>
      <c r="AF363" s="1103"/>
      <c r="BE363" t="s">
        <v>107</v>
      </c>
    </row>
    <row r="364" spans="1:57" ht="12.9" customHeight="1">
      <c r="E364" s="5" t="s">
        <v>591</v>
      </c>
      <c r="F364" s="5"/>
      <c r="G364" s="5"/>
      <c r="H364" s="5"/>
      <c r="I364" s="5"/>
      <c r="J364" s="5"/>
      <c r="K364" s="5"/>
      <c r="L364" s="5"/>
      <c r="N364" s="1334" t="s">
        <v>123</v>
      </c>
      <c r="O364" s="1103"/>
      <c r="P364" s="1103"/>
      <c r="Q364" s="1103"/>
      <c r="R364" s="5"/>
      <c r="U364" s="5" t="s">
        <v>592</v>
      </c>
      <c r="V364" s="5"/>
      <c r="W364" s="5"/>
      <c r="X364" s="5"/>
      <c r="Y364" s="5"/>
      <c r="Z364" s="5"/>
      <c r="AA364" s="5"/>
      <c r="AB364" s="5"/>
      <c r="AC364" s="1334" t="s">
        <v>123</v>
      </c>
      <c r="AD364" s="1103"/>
      <c r="AE364" s="1103"/>
      <c r="AF364" s="1103"/>
    </row>
    <row r="365" spans="1:57" ht="12.9" customHeight="1">
      <c r="E365" s="5" t="s">
        <v>63</v>
      </c>
      <c r="F365" s="5"/>
      <c r="G365" s="5"/>
      <c r="H365" s="5"/>
      <c r="I365" s="5"/>
      <c r="J365" s="5"/>
      <c r="K365" s="5"/>
      <c r="L365" s="5"/>
      <c r="N365" s="1334" t="s">
        <v>123</v>
      </c>
      <c r="O365" s="1103"/>
      <c r="P365" s="1103"/>
      <c r="Q365" s="1103"/>
      <c r="R365" s="5"/>
      <c r="V365" s="5"/>
      <c r="W365" s="5"/>
      <c r="X365" s="5"/>
      <c r="Y365" s="5"/>
      <c r="Z365" s="5"/>
      <c r="AA365" s="5"/>
      <c r="AB365" s="5"/>
    </row>
    <row r="366" spans="1:57" ht="12.9" customHeight="1">
      <c r="E366" s="5" t="s">
        <v>64</v>
      </c>
      <c r="F366" s="5"/>
      <c r="G366" s="5"/>
      <c r="H366" s="5"/>
      <c r="I366" s="5"/>
      <c r="J366" s="5"/>
      <c r="K366" s="5"/>
      <c r="L366" s="5"/>
      <c r="N366" s="1475" t="s">
        <v>123</v>
      </c>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1225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2098</v>
      </c>
      <c r="F370" s="361"/>
      <c r="G370" s="361"/>
      <c r="H370" s="361"/>
      <c r="I370" s="361"/>
      <c r="J370" s="361"/>
      <c r="K370" s="361"/>
      <c r="L370" s="361"/>
      <c r="M370" s="361"/>
      <c r="O370" s="361"/>
      <c r="P370" s="939" t="s">
        <v>2094</v>
      </c>
      <c r="Q370" s="361" t="s">
        <v>230</v>
      </c>
      <c r="R370" s="361"/>
      <c r="S370" s="1308" t="s">
        <v>123</v>
      </c>
      <c r="T370" s="1309"/>
      <c r="U370" s="370" t="s">
        <v>231</v>
      </c>
      <c r="V370" s="1308" t="s">
        <v>123</v>
      </c>
      <c r="W370" s="1309"/>
      <c r="X370" s="361"/>
      <c r="Z370" s="361"/>
      <c r="AA370" s="939" t="s">
        <v>2094</v>
      </c>
      <c r="AB370" s="361" t="s">
        <v>230</v>
      </c>
      <c r="AC370" s="361"/>
      <c r="AD370" s="1308" t="s">
        <v>123</v>
      </c>
      <c r="AE370" s="1309"/>
      <c r="AF370" s="370" t="s">
        <v>231</v>
      </c>
      <c r="AG370" s="1308" t="s">
        <v>123</v>
      </c>
      <c r="AH370" s="1309"/>
    </row>
    <row r="371" spans="1:36" ht="12.9" customHeight="1">
      <c r="D371" s="361"/>
      <c r="E371" s="361" t="s">
        <v>1226</v>
      </c>
      <c r="F371" s="361"/>
      <c r="G371" s="361"/>
      <c r="H371" s="361"/>
      <c r="I371" s="361"/>
      <c r="J371" s="361"/>
      <c r="K371" s="361"/>
      <c r="L371" s="361"/>
      <c r="M371" s="361"/>
      <c r="N371" s="1308" t="s">
        <v>123</v>
      </c>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2099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123</v>
      </c>
      <c r="AH372" s="1333"/>
    </row>
    <row r="373" spans="1:36" ht="12.9" customHeight="1">
      <c r="D373" s="361"/>
      <c r="E373" s="361"/>
      <c r="F373" s="361"/>
      <c r="G373" s="361" t="s">
        <v>2100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123</v>
      </c>
      <c r="AH373" s="1333"/>
    </row>
    <row r="374" spans="1:36" ht="12.9" customHeight="1">
      <c r="D374" s="361"/>
      <c r="E374" s="361"/>
      <c r="F374" s="361"/>
      <c r="G374" s="505" t="s">
        <v>1276</v>
      </c>
      <c r="H374" s="361"/>
      <c r="I374" s="361"/>
      <c r="J374" s="361"/>
      <c r="K374" s="361"/>
      <c r="L374" s="361"/>
      <c r="M374" s="361"/>
      <c r="N374" s="361"/>
      <c r="O374" s="361"/>
      <c r="P374" s="361"/>
      <c r="Q374" s="361"/>
      <c r="R374" s="361"/>
      <c r="S374" s="361"/>
      <c r="T374" s="361"/>
      <c r="U374" s="361"/>
      <c r="V374" s="1333" t="s">
        <v>123</v>
      </c>
      <c r="W374" s="1333"/>
      <c r="X374" s="361"/>
      <c r="Y374" s="451" t="s">
        <v>1227</v>
      </c>
      <c r="Z374" s="361"/>
      <c r="AA374" s="361"/>
      <c r="AB374" s="361"/>
      <c r="AC374" s="361"/>
      <c r="AD374" s="361"/>
      <c r="AE374" s="361"/>
      <c r="AF374" s="361"/>
      <c r="AG374" s="361"/>
      <c r="AH374" s="361"/>
    </row>
    <row r="375" spans="1:36" ht="12.9" customHeight="1">
      <c r="D375" s="361"/>
      <c r="E375" s="361" t="s">
        <v>1228</v>
      </c>
      <c r="F375" s="361"/>
      <c r="G375" s="361"/>
      <c r="H375" s="361"/>
      <c r="I375" s="361"/>
      <c r="J375" s="361"/>
      <c r="K375" s="361"/>
      <c r="L375" s="361"/>
      <c r="M375" s="361"/>
      <c r="N375" s="361"/>
      <c r="O375" s="361"/>
      <c r="P375" s="361"/>
      <c r="Q375" s="361"/>
      <c r="R375" s="361"/>
      <c r="S375" s="361"/>
      <c r="T375" s="361"/>
      <c r="U375" s="361"/>
      <c r="V375" s="1333" t="s">
        <v>123</v>
      </c>
      <c r="W375" s="1333"/>
      <c r="X375" s="361"/>
      <c r="Y375" s="361" t="s">
        <v>1229</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9" t="s">
        <v>2319</v>
      </c>
      <c r="K378" s="1109"/>
      <c r="L378" s="1109"/>
      <c r="M378" s="1109"/>
      <c r="N378" s="1109"/>
      <c r="O378" s="1109"/>
      <c r="P378" s="1109"/>
      <c r="Q378" s="1109"/>
      <c r="R378" s="1109"/>
      <c r="S378" s="1109"/>
      <c r="T378" s="1109"/>
      <c r="U378" s="1109"/>
      <c r="V378" s="12" t="s">
        <v>709</v>
      </c>
      <c r="W378" s="12"/>
      <c r="X378" s="12"/>
      <c r="Y378" s="12"/>
      <c r="Z378" s="12"/>
      <c r="AA378" s="12"/>
      <c r="AB378" s="12"/>
      <c r="AC378" s="1109" t="s">
        <v>2382</v>
      </c>
      <c r="AD378" s="1109"/>
      <c r="AE378" s="1109"/>
      <c r="AF378" s="1109"/>
      <c r="AG378" s="1109"/>
      <c r="AH378" s="1109"/>
      <c r="AI378" s="1109"/>
      <c r="AJ378" s="1109"/>
    </row>
    <row r="379" spans="1:36" ht="12.9" customHeight="1">
      <c r="D379" s="41" t="s">
        <v>1954</v>
      </c>
      <c r="J379" s="1260" t="s">
        <v>2382</v>
      </c>
      <c r="K379" s="1260"/>
      <c r="L379" s="1260"/>
      <c r="M379" s="1260"/>
      <c r="N379" s="1260"/>
      <c r="O379" s="1260"/>
      <c r="P379" s="1260"/>
      <c r="Q379" s="1260"/>
      <c r="R379" s="1260"/>
      <c r="S379" s="1260"/>
      <c r="T379" s="1260"/>
      <c r="U379" s="1260"/>
      <c r="V379" s="41" t="s">
        <v>1954</v>
      </c>
      <c r="W379" s="12"/>
      <c r="X379" s="12"/>
      <c r="Y379" s="12"/>
      <c r="Z379" s="12"/>
      <c r="AA379" s="12"/>
      <c r="AB379" s="12"/>
      <c r="AC379" s="1109"/>
      <c r="AD379" s="1109"/>
      <c r="AE379" s="1109"/>
      <c r="AF379" s="1109"/>
      <c r="AG379" s="1109"/>
      <c r="AH379" s="1109"/>
      <c r="AI379" s="1109"/>
      <c r="AJ379" s="1109"/>
    </row>
    <row r="380" spans="1:36" ht="12.9" customHeight="1">
      <c r="D380" s="41" t="s">
        <v>543</v>
      </c>
      <c r="J380" s="1260" t="s">
        <v>544</v>
      </c>
      <c r="K380" s="1260"/>
      <c r="L380" s="1260"/>
      <c r="M380" s="1260"/>
      <c r="N380" s="1260"/>
      <c r="O380" s="1260"/>
      <c r="P380" s="1260"/>
      <c r="Q380" s="1260"/>
      <c r="R380" s="1260"/>
      <c r="S380" s="1260"/>
      <c r="T380" s="1260"/>
      <c r="U380" s="1260"/>
      <c r="V380" s="41" t="s">
        <v>543</v>
      </c>
      <c r="W380" s="12"/>
      <c r="X380" s="12"/>
      <c r="Y380" s="12"/>
      <c r="Z380" s="12"/>
      <c r="AA380" s="12"/>
      <c r="AB380" s="12"/>
      <c r="AC380" s="1109"/>
      <c r="AD380" s="1109"/>
      <c r="AE380" s="1109"/>
      <c r="AF380" s="1109"/>
      <c r="AG380" s="1109"/>
      <c r="AH380" s="1109"/>
      <c r="AI380" s="1109"/>
      <c r="AJ380" s="1109"/>
    </row>
    <row r="381" spans="1:36" ht="12.9" customHeight="1">
      <c r="D381" t="s">
        <v>1955</v>
      </c>
      <c r="J381" s="1058" t="s">
        <v>2383</v>
      </c>
      <c r="K381" s="1058"/>
      <c r="L381" s="1058"/>
      <c r="M381" s="1058"/>
      <c r="N381" s="1058"/>
      <c r="O381" s="1058"/>
      <c r="P381" s="1058"/>
      <c r="Q381" s="1058"/>
      <c r="R381" s="1058"/>
      <c r="S381" s="1058"/>
      <c r="T381" s="1058"/>
      <c r="U381" s="1058"/>
      <c r="V381" s="1109"/>
      <c r="W381" s="1109"/>
      <c r="X381" s="1109"/>
      <c r="Y381" s="1109"/>
      <c r="Z381" s="1109"/>
      <c r="AA381" s="1109"/>
      <c r="AB381" s="1109"/>
      <c r="AC381" s="1109"/>
      <c r="AD381" s="1109"/>
      <c r="AE381" s="1109"/>
      <c r="AF381" s="1109"/>
      <c r="AG381" s="1109"/>
      <c r="AH381" s="1109"/>
      <c r="AI381" s="1109"/>
      <c r="AJ381" s="1109"/>
    </row>
    <row r="382" spans="1:36" ht="12.9" customHeight="1">
      <c r="D382" t="s">
        <v>553</v>
      </c>
      <c r="Q382" s="1367">
        <v>45029</v>
      </c>
      <c r="R382" s="1367"/>
      <c r="S382" s="1367"/>
      <c r="T382" s="1367"/>
      <c r="U382" s="1367"/>
      <c r="V382" t="s">
        <v>167</v>
      </c>
      <c r="AI382" s="1100" t="s">
        <v>481</v>
      </c>
      <c r="AJ382" s="1100"/>
    </row>
    <row r="383" spans="1:36" ht="12.9" customHeight="1">
      <c r="D383" t="s">
        <v>554</v>
      </c>
      <c r="Q383" s="1381">
        <v>45760</v>
      </c>
      <c r="R383" s="1188"/>
      <c r="S383" s="1188"/>
      <c r="T383" s="1188"/>
      <c r="U383" s="1188"/>
      <c r="W383" s="29" t="s">
        <v>20</v>
      </c>
      <c r="AG383" s="1356" t="s">
        <v>123</v>
      </c>
      <c r="AH383" s="1356"/>
      <c r="AI383" s="1356"/>
      <c r="AJ383" s="1356"/>
    </row>
    <row r="384" spans="1:36" ht="12.9" customHeight="1">
      <c r="D384" t="s">
        <v>273</v>
      </c>
      <c r="Q384" s="1454">
        <v>1</v>
      </c>
      <c r="R384" s="1454"/>
      <c r="S384" s="1454"/>
      <c r="T384" s="1454"/>
      <c r="U384" s="1454"/>
      <c r="V384" s="41" t="s">
        <v>1956</v>
      </c>
      <c r="AG384" s="1511">
        <v>45747</v>
      </c>
      <c r="AH384" s="1511"/>
      <c r="AI384" s="1511"/>
      <c r="AJ384" s="1511"/>
    </row>
    <row r="385" spans="4:36" ht="12.9" customHeight="1">
      <c r="D385" t="s">
        <v>374</v>
      </c>
      <c r="I385" s="1407" t="str">
        <f>O162</f>
        <v>(650) 595-7408</v>
      </c>
      <c r="J385" s="1407"/>
      <c r="K385" s="1407"/>
      <c r="L385" s="1407"/>
      <c r="M385" s="1407"/>
      <c r="N385" s="1407"/>
      <c r="Q385" s="41" t="s">
        <v>817</v>
      </c>
      <c r="S385" s="1531"/>
      <c r="T385" s="1531"/>
      <c r="U385" s="1531"/>
      <c r="V385" t="s">
        <v>19</v>
      </c>
      <c r="AI385" s="1100" t="s">
        <v>481</v>
      </c>
      <c r="AJ385" s="1100"/>
    </row>
    <row r="386" spans="4:36" ht="12.9" customHeight="1">
      <c r="D386" t="s">
        <v>168</v>
      </c>
      <c r="Q386" s="1061">
        <v>0</v>
      </c>
      <c r="R386" s="1061"/>
      <c r="S386" s="1061"/>
      <c r="T386" s="1061"/>
      <c r="U386" s="1061"/>
      <c r="V386" t="s">
        <v>169</v>
      </c>
      <c r="AG386" s="1356">
        <v>0</v>
      </c>
      <c r="AH386" s="1356"/>
      <c r="AI386" s="1356"/>
      <c r="AJ386" s="1356"/>
    </row>
    <row r="387" spans="4:36" ht="12.9" customHeight="1">
      <c r="D387" t="s">
        <v>25</v>
      </c>
      <c r="Q387" s="1414">
        <v>0.01</v>
      </c>
      <c r="R387" s="1414"/>
      <c r="S387" s="1414"/>
      <c r="T387" s="1414"/>
      <c r="U387" s="1414"/>
      <c r="V387" t="s">
        <v>1673</v>
      </c>
      <c r="AG387" s="1356">
        <v>0</v>
      </c>
      <c r="AH387" s="1356"/>
      <c r="AI387" s="1356"/>
      <c r="AJ387" s="1356"/>
    </row>
    <row r="388" spans="4:36" ht="12.9" customHeight="1">
      <c r="D388" t="s">
        <v>1957</v>
      </c>
      <c r="AG388" s="1356">
        <v>0</v>
      </c>
      <c r="AH388" s="1356"/>
      <c r="AI388" s="1356"/>
      <c r="AJ388" s="1356"/>
    </row>
    <row r="389" spans="4:36" ht="12.9" customHeight="1">
      <c r="AG389" s="831"/>
      <c r="AH389" s="831"/>
      <c r="AI389" s="831"/>
      <c r="AJ389" s="831"/>
    </row>
    <row r="390" spans="4:36" ht="12.9" customHeight="1">
      <c r="D390" s="41" t="s">
        <v>2196</v>
      </c>
      <c r="AG390" s="831"/>
      <c r="AH390" s="831"/>
      <c r="AI390" s="1100" t="s">
        <v>481</v>
      </c>
      <c r="AJ390" s="1100"/>
    </row>
    <row r="391" spans="4:36" ht="12.9" customHeight="1">
      <c r="D391" s="41" t="s">
        <v>1958</v>
      </c>
      <c r="T391" s="1296"/>
      <c r="U391" s="1296"/>
      <c r="V391" s="1296"/>
      <c r="W391" s="1296"/>
      <c r="X391" s="1296"/>
      <c r="Y391" s="1296"/>
      <c r="Z391" s="1296"/>
      <c r="AA391" s="1296"/>
      <c r="AB391" s="1296"/>
      <c r="AC391" s="1296"/>
      <c r="AD391" s="1296"/>
      <c r="AE391" s="1296"/>
      <c r="AF391" s="1296"/>
      <c r="AG391" s="1296"/>
      <c r="AH391" s="1296"/>
      <c r="AI391" s="1296"/>
      <c r="AJ391" s="1296"/>
    </row>
    <row r="392" spans="4:36" ht="12.9" customHeight="1">
      <c r="D392" s="41" t="s">
        <v>1959</v>
      </c>
      <c r="T392" s="1296"/>
      <c r="U392" s="1296"/>
      <c r="V392" s="1296"/>
      <c r="W392" s="1296"/>
      <c r="X392" s="1296"/>
      <c r="Y392" s="1296"/>
      <c r="Z392" s="1296"/>
      <c r="AA392" s="1296"/>
      <c r="AB392" s="1296"/>
      <c r="AC392" s="1296"/>
      <c r="AD392" s="1296"/>
      <c r="AE392" s="1296"/>
      <c r="AF392" s="1296"/>
      <c r="AG392" s="1296"/>
      <c r="AH392" s="1296"/>
      <c r="AI392" s="1296"/>
      <c r="AJ392" s="1296"/>
    </row>
    <row r="393" spans="4:36" ht="12.9" customHeight="1">
      <c r="AG393" s="831"/>
      <c r="AH393" s="831"/>
      <c r="AI393" s="831"/>
      <c r="AJ393" s="831"/>
    </row>
    <row r="394" spans="4:36" ht="12.9" customHeight="1">
      <c r="D394" s="41" t="s">
        <v>1960</v>
      </c>
      <c r="S394" s="1296" t="s">
        <v>481</v>
      </c>
      <c r="T394" s="1296"/>
      <c r="U394" s="1296"/>
      <c r="V394" t="s">
        <v>1961</v>
      </c>
      <c r="AG394" s="1366"/>
      <c r="AH394" s="1366"/>
      <c r="AI394" s="1366"/>
      <c r="AJ394" s="1366"/>
    </row>
    <row r="395" spans="4:36" ht="12.9" customHeight="1">
      <c r="D395" s="41" t="s">
        <v>1962</v>
      </c>
      <c r="S395" s="1296" t="s">
        <v>123</v>
      </c>
      <c r="T395" s="1296"/>
      <c r="U395" s="1296"/>
      <c r="V395" t="s">
        <v>1963</v>
      </c>
      <c r="AE395" s="1570" t="s">
        <v>123</v>
      </c>
      <c r="AF395" s="1570"/>
      <c r="AG395" s="1570"/>
      <c r="AH395" s="1570"/>
      <c r="AI395" s="1570"/>
      <c r="AJ395" s="1570"/>
    </row>
    <row r="396" spans="4:36" ht="12.9" customHeight="1">
      <c r="D396" s="41" t="s">
        <v>1964</v>
      </c>
      <c r="K396" s="1365" t="s">
        <v>123</v>
      </c>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 customHeight="1">
      <c r="D397" s="41" t="s">
        <v>1965</v>
      </c>
      <c r="K397" s="1365" t="s">
        <v>123</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 customHeight="1">
      <c r="D398" s="41" t="s">
        <v>1966</v>
      </c>
      <c r="E398" s="813"/>
      <c r="F398" s="813"/>
      <c r="G398" s="813"/>
      <c r="H398" s="813"/>
      <c r="I398" s="813"/>
      <c r="J398" s="813"/>
      <c r="K398" s="813"/>
      <c r="L398" s="813"/>
      <c r="M398" s="813"/>
      <c r="N398" s="813"/>
      <c r="O398" s="813"/>
      <c r="P398" s="813"/>
      <c r="Q398" s="813"/>
      <c r="R398" s="813"/>
      <c r="S398" s="1368" t="s">
        <v>1967</v>
      </c>
      <c r="T398" s="1368"/>
      <c r="U398" s="1368"/>
      <c r="V398" s="1368"/>
      <c r="W398" s="1368"/>
      <c r="X398" s="1368"/>
      <c r="Y398" s="1368"/>
      <c r="Z398" s="1368"/>
      <c r="AA398" s="1368"/>
      <c r="AB398" s="1368"/>
      <c r="AC398" s="1368"/>
      <c r="AD398" s="1368"/>
      <c r="AE398" s="1368"/>
      <c r="AF398" s="1368"/>
      <c r="AG398" s="1368"/>
      <c r="AH398" s="1368"/>
      <c r="AI398" s="1368"/>
      <c r="AJ398" s="1368"/>
    </row>
    <row r="399" spans="4:36" ht="12.9" customHeight="1">
      <c r="D399" s="974" t="s">
        <v>1968</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1"/>
      <c r="AH401" s="831"/>
      <c r="AI401" s="831"/>
      <c r="AJ401" s="831"/>
    </row>
    <row r="402" spans="1:36" ht="12.9" customHeight="1">
      <c r="A402" s="3" t="s">
        <v>121</v>
      </c>
      <c r="B402" s="3"/>
      <c r="C402" s="3" t="s">
        <v>898</v>
      </c>
    </row>
    <row r="403" spans="1:36" ht="12.9" customHeight="1">
      <c r="D403" s="3" t="s">
        <v>1726</v>
      </c>
      <c r="I403" s="1105" t="s">
        <v>2384</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854</v>
      </c>
      <c r="R404" s="1100" t="s">
        <v>107</v>
      </c>
      <c r="S404" s="1100"/>
      <c r="T404" t="s">
        <v>290</v>
      </c>
      <c r="AD404" s="1103">
        <v>5</v>
      </c>
      <c r="AE404" s="1103"/>
    </row>
    <row r="405" spans="1:36" ht="12.9" customHeight="1">
      <c r="E405" t="s">
        <v>855</v>
      </c>
      <c r="R405" s="1100" t="s">
        <v>123</v>
      </c>
      <c r="S405" s="1100"/>
      <c r="T405" t="s">
        <v>290</v>
      </c>
      <c r="AD405" s="1103">
        <v>0</v>
      </c>
      <c r="AE405" s="1103"/>
    </row>
    <row r="406" spans="1:36" ht="12.9" customHeight="1">
      <c r="E406" t="s">
        <v>856</v>
      </c>
      <c r="S406" s="1100" t="s">
        <v>123</v>
      </c>
      <c r="T406" s="1100"/>
    </row>
    <row r="407" spans="1:36" ht="12.9" customHeight="1">
      <c r="E407" t="s">
        <v>282</v>
      </c>
      <c r="H407" s="1101" t="s">
        <v>561</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122</v>
      </c>
      <c r="B410" s="3"/>
      <c r="C410" s="3"/>
      <c r="D410" s="3" t="s">
        <v>901</v>
      </c>
      <c r="AE410" s="5"/>
      <c r="AF410" s="3" t="s">
        <v>1205</v>
      </c>
    </row>
    <row r="411" spans="1:36" ht="12.9" customHeight="1">
      <c r="E411" s="1312"/>
      <c r="F411" s="1312"/>
      <c r="G411" s="1312"/>
      <c r="H411" s="18" t="s">
        <v>902</v>
      </c>
      <c r="I411" s="1312"/>
      <c r="J411" s="1312"/>
      <c r="K411" s="1312"/>
      <c r="L411" t="s">
        <v>903</v>
      </c>
      <c r="N411" s="34" t="s">
        <v>850</v>
      </c>
      <c r="P411" s="1400">
        <v>0.31</v>
      </c>
      <c r="Q411" s="1400"/>
      <c r="R411" s="1400"/>
      <c r="S411" t="s">
        <v>904</v>
      </c>
      <c r="W411" s="1401">
        <f>IF(E411&gt;0,(E411*I411),(P411*43560))</f>
        <v>13503.6</v>
      </c>
      <c r="X411" s="1401"/>
      <c r="Y411" s="1401"/>
      <c r="Z411" t="s">
        <v>905</v>
      </c>
      <c r="AF411" s="1313" cm="1">
        <f t="array" ref="AF411">_xlfn.IFS(P411&gt;0,(AG430/P411),W411&gt;0,(AG430/(W411/43560)),TRUE,0)</f>
        <v>119.35483870967742</v>
      </c>
      <c r="AG411" s="1313"/>
      <c r="AH411" s="1313"/>
    </row>
    <row r="412" spans="1:36" ht="12.9" customHeight="1">
      <c r="E412" t="s">
        <v>202</v>
      </c>
    </row>
    <row r="413" spans="1:36" ht="12.9" customHeight="1">
      <c r="E413" s="1363" t="s">
        <v>2381</v>
      </c>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 customHeight="1">
      <c r="E414" s="270" t="s">
        <v>1969</v>
      </c>
      <c r="F414" s="29"/>
      <c r="G414" s="29"/>
      <c r="H414" s="29"/>
      <c r="I414" s="1359">
        <v>0.31</v>
      </c>
      <c r="J414" s="1359"/>
      <c r="K414" s="1359"/>
      <c r="L414" s="29"/>
      <c r="M414" s="270"/>
      <c r="N414" s="29"/>
      <c r="O414" s="29"/>
      <c r="P414" s="1311">
        <f>(CQ628+CS633+CQ647)/I414</f>
        <v>206.45161290322582</v>
      </c>
      <c r="Q414" s="1311"/>
      <c r="R414" s="1311"/>
      <c r="S414" s="270" t="s">
        <v>1970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124</v>
      </c>
      <c r="B416" s="3"/>
      <c r="C416" s="3"/>
      <c r="D416" s="3" t="s">
        <v>907</v>
      </c>
    </row>
    <row r="417" spans="1:36" ht="12.9" customHeight="1">
      <c r="E417" t="s">
        <v>450</v>
      </c>
      <c r="P417" s="1100">
        <v>2</v>
      </c>
      <c r="Q417" s="1100"/>
      <c r="S417" t="s">
        <v>133</v>
      </c>
      <c r="AE417" s="1100">
        <v>2</v>
      </c>
      <c r="AF417" s="1100"/>
    </row>
    <row r="418" spans="1:36" ht="12.9" customHeight="1">
      <c r="E418" t="s">
        <v>134</v>
      </c>
      <c r="P418" s="1100">
        <v>0</v>
      </c>
      <c r="Q418" s="1100"/>
      <c r="S418" t="s">
        <v>725</v>
      </c>
      <c r="AE418" s="1100" t="s">
        <v>123</v>
      </c>
      <c r="AF418" s="1100"/>
    </row>
    <row r="419" spans="1:36" ht="12.9" customHeight="1">
      <c r="F419" s="36" t="s">
        <v>220</v>
      </c>
    </row>
    <row r="420" spans="1:36" ht="12.9" customHeight="1">
      <c r="F420" s="1357" t="s">
        <v>2381</v>
      </c>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 customHeight="1">
      <c r="E422" t="s">
        <v>857</v>
      </c>
      <c r="P422" s="1"/>
      <c r="Q422" s="1100" t="s">
        <v>481</v>
      </c>
      <c r="R422" s="1100"/>
      <c r="AE422" s="1"/>
      <c r="AF422" s="1"/>
    </row>
    <row r="423" spans="1:36" ht="12.9" customHeight="1">
      <c r="F423" t="s">
        <v>858</v>
      </c>
      <c r="P423" s="1"/>
      <c r="Q423" s="1"/>
      <c r="AE423" s="1100" t="s">
        <v>107</v>
      </c>
      <c r="AF423" s="1397"/>
    </row>
    <row r="424" spans="1:36" ht="12.9" customHeight="1"/>
    <row r="425" spans="1:36" ht="12.9" customHeight="1">
      <c r="A425" s="3"/>
      <c r="B425" s="3"/>
      <c r="C425" s="3"/>
      <c r="E425" s="5" t="s">
        <v>79</v>
      </c>
      <c r="Z425" s="1100" t="s">
        <v>481</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123</v>
      </c>
      <c r="AA427" s="1100"/>
    </row>
    <row r="428" spans="1:36" ht="12.9" customHeight="1"/>
    <row r="429" spans="1:36" ht="12.9" customHeight="1">
      <c r="A429" s="3" t="s">
        <v>366</v>
      </c>
      <c r="B429" s="3"/>
      <c r="C429" s="3"/>
      <c r="D429" s="3" t="s">
        <v>171</v>
      </c>
      <c r="AF429" s="54"/>
    </row>
    <row r="430" spans="1:36" ht="12.9" customHeight="1">
      <c r="D430" s="1362" t="s">
        <v>355</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3">
        <v>37</v>
      </c>
      <c r="AH430" s="1093"/>
      <c r="AI430" s="1093"/>
      <c r="AJ430" s="1093"/>
    </row>
    <row r="431" spans="1:36" ht="12.9" customHeight="1">
      <c r="D431" s="1310" t="s">
        <v>2262</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8">
        <v>0</v>
      </c>
      <c r="AH431" s="1569"/>
      <c r="AI431" s="1569"/>
      <c r="AJ431" s="1569"/>
    </row>
    <row r="432" spans="1:36" ht="12.9" customHeight="1">
      <c r="D432" s="1094" t="s">
        <v>1360</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36</v>
      </c>
      <c r="AH432" s="1093"/>
      <c r="AI432" s="1093"/>
      <c r="AJ432" s="1093"/>
    </row>
    <row r="433" spans="4:36" ht="12.9" customHeight="1">
      <c r="D433" s="1094" t="s">
        <v>1357</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36</v>
      </c>
      <c r="AH433" s="1093"/>
      <c r="AI433" s="1093"/>
      <c r="AJ433" s="1093"/>
    </row>
    <row r="434" spans="4:36" ht="12.9" customHeight="1">
      <c r="D434" s="1094" t="s">
        <v>1361</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2">
        <f>IF(ISERROR(AG433/AG432),"",AG433/AG432)</f>
        <v>1</v>
      </c>
      <c r="AH434" s="1332"/>
      <c r="AI434" s="1332"/>
      <c r="AJ434" s="1332"/>
    </row>
    <row r="435" spans="4:36" ht="12.9" customHeight="1">
      <c r="D435" s="1094" t="s">
        <v>1359</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32600</v>
      </c>
      <c r="AH435" s="1104"/>
      <c r="AI435" s="1104"/>
      <c r="AJ435" s="1104"/>
    </row>
    <row r="436" spans="4:36" ht="12.9" customHeight="1">
      <c r="D436" s="1094" t="s">
        <v>1358</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32600</v>
      </c>
      <c r="AH436" s="1104"/>
      <c r="AI436" s="1104"/>
      <c r="AJ436" s="1104"/>
    </row>
    <row r="437" spans="4:36" ht="12.9" customHeight="1">
      <c r="D437" s="1094" t="s">
        <v>1364</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2">
        <f>IF(ISERROR(AG436/AG435),"",AG436/AG435)</f>
        <v>1</v>
      </c>
      <c r="AH437" s="1332"/>
      <c r="AI437" s="1332"/>
      <c r="AJ437" s="1332"/>
    </row>
    <row r="438" spans="4:36" ht="12.9" customHeight="1">
      <c r="D438" s="1094" t="s">
        <v>1362</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2">
        <f>MIN(IF(AG434&gt;AG437,AG437,AG434),1)</f>
        <v>1</v>
      </c>
      <c r="AH438" s="1332"/>
      <c r="AI438" s="1332"/>
      <c r="AJ438" s="1332"/>
    </row>
    <row r="439" spans="4:36" ht="12.9" customHeight="1">
      <c r="D439" s="1310" t="s">
        <v>2101</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4">
        <v>2402</v>
      </c>
      <c r="AH439" s="1104"/>
      <c r="AI439" s="1104"/>
      <c r="AJ439" s="1104"/>
    </row>
    <row r="440" spans="4:36" ht="12.9" customHeight="1">
      <c r="D440" s="1094" t="s">
        <v>207</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v>0</v>
      </c>
      <c r="AH440" s="1104"/>
      <c r="AI440" s="1104"/>
      <c r="AJ440" s="1104"/>
    </row>
    <row r="441" spans="4:36" ht="12.9" customHeight="1">
      <c r="D441" s="1310" t="s">
        <v>1727</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14315</v>
      </c>
      <c r="AH441" s="1104"/>
      <c r="AI441" s="1104"/>
      <c r="AJ441" s="1104"/>
    </row>
    <row r="442" spans="4:36" ht="12.9" customHeight="1">
      <c r="D442" s="1094" t="s">
        <v>1363</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v>6546</v>
      </c>
      <c r="AH442" s="1104"/>
      <c r="AI442" s="1104"/>
      <c r="AJ442" s="1104"/>
    </row>
    <row r="443" spans="4:36" ht="12.9" customHeight="1">
      <c r="D443" s="1094" t="s">
        <v>1365</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5">
        <f>AG435+AG439+AG441+AG442</f>
        <v>55863</v>
      </c>
      <c r="AH443" s="1355"/>
      <c r="AI443" s="1355"/>
      <c r="AJ443" s="1355"/>
    </row>
    <row r="444" spans="4:36" ht="12.9" customHeight="1">
      <c r="D444" s="1360" t="s">
        <v>1728</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1210295.8918918918</v>
      </c>
      <c r="AD447" s="1340"/>
      <c r="AE447" s="1340"/>
      <c r="AF447" s="1340"/>
      <c r="AG447" s="1369"/>
      <c r="AH447" s="1369"/>
      <c r="AI447" s="1369"/>
      <c r="AJ447" s="1369"/>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1210295.8918918918</v>
      </c>
      <c r="AD448" s="1340"/>
      <c r="AE448" s="1340"/>
      <c r="AF448" s="1340"/>
      <c r="AG448" s="1369"/>
      <c r="AH448" s="1369"/>
      <c r="AI448" s="1369"/>
      <c r="AJ448" s="1369"/>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1025874.4054054054</v>
      </c>
      <c r="AD449" s="1340"/>
      <c r="AE449" s="1340"/>
      <c r="AF449" s="1340"/>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2093</v>
      </c>
      <c r="E460" s="1098"/>
      <c r="F460" s="1098"/>
      <c r="G460" s="1098"/>
      <c r="H460" s="1098"/>
      <c r="I460" s="1098"/>
      <c r="J460" s="1098"/>
      <c r="K460" s="1098"/>
      <c r="L460" s="1098"/>
      <c r="M460" s="1098"/>
      <c r="N460" s="1098"/>
      <c r="O460" s="1098"/>
      <c r="P460" s="1098"/>
      <c r="Q460" s="1098"/>
      <c r="R460" s="1098"/>
      <c r="S460" s="1098"/>
      <c r="T460" s="1098"/>
      <c r="U460" s="1098"/>
      <c r="V460" s="1099"/>
      <c r="W460" s="1106">
        <v>18</v>
      </c>
      <c r="X460" s="1107"/>
      <c r="Y460" s="1108"/>
      <c r="Z460" s="310"/>
      <c r="AA460" s="310"/>
      <c r="AB460" s="310"/>
      <c r="AC460" s="310"/>
      <c r="AD460" s="310"/>
      <c r="AE460" s="310"/>
      <c r="AF460" s="310"/>
      <c r="AG460" s="310"/>
      <c r="AH460" s="310"/>
      <c r="AI460" s="310"/>
      <c r="AJ460" s="41"/>
      <c r="AK460" s="41"/>
      <c r="AL460" s="41"/>
    </row>
    <row r="461" spans="1:38" ht="12.9" customHeight="1">
      <c r="A461" s="41"/>
      <c r="B461" s="41"/>
      <c r="C461" s="41"/>
      <c r="D461" s="1097" t="s">
        <v>212</v>
      </c>
      <c r="E461" s="1098"/>
      <c r="F461" s="1098"/>
      <c r="G461" s="1098"/>
      <c r="H461" s="1098"/>
      <c r="I461" s="1098"/>
      <c r="J461" s="1098"/>
      <c r="K461" s="1098"/>
      <c r="L461" s="1098"/>
      <c r="M461" s="1098"/>
      <c r="N461" s="1098"/>
      <c r="O461" s="1098"/>
      <c r="P461" s="1098"/>
      <c r="Q461" s="1098"/>
      <c r="R461" s="1098"/>
      <c r="S461" s="1098"/>
      <c r="T461" s="1098"/>
      <c r="U461" s="1098"/>
      <c r="V461" s="1099"/>
      <c r="W461" s="1106">
        <v>0</v>
      </c>
      <c r="X461" s="1107"/>
      <c r="Y461" s="1108"/>
      <c r="Z461" s="310"/>
      <c r="AA461" s="310"/>
      <c r="AB461" s="310"/>
      <c r="AC461" s="310"/>
      <c r="AD461" s="310"/>
      <c r="AE461" s="310"/>
      <c r="AF461" s="310"/>
      <c r="AG461" s="310"/>
      <c r="AH461" s="310"/>
      <c r="AI461" s="310"/>
      <c r="AJ461" s="41"/>
      <c r="AK461" s="41"/>
      <c r="AL461" s="41"/>
    </row>
    <row r="462" spans="1:38" ht="12.9" customHeight="1">
      <c r="A462" s="41"/>
      <c r="B462" s="41"/>
      <c r="C462" s="41"/>
      <c r="D462" s="1097" t="s">
        <v>213</v>
      </c>
      <c r="E462" s="1098"/>
      <c r="F462" s="1098"/>
      <c r="G462" s="1098"/>
      <c r="H462" s="1098"/>
      <c r="I462" s="1098"/>
      <c r="J462" s="1098"/>
      <c r="K462" s="1098"/>
      <c r="L462" s="1098"/>
      <c r="M462" s="1098"/>
      <c r="N462" s="1098"/>
      <c r="O462" s="1098"/>
      <c r="P462" s="1098"/>
      <c r="Q462" s="1098"/>
      <c r="R462" s="1098"/>
      <c r="S462" s="1098"/>
      <c r="T462" s="1098"/>
      <c r="U462" s="1098"/>
      <c r="V462" s="1099"/>
      <c r="W462" s="1106">
        <v>18</v>
      </c>
      <c r="X462" s="1107"/>
      <c r="Y462" s="1108"/>
      <c r="Z462" s="310"/>
      <c r="AA462" s="310"/>
      <c r="AB462" s="310"/>
      <c r="AC462" s="310"/>
      <c r="AD462" s="310"/>
      <c r="AE462" s="310"/>
      <c r="AF462" s="310"/>
      <c r="AG462" s="310"/>
      <c r="AH462" s="310"/>
      <c r="AI462" s="310"/>
      <c r="AJ462" s="41"/>
      <c r="AK462" s="41"/>
      <c r="AL462" s="41"/>
    </row>
    <row r="463" spans="1:38" ht="12.9" customHeight="1">
      <c r="A463" s="41"/>
      <c r="B463" s="41"/>
      <c r="C463" s="41"/>
      <c r="D463" s="1097" t="s">
        <v>215</v>
      </c>
      <c r="E463" s="1098"/>
      <c r="F463" s="1098"/>
      <c r="G463" s="1098"/>
      <c r="H463" s="1098"/>
      <c r="I463" s="1098"/>
      <c r="J463" s="1098"/>
      <c r="K463" s="1098"/>
      <c r="L463" s="1098"/>
      <c r="M463" s="1098"/>
      <c r="N463" s="1098"/>
      <c r="O463" s="1098"/>
      <c r="P463" s="1098"/>
      <c r="Q463" s="1098"/>
      <c r="R463" s="1098"/>
      <c r="S463" s="1098"/>
      <c r="T463" s="1098"/>
      <c r="U463" s="1098"/>
      <c r="V463" s="1099"/>
      <c r="W463" s="1106">
        <v>0</v>
      </c>
      <c r="X463" s="1107"/>
      <c r="Y463" s="1108"/>
      <c r="Z463" s="310"/>
      <c r="AA463" s="310"/>
      <c r="AB463" s="310"/>
      <c r="AC463" s="310"/>
      <c r="AD463" s="310"/>
      <c r="AE463" s="310"/>
      <c r="AF463" s="310"/>
      <c r="AG463" s="310"/>
      <c r="AH463" s="310"/>
      <c r="AI463" s="310"/>
      <c r="AJ463" s="41"/>
      <c r="AK463" s="41"/>
      <c r="AL463" s="41"/>
    </row>
    <row r="464" spans="1:38" ht="12.9" customHeight="1">
      <c r="A464" s="41"/>
      <c r="B464" s="41"/>
      <c r="C464" s="41"/>
      <c r="D464" s="1349" t="s">
        <v>1100</v>
      </c>
      <c r="E464" s="1098"/>
      <c r="F464" s="1098"/>
      <c r="G464" s="1098"/>
      <c r="H464" s="1098"/>
      <c r="I464" s="1098"/>
      <c r="J464" s="1098"/>
      <c r="K464" s="1098"/>
      <c r="L464" s="1098"/>
      <c r="M464" s="1098"/>
      <c r="N464" s="1098"/>
      <c r="O464" s="1098"/>
      <c r="P464" s="1098"/>
      <c r="Q464" s="1098"/>
      <c r="R464" s="1098"/>
      <c r="S464" s="1098"/>
      <c r="T464" s="1098"/>
      <c r="U464" s="1098"/>
      <c r="V464" s="1099"/>
      <c r="W464" s="1106">
        <v>0</v>
      </c>
      <c r="X464" s="1107"/>
      <c r="Y464" s="1108"/>
      <c r="Z464" s="310"/>
      <c r="AA464" s="310"/>
      <c r="AB464" s="310"/>
      <c r="AC464" s="310"/>
      <c r="AD464" s="310"/>
      <c r="AE464" s="310"/>
      <c r="AF464" s="310"/>
      <c r="AG464" s="310"/>
      <c r="AH464" s="310"/>
      <c r="AI464" s="310"/>
      <c r="AJ464" s="41"/>
      <c r="AK464" s="41"/>
      <c r="AL464" s="41"/>
    </row>
    <row r="465" spans="1:97" ht="12.9" customHeight="1">
      <c r="A465" s="41"/>
      <c r="B465" s="41"/>
      <c r="C465" s="41"/>
      <c r="D465" s="1097" t="s">
        <v>219</v>
      </c>
      <c r="E465" s="1098"/>
      <c r="F465" s="1098"/>
      <c r="G465" s="1098"/>
      <c r="H465" s="1098"/>
      <c r="I465" s="1098"/>
      <c r="J465" s="1098"/>
      <c r="K465" s="1098"/>
      <c r="L465" s="1098"/>
      <c r="M465" s="1098"/>
      <c r="N465" s="1098"/>
      <c r="O465" s="1098"/>
      <c r="P465" s="1098"/>
      <c r="Q465" s="1098"/>
      <c r="R465" s="1098"/>
      <c r="S465" s="1098"/>
      <c r="T465" s="1098"/>
      <c r="U465" s="1098"/>
      <c r="V465" s="1099"/>
      <c r="W465" s="1106">
        <v>0</v>
      </c>
      <c r="X465" s="1107"/>
      <c r="Y465" s="1108"/>
      <c r="Z465" s="310"/>
      <c r="AA465" s="310"/>
      <c r="AB465" s="310"/>
      <c r="AC465" s="310"/>
      <c r="AD465" s="310"/>
      <c r="AE465" s="310"/>
      <c r="AF465" s="310"/>
      <c r="AG465" s="310"/>
      <c r="AH465" s="310"/>
      <c r="AI465" s="310"/>
      <c r="AJ465" s="41"/>
      <c r="AK465" s="41"/>
      <c r="AL465" s="41"/>
    </row>
    <row r="466" spans="1:97" ht="12.9" customHeight="1">
      <c r="A466" s="557"/>
      <c r="B466" s="557"/>
      <c r="C466" s="557"/>
      <c r="D466" s="1349" t="s">
        <v>1299</v>
      </c>
      <c r="E466" s="1122"/>
      <c r="F466" s="1122"/>
      <c r="G466" s="1122"/>
      <c r="H466" s="1122"/>
      <c r="I466" s="1122"/>
      <c r="J466" s="1122"/>
      <c r="K466" s="1122"/>
      <c r="L466" s="1122"/>
      <c r="M466" s="1122"/>
      <c r="N466" s="1122"/>
      <c r="O466" s="1122"/>
      <c r="P466" s="1122"/>
      <c r="Q466" s="1122"/>
      <c r="R466" s="1122"/>
      <c r="S466" s="1122"/>
      <c r="T466" s="1122"/>
      <c r="U466" s="1122"/>
      <c r="V466" s="1123"/>
      <c r="W466" s="1124">
        <v>0</v>
      </c>
      <c r="X466" s="1125"/>
      <c r="Y466" s="1126"/>
      <c r="Z466" s="558"/>
      <c r="AA466" s="558"/>
      <c r="AB466" s="558"/>
      <c r="AC466" s="558"/>
      <c r="AD466" s="559"/>
      <c r="AE466" s="559"/>
      <c r="AF466" s="559"/>
      <c r="AG466" s="559"/>
      <c r="AH466" s="559"/>
      <c r="AI466" s="559"/>
      <c r="AJ466" s="362"/>
    </row>
    <row r="467" spans="1:97" ht="12.9" customHeight="1">
      <c r="A467" s="557"/>
      <c r="B467" s="557"/>
      <c r="C467" s="557"/>
      <c r="D467" s="1097" t="s">
        <v>2271</v>
      </c>
      <c r="E467" s="1098"/>
      <c r="F467" s="1098"/>
      <c r="G467" s="1098"/>
      <c r="H467" s="1098"/>
      <c r="I467" s="1098"/>
      <c r="J467" s="1098"/>
      <c r="K467" s="1098"/>
      <c r="L467" s="1098"/>
      <c r="M467" s="1098"/>
      <c r="N467" s="1098"/>
      <c r="O467" s="1098"/>
      <c r="P467" s="1098"/>
      <c r="Q467" s="1098"/>
      <c r="R467" s="1098"/>
      <c r="S467" s="1098"/>
      <c r="T467" s="1098"/>
      <c r="U467" s="1098"/>
      <c r="V467" s="1099"/>
      <c r="W467" s="1124">
        <v>0</v>
      </c>
      <c r="X467" s="1125"/>
      <c r="Y467" s="1126"/>
      <c r="Z467" s="558"/>
      <c r="AA467" s="558"/>
      <c r="AB467" s="558"/>
      <c r="AC467" s="558"/>
      <c r="AD467" s="559"/>
      <c r="AE467" s="559"/>
      <c r="AF467" s="559"/>
      <c r="AG467" s="559"/>
      <c r="AH467" s="559"/>
      <c r="AI467" s="559"/>
      <c r="AJ467" s="362"/>
    </row>
    <row r="468" spans="1:97" ht="12.9" customHeight="1">
      <c r="A468" s="41"/>
      <c r="B468" s="41"/>
      <c r="C468" s="41"/>
      <c r="D468" s="1097" t="s">
        <v>2206</v>
      </c>
      <c r="E468" s="1122"/>
      <c r="F468" s="1122"/>
      <c r="G468" s="1122"/>
      <c r="H468" s="1122"/>
      <c r="I468" s="1122"/>
      <c r="J468" s="1122"/>
      <c r="K468" s="1122"/>
      <c r="L468" s="1122"/>
      <c r="M468" s="1122"/>
      <c r="N468" s="1122"/>
      <c r="O468" s="1122"/>
      <c r="P468" s="1122"/>
      <c r="Q468" s="1122"/>
      <c r="R468" s="1122"/>
      <c r="S468" s="1122"/>
      <c r="T468" s="1122"/>
      <c r="U468" s="1122"/>
      <c r="V468" s="1123"/>
      <c r="W468" s="1124">
        <v>10</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5" t="s">
        <v>2422</v>
      </c>
      <c r="H469" s="1566"/>
      <c r="I469" s="1566"/>
      <c r="J469" s="1566"/>
      <c r="K469" s="1566"/>
      <c r="L469" s="1566"/>
      <c r="M469" s="1566"/>
      <c r="N469" s="1566"/>
      <c r="O469" s="1566"/>
      <c r="P469" s="1566"/>
      <c r="Q469" s="1566"/>
      <c r="R469" s="1566"/>
      <c r="S469" s="1566"/>
      <c r="T469" s="1566"/>
      <c r="U469" s="1566"/>
      <c r="V469" s="1567"/>
      <c r="W469" s="1106">
        <v>36</v>
      </c>
      <c r="X469" s="1107"/>
      <c r="Y469" s="1108"/>
      <c r="Z469" s="310"/>
      <c r="AA469" s="310"/>
      <c r="AB469" s="310"/>
      <c r="AC469" s="310"/>
      <c r="AD469" s="310"/>
      <c r="AE469" s="310"/>
      <c r="AF469" s="310"/>
      <c r="AG469" s="310"/>
      <c r="AH469" s="310"/>
      <c r="AI469" s="310"/>
      <c r="AJ469" s="41"/>
      <c r="AK469" s="41"/>
      <c r="AL469" s="41"/>
    </row>
    <row r="470" spans="1:97" ht="12.9" customHeight="1">
      <c r="A470" s="41"/>
      <c r="B470" s="41"/>
      <c r="C470" s="41"/>
      <c r="D470" s="948" t="s">
        <v>1300</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127" t="s">
        <v>123</v>
      </c>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8"/>
      <c r="E472" s="1128"/>
      <c r="F472" s="1128"/>
      <c r="G472" s="1128"/>
      <c r="H472" s="1128"/>
      <c r="I472" s="1128"/>
      <c r="J472" s="1128"/>
      <c r="K472" s="1128"/>
      <c r="L472" s="1128"/>
      <c r="M472" s="1128"/>
      <c r="N472" s="1128"/>
      <c r="O472" s="1128"/>
      <c r="P472" s="1128"/>
      <c r="Q472" s="1128"/>
      <c r="R472" s="1128"/>
      <c r="S472" s="1128"/>
      <c r="T472" s="1128"/>
      <c r="U472" s="1128"/>
      <c r="V472" s="1128"/>
      <c r="W472" s="1128"/>
      <c r="X472" s="1128"/>
      <c r="Y472" s="112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8"/>
      <c r="E473" s="1128"/>
      <c r="F473" s="1128"/>
      <c r="G473" s="1128"/>
      <c r="H473" s="1128"/>
      <c r="I473" s="1128"/>
      <c r="J473" s="1128"/>
      <c r="K473" s="1128"/>
      <c r="L473" s="1128"/>
      <c r="M473" s="1128"/>
      <c r="N473" s="1128"/>
      <c r="O473" s="1128"/>
      <c r="P473" s="1128"/>
      <c r="Q473" s="1128"/>
      <c r="R473" s="1128"/>
      <c r="S473" s="1128"/>
      <c r="T473" s="1128"/>
      <c r="U473" s="1128"/>
      <c r="V473" s="1128"/>
      <c r="W473" s="1128"/>
      <c r="X473" s="1128"/>
      <c r="Y473" s="112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1027</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0" t="s">
        <v>237</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27" t="s">
        <v>2385</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27" t="s">
        <v>2386</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27" t="s">
        <v>2387</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3" t="s">
        <v>241</v>
      </c>
      <c r="C485" s="1344"/>
      <c r="D485" s="1344"/>
      <c r="E485" s="1344"/>
      <c r="F485" s="1344"/>
      <c r="G485" s="1344"/>
      <c r="H485" s="1344"/>
      <c r="I485" s="1344"/>
      <c r="J485" s="1344"/>
      <c r="K485" s="1344"/>
      <c r="L485" s="1344"/>
      <c r="M485" s="1344"/>
      <c r="N485" s="1344"/>
      <c r="O485" s="1344"/>
      <c r="P485" s="1345"/>
      <c r="Q485" s="1314" t="s">
        <v>107</v>
      </c>
      <c r="R485" s="1315"/>
      <c r="S485" s="1318" t="s">
        <v>2388</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6"/>
      <c r="C486" s="1347"/>
      <c r="D486" s="1347"/>
      <c r="E486" s="1347"/>
      <c r="F486" s="1347"/>
      <c r="G486" s="1347"/>
      <c r="H486" s="1347"/>
      <c r="I486" s="1347"/>
      <c r="J486" s="1347"/>
      <c r="K486" s="1347"/>
      <c r="L486" s="1347"/>
      <c r="M486" s="1347"/>
      <c r="N486" s="1347"/>
      <c r="O486" s="1347"/>
      <c r="P486" s="1348"/>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2201</v>
      </c>
      <c r="C487" s="814"/>
      <c r="D487" s="814"/>
      <c r="E487" s="814"/>
      <c r="F487" s="814"/>
      <c r="G487" s="814"/>
      <c r="H487" s="814"/>
      <c r="I487" s="814"/>
      <c r="J487" s="814"/>
      <c r="K487" s="814"/>
      <c r="L487" s="814"/>
      <c r="M487" s="814"/>
      <c r="N487" s="814"/>
      <c r="O487" s="814"/>
      <c r="P487" s="814"/>
      <c r="Q487" s="1324" t="s">
        <v>481</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27" t="s">
        <v>2389</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27">
        <v>0</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1972</v>
      </c>
      <c r="C490" s="9"/>
      <c r="D490" s="9"/>
      <c r="E490" s="9"/>
      <c r="F490" s="9"/>
      <c r="G490" s="9"/>
      <c r="H490" s="9"/>
      <c r="I490" s="9"/>
      <c r="J490" s="9"/>
      <c r="K490" s="9"/>
      <c r="L490" s="9"/>
      <c r="M490" s="9"/>
      <c r="N490" s="9"/>
      <c r="O490" s="9"/>
      <c r="P490" s="9"/>
      <c r="Q490" s="1327">
        <v>11</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1973</v>
      </c>
      <c r="C491" s="9"/>
      <c r="D491" s="9"/>
      <c r="E491" s="9"/>
      <c r="F491" s="9"/>
      <c r="G491" s="9"/>
      <c r="H491" s="9"/>
      <c r="I491" s="9"/>
      <c r="J491" s="9"/>
      <c r="K491" s="9"/>
      <c r="L491" s="9"/>
      <c r="M491" s="1329">
        <v>11</v>
      </c>
      <c r="N491" s="1330"/>
      <c r="O491" s="1330"/>
      <c r="P491" s="1331"/>
      <c r="Q491" s="214" t="s">
        <v>1974</v>
      </c>
      <c r="R491" s="9"/>
      <c r="S491" s="9"/>
      <c r="T491" s="9"/>
      <c r="U491" s="9"/>
      <c r="V491" s="9"/>
      <c r="W491" s="9"/>
      <c r="X491" s="9"/>
      <c r="Y491" s="9"/>
      <c r="Z491" s="9"/>
      <c r="AA491" s="9"/>
      <c r="AB491" s="9"/>
      <c r="AC491" s="9"/>
      <c r="AD491" s="9"/>
      <c r="AE491" s="9"/>
      <c r="AF491" s="9"/>
      <c r="AG491" s="9"/>
      <c r="AH491" s="1329">
        <v>0</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245</v>
      </c>
      <c r="AD495" s="1351"/>
      <c r="AE495" s="1351"/>
      <c r="AF495" s="1351"/>
      <c r="AG495" s="1351"/>
      <c r="AH495" s="1351"/>
      <c r="AI495" s="1351"/>
      <c r="AJ495" s="1351"/>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246</v>
      </c>
      <c r="AD496" s="1351"/>
      <c r="AE496" s="1351"/>
      <c r="AF496" s="1351"/>
      <c r="AG496" s="56" t="s">
        <v>247</v>
      </c>
      <c r="AH496" s="1351" t="s">
        <v>248</v>
      </c>
      <c r="AI496" s="1351"/>
      <c r="AJ496" s="1351"/>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9" t="s">
        <v>249</v>
      </c>
      <c r="C497" s="1300"/>
      <c r="D497" s="1300"/>
      <c r="E497" s="1300"/>
      <c r="F497" s="1300"/>
      <c r="G497" s="1300"/>
      <c r="H497" s="1301"/>
      <c r="I497" s="7" t="s">
        <v>670</v>
      </c>
      <c r="J497" s="7"/>
      <c r="K497" s="7"/>
      <c r="L497" s="7"/>
      <c r="M497" s="7"/>
      <c r="N497" s="7"/>
      <c r="O497" s="7"/>
      <c r="P497" s="7"/>
      <c r="Q497" s="7"/>
      <c r="R497" s="7"/>
      <c r="S497" s="7"/>
      <c r="T497" s="7"/>
      <c r="U497" s="7"/>
      <c r="V497" s="7"/>
      <c r="W497" s="7"/>
      <c r="AC497" s="1298">
        <v>2</v>
      </c>
      <c r="AD497" s="1103"/>
      <c r="AE497" s="1103"/>
      <c r="AF497" s="1103"/>
      <c r="AG497" s="18" t="s">
        <v>247</v>
      </c>
      <c r="AH497" s="1058">
        <v>2023</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2"/>
      <c r="C498" s="1303"/>
      <c r="D498" s="1303"/>
      <c r="E498" s="1303"/>
      <c r="F498" s="1303"/>
      <c r="G498" s="1303"/>
      <c r="H498" s="1304"/>
      <c r="I498" s="54" t="s">
        <v>671</v>
      </c>
      <c r="J498" s="54"/>
      <c r="K498" s="54"/>
      <c r="L498" s="54"/>
      <c r="M498" s="54"/>
      <c r="N498" s="54"/>
      <c r="O498" s="54"/>
      <c r="P498" s="54"/>
      <c r="Q498" s="54"/>
      <c r="R498" s="54"/>
      <c r="S498" s="54"/>
      <c r="T498" s="54"/>
      <c r="U498" s="54"/>
      <c r="V498" s="54"/>
      <c r="W498" s="54"/>
      <c r="X498" s="54"/>
      <c r="Y498" s="54"/>
      <c r="Z498" s="54"/>
      <c r="AA498" s="54"/>
      <c r="AB498" s="54"/>
      <c r="AC498" s="1298">
        <v>3</v>
      </c>
      <c r="AD498" s="1103"/>
      <c r="AE498" s="1103"/>
      <c r="AF498" s="1103"/>
      <c r="AG498" s="47" t="s">
        <v>247</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9" t="s">
        <v>672</v>
      </c>
      <c r="C499" s="1300"/>
      <c r="D499" s="1300"/>
      <c r="E499" s="1300"/>
      <c r="F499" s="1300"/>
      <c r="G499" s="1300"/>
      <c r="H499" s="1301"/>
      <c r="I499" s="7" t="s">
        <v>673</v>
      </c>
      <c r="J499" s="7"/>
      <c r="K499" s="7"/>
      <c r="L499" s="7"/>
      <c r="M499" s="7"/>
      <c r="N499" s="7"/>
      <c r="O499" s="7"/>
      <c r="P499" s="7"/>
      <c r="Q499" s="7"/>
      <c r="R499" s="7"/>
      <c r="S499" s="7"/>
      <c r="T499" s="7"/>
      <c r="U499" s="7"/>
      <c r="V499" s="7"/>
      <c r="W499" s="7"/>
      <c r="AC499" s="1298" t="s">
        <v>123</v>
      </c>
      <c r="AD499" s="1103"/>
      <c r="AE499" s="1103"/>
      <c r="AF499" s="1103"/>
      <c r="AG499" s="18" t="s">
        <v>247</v>
      </c>
      <c r="AH499" s="1058" t="s">
        <v>123</v>
      </c>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2"/>
      <c r="C500" s="1303"/>
      <c r="D500" s="1303"/>
      <c r="E500" s="1303"/>
      <c r="F500" s="1303"/>
      <c r="G500" s="1303"/>
      <c r="H500" s="1304"/>
      <c r="I500" t="s">
        <v>674</v>
      </c>
      <c r="AC500" s="1298" t="s">
        <v>123</v>
      </c>
      <c r="AD500" s="1103"/>
      <c r="AE500" s="1103"/>
      <c r="AF500" s="1103"/>
      <c r="AG500" s="18" t="s">
        <v>247</v>
      </c>
      <c r="AH500" s="1058" t="s">
        <v>123</v>
      </c>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2"/>
      <c r="C501" s="1303"/>
      <c r="D501" s="1303"/>
      <c r="E501" s="1303"/>
      <c r="F501" s="1303"/>
      <c r="G501" s="1303"/>
      <c r="H501" s="1304"/>
      <c r="I501" t="s">
        <v>675</v>
      </c>
      <c r="AC501" s="1298">
        <v>2</v>
      </c>
      <c r="AD501" s="1103"/>
      <c r="AE501" s="1103"/>
      <c r="AF501" s="1103"/>
      <c r="AG501" s="18" t="s">
        <v>247</v>
      </c>
      <c r="AH501" s="1058">
        <v>2023</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2"/>
      <c r="C502" s="1303"/>
      <c r="D502" s="1303"/>
      <c r="E502" s="1303"/>
      <c r="F502" s="1303"/>
      <c r="G502" s="1303"/>
      <c r="H502" s="1304"/>
      <c r="I502" t="s">
        <v>676</v>
      </c>
      <c r="AC502" s="1298">
        <v>3</v>
      </c>
      <c r="AD502" s="1103"/>
      <c r="AE502" s="1103"/>
      <c r="AF502" s="1103"/>
      <c r="AG502" s="18" t="s">
        <v>247</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2"/>
      <c r="C503" s="1303"/>
      <c r="D503" s="1303"/>
      <c r="E503" s="1303"/>
      <c r="F503" s="1303"/>
      <c r="G503" s="1303"/>
      <c r="H503" s="1304"/>
      <c r="I503" s="41" t="s">
        <v>677</v>
      </c>
      <c r="AC503" s="1335">
        <v>3</v>
      </c>
      <c r="AD503" s="1336"/>
      <c r="AE503" s="1336"/>
      <c r="AF503" s="1336"/>
      <c r="AG503" s="18" t="s">
        <v>247</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2"/>
      <c r="C504" s="1303"/>
      <c r="D504" s="1303"/>
      <c r="E504" s="1303"/>
      <c r="F504" s="1303"/>
      <c r="G504" s="1303"/>
      <c r="H504" s="1304"/>
      <c r="I504" s="410" t="s">
        <v>282</v>
      </c>
      <c r="J504" s="54"/>
      <c r="K504" s="54"/>
      <c r="L504" s="1295" t="s">
        <v>2390</v>
      </c>
      <c r="M504" s="1296"/>
      <c r="N504" s="1296"/>
      <c r="O504" s="1296"/>
      <c r="P504" s="1296"/>
      <c r="Q504" s="1296"/>
      <c r="R504" s="1296"/>
      <c r="S504" s="1296"/>
      <c r="T504" s="1296"/>
      <c r="U504" s="1296"/>
      <c r="V504" s="1296"/>
      <c r="W504" s="1296"/>
      <c r="X504" s="1296"/>
      <c r="Y504" s="1296"/>
      <c r="Z504" s="1296"/>
      <c r="AA504" s="1296"/>
      <c r="AB504" s="1564"/>
      <c r="AC504" s="1399">
        <v>2</v>
      </c>
      <c r="AD504" s="1334"/>
      <c r="AE504" s="1334"/>
      <c r="AF504" s="1334"/>
      <c r="AG504" s="47" t="s">
        <v>247</v>
      </c>
      <c r="AH504" s="1058">
        <v>2023</v>
      </c>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2"/>
      <c r="C505" s="1303"/>
      <c r="D505" s="1303"/>
      <c r="E505" s="1303"/>
      <c r="F505" s="1303"/>
      <c r="G505" s="1303"/>
      <c r="H505" s="1304"/>
      <c r="I505" s="41" t="s">
        <v>1975</v>
      </c>
      <c r="AC505" s="1398" t="s">
        <v>481</v>
      </c>
      <c r="AD505" s="1398"/>
      <c r="AE505" s="1398"/>
      <c r="AF505" s="1398"/>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2"/>
      <c r="C506" s="1303"/>
      <c r="D506" s="1303"/>
      <c r="E506" s="1303"/>
      <c r="F506" s="1303"/>
      <c r="G506" s="1303"/>
      <c r="H506" s="1304"/>
      <c r="I506" t="s">
        <v>1976</v>
      </c>
      <c r="AC506" s="1335">
        <v>0</v>
      </c>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2"/>
      <c r="C507" s="1303"/>
      <c r="D507" s="1303"/>
      <c r="E507" s="1303"/>
      <c r="F507" s="1303"/>
      <c r="G507" s="1303"/>
      <c r="H507" s="1304"/>
      <c r="I507" t="s">
        <v>1977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2"/>
      <c r="C508" s="1303"/>
      <c r="D508" s="1303"/>
      <c r="E508" s="1303"/>
      <c r="F508" s="1303"/>
      <c r="G508" s="1303"/>
      <c r="H508" s="1304"/>
      <c r="I508" s="837" t="s">
        <v>1978</v>
      </c>
      <c r="J508" s="54"/>
      <c r="K508" s="54"/>
      <c r="L508" s="54"/>
      <c r="M508" s="54"/>
      <c r="N508" s="54"/>
      <c r="O508" s="54"/>
      <c r="P508" s="54"/>
      <c r="Q508" s="54"/>
      <c r="R508" s="54"/>
      <c r="S508" s="54"/>
      <c r="T508" s="54"/>
      <c r="U508" s="54"/>
      <c r="V508" s="54"/>
      <c r="W508" s="54"/>
      <c r="X508" s="54"/>
      <c r="Y508" s="54"/>
      <c r="Z508" s="54"/>
      <c r="AA508" s="54"/>
      <c r="AB508" s="54"/>
      <c r="AC508" s="1352">
        <v>0</v>
      </c>
      <c r="AD508" s="1353"/>
      <c r="AE508" s="1353"/>
      <c r="AF508" s="1354"/>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9" t="s">
        <v>678</v>
      </c>
      <c r="C509" s="1300"/>
      <c r="D509" s="1300"/>
      <c r="E509" s="1300"/>
      <c r="F509" s="1300"/>
      <c r="G509" s="1300"/>
      <c r="H509" s="1301"/>
      <c r="I509" s="7" t="s">
        <v>679</v>
      </c>
      <c r="J509" s="7"/>
      <c r="K509" s="7"/>
      <c r="L509" s="7"/>
      <c r="M509" s="7"/>
      <c r="N509" s="7"/>
      <c r="O509" s="7"/>
      <c r="P509" s="7"/>
      <c r="Q509" s="7"/>
      <c r="R509" s="7"/>
      <c r="S509" s="7"/>
      <c r="T509" s="7"/>
      <c r="U509" s="7"/>
      <c r="V509" s="7"/>
      <c r="W509" s="7"/>
      <c r="AC509" s="1298">
        <v>7</v>
      </c>
      <c r="AD509" s="1103"/>
      <c r="AE509" s="1103"/>
      <c r="AF509" s="1103"/>
      <c r="AG509" s="18" t="s">
        <v>247</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2"/>
      <c r="C510" s="1303"/>
      <c r="D510" s="1303"/>
      <c r="E510" s="1303"/>
      <c r="F510" s="1303"/>
      <c r="G510" s="1303"/>
      <c r="H510" s="1304"/>
      <c r="I510" t="s">
        <v>680</v>
      </c>
      <c r="AC510" s="1298">
        <v>7</v>
      </c>
      <c r="AD510" s="1103"/>
      <c r="AE510" s="1103"/>
      <c r="AF510" s="1103"/>
      <c r="AG510" s="18" t="s">
        <v>247</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2"/>
      <c r="C511" s="1303"/>
      <c r="D511" s="1303"/>
      <c r="E511" s="1303"/>
      <c r="F511" s="1303"/>
      <c r="G511" s="1303"/>
      <c r="H511" s="1304"/>
      <c r="I511" s="54" t="s">
        <v>681</v>
      </c>
      <c r="J511" s="54"/>
      <c r="K511" s="54"/>
      <c r="L511" s="54"/>
      <c r="M511" s="54"/>
      <c r="N511" s="54"/>
      <c r="O511" s="54"/>
      <c r="P511" s="54"/>
      <c r="Q511" s="54"/>
      <c r="R511" s="54"/>
      <c r="S511" s="54"/>
      <c r="T511" s="54"/>
      <c r="U511" s="54"/>
      <c r="V511" s="54"/>
      <c r="W511" s="54"/>
      <c r="X511" s="54"/>
      <c r="Y511" s="54"/>
      <c r="Z511" s="54"/>
      <c r="AA511" s="54"/>
      <c r="AB511" s="54"/>
      <c r="AC511" s="1298">
        <v>3</v>
      </c>
      <c r="AD511" s="1103"/>
      <c r="AE511" s="1103"/>
      <c r="AF511" s="1103"/>
      <c r="AG511" s="47" t="s">
        <v>247</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9" t="s">
        <v>682</v>
      </c>
      <c r="C512" s="1300"/>
      <c r="D512" s="1300"/>
      <c r="E512" s="1300"/>
      <c r="F512" s="1300"/>
      <c r="G512" s="1300"/>
      <c r="H512" s="1301"/>
      <c r="I512" s="7" t="s">
        <v>679</v>
      </c>
      <c r="J512" s="7"/>
      <c r="K512" s="7"/>
      <c r="L512" s="7"/>
      <c r="M512" s="7"/>
      <c r="N512" s="7"/>
      <c r="O512" s="7"/>
      <c r="P512" s="7"/>
      <c r="Q512" s="7"/>
      <c r="R512" s="7"/>
      <c r="S512" s="7"/>
      <c r="T512" s="7"/>
      <c r="U512" s="7"/>
      <c r="V512" s="7"/>
      <c r="W512" s="7"/>
      <c r="X512" s="7"/>
      <c r="Y512" s="7"/>
      <c r="Z512" s="7"/>
      <c r="AA512" s="7"/>
      <c r="AB512" s="7"/>
      <c r="AC512" s="1082">
        <v>7</v>
      </c>
      <c r="AD512" s="1083"/>
      <c r="AE512" s="1083"/>
      <c r="AF512" s="1083"/>
      <c r="AG512" s="230" t="s">
        <v>247</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2"/>
      <c r="C513" s="1303"/>
      <c r="D513" s="1303"/>
      <c r="E513" s="1303"/>
      <c r="F513" s="1303"/>
      <c r="G513" s="1303"/>
      <c r="H513" s="1304"/>
      <c r="I513" t="s">
        <v>680</v>
      </c>
      <c r="AC513" s="1298">
        <v>7</v>
      </c>
      <c r="AD513" s="1103"/>
      <c r="AE513" s="1103"/>
      <c r="AF513" s="1103"/>
      <c r="AG513" s="18" t="s">
        <v>247</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5"/>
      <c r="C514" s="1306"/>
      <c r="D514" s="1306"/>
      <c r="E514" s="1306"/>
      <c r="F514" s="1306"/>
      <c r="G514" s="1306"/>
      <c r="H514" s="1307"/>
      <c r="I514" s="54" t="s">
        <v>681</v>
      </c>
      <c r="J514" s="54"/>
      <c r="K514" s="54"/>
      <c r="L514" s="54"/>
      <c r="M514" s="54"/>
      <c r="N514" s="54"/>
      <c r="O514" s="54"/>
      <c r="P514" s="54"/>
      <c r="Q514" s="54"/>
      <c r="R514" s="54"/>
      <c r="S514" s="54"/>
      <c r="T514" s="54"/>
      <c r="U514" s="54"/>
      <c r="V514" s="54"/>
      <c r="W514" s="54"/>
      <c r="X514" s="54"/>
      <c r="Y514" s="54"/>
      <c r="Z514" s="54"/>
      <c r="AA514" s="54"/>
      <c r="AB514" s="54"/>
      <c r="AC514" s="1298">
        <v>3</v>
      </c>
      <c r="AD514" s="1103"/>
      <c r="AE514" s="1103"/>
      <c r="AF514" s="1103"/>
      <c r="AG514" s="47" t="s">
        <v>247</v>
      </c>
      <c r="AH514" s="1058">
        <v>2025</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9" t="s">
        <v>683</v>
      </c>
      <c r="C515" s="1300"/>
      <c r="D515" s="1300"/>
      <c r="E515" s="1300"/>
      <c r="F515" s="1300"/>
      <c r="G515" s="1300"/>
      <c r="H515" s="1301"/>
      <c r="I515" s="6" t="s">
        <v>684</v>
      </c>
      <c r="J515" s="7"/>
      <c r="K515" s="7"/>
      <c r="L515" s="7"/>
      <c r="M515" s="7"/>
      <c r="N515" s="7"/>
      <c r="O515" s="1295" t="s">
        <v>2423</v>
      </c>
      <c r="P515" s="1296"/>
      <c r="Q515" s="1296"/>
      <c r="R515" s="1296"/>
      <c r="S515" s="1296"/>
      <c r="T515" s="1296"/>
      <c r="U515" s="1296"/>
      <c r="V515" s="1296"/>
      <c r="W515" s="1296"/>
      <c r="X515" s="1296"/>
      <c r="Y515" s="1296"/>
      <c r="Z515" s="1296"/>
      <c r="AA515" s="1296"/>
      <c r="AB515" s="64"/>
      <c r="AC515" s="1082" t="s">
        <v>123</v>
      </c>
      <c r="AD515" s="1083"/>
      <c r="AE515" s="1083"/>
      <c r="AF515" s="1083"/>
      <c r="AG515" s="230" t="s">
        <v>247</v>
      </c>
      <c r="AH515" s="1058" t="s">
        <v>123</v>
      </c>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2"/>
      <c r="C516" s="1303"/>
      <c r="D516" s="1303"/>
      <c r="E516" s="1303"/>
      <c r="F516" s="1303"/>
      <c r="G516" s="1303"/>
      <c r="H516" s="1304"/>
      <c r="I516" s="204" t="s">
        <v>685</v>
      </c>
      <c r="AB516" s="71"/>
      <c r="AC516" s="1298">
        <v>2</v>
      </c>
      <c r="AD516" s="1103"/>
      <c r="AE516" s="1103"/>
      <c r="AF516" s="1103"/>
      <c r="AG516" s="18" t="s">
        <v>247</v>
      </c>
      <c r="AH516" s="1058">
        <v>2023</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2"/>
      <c r="C517" s="1303"/>
      <c r="D517" s="1303"/>
      <c r="E517" s="1303"/>
      <c r="F517" s="1303"/>
      <c r="G517" s="1303"/>
      <c r="H517" s="1304"/>
      <c r="I517" s="53" t="s">
        <v>686</v>
      </c>
      <c r="J517" s="54"/>
      <c r="K517" s="54"/>
      <c r="L517" s="54"/>
      <c r="M517" s="54"/>
      <c r="N517" s="54"/>
      <c r="O517" s="54"/>
      <c r="P517" s="54"/>
      <c r="Q517" s="54"/>
      <c r="R517" s="54"/>
      <c r="S517" s="54"/>
      <c r="T517" s="54"/>
      <c r="U517" s="54"/>
      <c r="V517" s="54"/>
      <c r="W517" s="54"/>
      <c r="X517" s="54"/>
      <c r="Y517" s="54"/>
      <c r="Z517" s="54"/>
      <c r="AA517" s="54"/>
      <c r="AB517" s="55"/>
      <c r="AC517" s="1298">
        <v>3</v>
      </c>
      <c r="AD517" s="1103"/>
      <c r="AE517" s="1103"/>
      <c r="AF517" s="1103"/>
      <c r="AG517" s="47" t="s">
        <v>247</v>
      </c>
      <c r="AH517" s="1058">
        <v>2025</v>
      </c>
      <c r="AI517" s="1058"/>
      <c r="AJ517" s="1058"/>
      <c r="AK517" s="1059"/>
      <c r="AM517" s="41"/>
      <c r="AN517" s="41"/>
      <c r="AO517" s="41"/>
      <c r="AP517" s="41"/>
      <c r="AQ517" s="41"/>
      <c r="AR517" s="41"/>
      <c r="AS517" s="41"/>
      <c r="AT517" s="41"/>
      <c r="AU517" s="41"/>
      <c r="AV517" s="41"/>
      <c r="AW517" s="41"/>
      <c r="AX517" s="41"/>
      <c r="AY517" s="41"/>
      <c r="AZ517" s="41" t="s">
        <v>1967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2"/>
      <c r="C518" s="1303"/>
      <c r="D518" s="1303"/>
      <c r="E518" s="1303"/>
      <c r="F518" s="1303"/>
      <c r="G518" s="1303"/>
      <c r="H518" s="1304"/>
      <c r="I518" s="7" t="s">
        <v>687</v>
      </c>
      <c r="J518" s="7"/>
      <c r="K518" s="7"/>
      <c r="L518" s="7"/>
      <c r="M518" s="7"/>
      <c r="N518" s="7"/>
      <c r="O518" s="1295" t="s">
        <v>2391</v>
      </c>
      <c r="P518" s="1296"/>
      <c r="Q518" s="1296"/>
      <c r="R518" s="1296"/>
      <c r="S518" s="1296"/>
      <c r="T518" s="1296"/>
      <c r="U518" s="1296"/>
      <c r="V518" s="1296"/>
      <c r="W518" s="1296"/>
      <c r="X518" s="1296"/>
      <c r="Y518" s="1296"/>
      <c r="Z518" s="1296"/>
      <c r="AA518" s="1296"/>
      <c r="AC518" s="1298" t="s">
        <v>123</v>
      </c>
      <c r="AD518" s="1103"/>
      <c r="AE518" s="1103"/>
      <c r="AF518" s="1103"/>
      <c r="AG518" s="18" t="s">
        <v>247</v>
      </c>
      <c r="AH518" s="1058" t="s">
        <v>123</v>
      </c>
      <c r="AI518" s="1058"/>
      <c r="AJ518" s="1058"/>
      <c r="AK518" s="1059"/>
      <c r="AM518" s="41"/>
      <c r="AN518" s="41"/>
      <c r="AO518" s="41"/>
      <c r="AP518" s="41"/>
      <c r="AQ518" s="41"/>
      <c r="AR518" s="41"/>
      <c r="AS518" s="41"/>
      <c r="AT518" s="41"/>
      <c r="AU518" s="41"/>
      <c r="AV518" s="41"/>
      <c r="AW518" s="41"/>
      <c r="AX518" s="41"/>
      <c r="AY518" s="41"/>
      <c r="AZ518" s="41" t="s">
        <v>2159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2"/>
      <c r="C519" s="1303"/>
      <c r="D519" s="1303"/>
      <c r="E519" s="1303"/>
      <c r="F519" s="1303"/>
      <c r="G519" s="1303"/>
      <c r="H519" s="1304"/>
      <c r="I519" t="s">
        <v>685</v>
      </c>
      <c r="AC519" s="1298">
        <v>8</v>
      </c>
      <c r="AD519" s="1103"/>
      <c r="AE519" s="1103"/>
      <c r="AF519" s="1103"/>
      <c r="AG519" s="18" t="s">
        <v>247</v>
      </c>
      <c r="AH519" s="1058">
        <v>2017</v>
      </c>
      <c r="AI519" s="1058"/>
      <c r="AJ519" s="1058"/>
      <c r="AK519" s="1059"/>
      <c r="AM519" s="41"/>
      <c r="AN519" s="41"/>
      <c r="AO519" s="41"/>
      <c r="AP519" s="41"/>
      <c r="AQ519" s="41"/>
      <c r="AR519" s="41"/>
      <c r="AS519" s="41"/>
      <c r="AT519" s="41"/>
      <c r="AU519" s="41"/>
      <c r="AV519" s="41"/>
      <c r="AW519" s="41"/>
      <c r="AX519" s="41"/>
      <c r="AY519" s="41"/>
      <c r="AZ519" s="41" t="s">
        <v>2160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2"/>
      <c r="C520" s="1303"/>
      <c r="D520" s="1303"/>
      <c r="E520" s="1303"/>
      <c r="F520" s="1303"/>
      <c r="G520" s="1303"/>
      <c r="H520" s="1304"/>
      <c r="I520" s="54" t="s">
        <v>686</v>
      </c>
      <c r="J520" s="54"/>
      <c r="K520" s="54"/>
      <c r="L520" s="54"/>
      <c r="M520" s="54"/>
      <c r="N520" s="54"/>
      <c r="O520" s="54"/>
      <c r="P520" s="54"/>
      <c r="Q520" s="54"/>
      <c r="R520" s="54"/>
      <c r="S520" s="54"/>
      <c r="T520" s="54"/>
      <c r="U520" s="54"/>
      <c r="V520" s="54"/>
      <c r="W520" s="54"/>
      <c r="X520" s="54"/>
      <c r="Y520" s="54"/>
      <c r="Z520" s="54"/>
      <c r="AA520" s="54"/>
      <c r="AB520" s="54"/>
      <c r="AC520" s="1298">
        <v>10</v>
      </c>
      <c r="AD520" s="1103"/>
      <c r="AE520" s="1103"/>
      <c r="AF520" s="1103"/>
      <c r="AG520" s="47" t="s">
        <v>247</v>
      </c>
      <c r="AH520" s="1058">
        <v>2018</v>
      </c>
      <c r="AI520" s="1058"/>
      <c r="AJ520" s="1058"/>
      <c r="AK520" s="1059"/>
      <c r="AM520" s="41"/>
      <c r="AN520" s="41"/>
      <c r="AO520" s="41"/>
      <c r="AP520" s="41"/>
      <c r="AQ520" s="41"/>
      <c r="AR520" s="41"/>
      <c r="AS520" s="41"/>
      <c r="AT520" s="41"/>
      <c r="AU520" s="41"/>
      <c r="AV520" s="41"/>
      <c r="AW520" s="41"/>
      <c r="AX520" s="41"/>
      <c r="AY520" s="41"/>
      <c r="AZ520" s="41" t="s">
        <v>2161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2"/>
      <c r="C521" s="1303"/>
      <c r="D521" s="1303"/>
      <c r="E521" s="1303"/>
      <c r="F521" s="1303"/>
      <c r="G521" s="1303"/>
      <c r="H521" s="1304"/>
      <c r="I521" s="7" t="s">
        <v>687</v>
      </c>
      <c r="J521" s="7"/>
      <c r="K521" s="7"/>
      <c r="L521" s="7"/>
      <c r="M521" s="7"/>
      <c r="N521" s="7"/>
      <c r="O521" s="1295" t="s">
        <v>2392</v>
      </c>
      <c r="P521" s="1296"/>
      <c r="Q521" s="1296"/>
      <c r="R521" s="1296"/>
      <c r="S521" s="1296"/>
      <c r="T521" s="1296"/>
      <c r="U521" s="1296"/>
      <c r="V521" s="1296"/>
      <c r="W521" s="1296"/>
      <c r="X521" s="1296"/>
      <c r="Y521" s="1296"/>
      <c r="Z521" s="1296"/>
      <c r="AA521" s="1296"/>
      <c r="AC521" s="1298" t="s">
        <v>123</v>
      </c>
      <c r="AD521" s="1103"/>
      <c r="AE521" s="1103"/>
      <c r="AF521" s="1103"/>
      <c r="AG521" s="18" t="s">
        <v>247</v>
      </c>
      <c r="AH521" s="1058" t="s">
        <v>123</v>
      </c>
      <c r="AI521" s="1058"/>
      <c r="AJ521" s="1058"/>
      <c r="AK521" s="1059"/>
      <c r="AM521" s="41"/>
      <c r="AN521" s="41"/>
      <c r="AO521" s="41"/>
      <c r="AP521" s="41"/>
      <c r="AQ521" s="41"/>
      <c r="AR521" s="41"/>
      <c r="AS521" s="41"/>
      <c r="AT521" s="41"/>
      <c r="AU521" s="41"/>
      <c r="AV521" s="41"/>
      <c r="AW521" s="41"/>
      <c r="AX521" s="41"/>
      <c r="AY521" s="41"/>
      <c r="AZ521" s="41" t="s">
        <v>2162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2"/>
      <c r="C522" s="1303"/>
      <c r="D522" s="1303"/>
      <c r="E522" s="1303"/>
      <c r="F522" s="1303"/>
      <c r="G522" s="1303"/>
      <c r="H522" s="1304"/>
      <c r="I522" t="s">
        <v>685</v>
      </c>
      <c r="AC522" s="1298">
        <v>7</v>
      </c>
      <c r="AD522" s="1103"/>
      <c r="AE522" s="1103"/>
      <c r="AF522" s="1103"/>
      <c r="AG522" s="18" t="s">
        <v>247</v>
      </c>
      <c r="AH522" s="1058">
        <v>2019</v>
      </c>
      <c r="AI522" s="1058"/>
      <c r="AJ522" s="1058"/>
      <c r="AK522" s="1059"/>
      <c r="AM522" s="41"/>
      <c r="AN522" s="41"/>
      <c r="AO522" s="41"/>
      <c r="AP522" s="41"/>
      <c r="AQ522" s="41"/>
      <c r="AR522" s="41"/>
      <c r="AS522" s="41"/>
      <c r="AT522" s="41"/>
      <c r="AU522" s="41"/>
      <c r="AV522" s="41"/>
      <c r="AW522" s="41"/>
      <c r="AX522" s="41"/>
      <c r="AY522" s="41"/>
      <c r="AZ522" s="41" t="s">
        <v>2163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2"/>
      <c r="C523" s="1303"/>
      <c r="D523" s="1303"/>
      <c r="E523" s="1303"/>
      <c r="F523" s="1303"/>
      <c r="G523" s="1303"/>
      <c r="H523" s="1304"/>
      <c r="I523" s="54" t="s">
        <v>686</v>
      </c>
      <c r="J523" s="54"/>
      <c r="K523" s="54"/>
      <c r="L523" s="54"/>
      <c r="M523" s="54"/>
      <c r="N523" s="54"/>
      <c r="O523" s="54"/>
      <c r="P523" s="54"/>
      <c r="Q523" s="54"/>
      <c r="R523" s="54"/>
      <c r="S523" s="54"/>
      <c r="T523" s="54"/>
      <c r="U523" s="54"/>
      <c r="V523" s="54"/>
      <c r="W523" s="54"/>
      <c r="X523" s="54"/>
      <c r="Y523" s="54"/>
      <c r="Z523" s="54"/>
      <c r="AA523" s="54"/>
      <c r="AB523" s="54"/>
      <c r="AC523" s="1298">
        <v>3</v>
      </c>
      <c r="AD523" s="1103"/>
      <c r="AE523" s="1103"/>
      <c r="AF523" s="1103"/>
      <c r="AG523" s="47" t="s">
        <v>247</v>
      </c>
      <c r="AH523" s="1058">
        <v>2025</v>
      </c>
      <c r="AI523" s="1058"/>
      <c r="AJ523" s="1058"/>
      <c r="AK523" s="1059"/>
      <c r="AM523" s="41"/>
      <c r="AN523" s="41"/>
      <c r="AO523" s="41"/>
      <c r="AP523" s="41"/>
      <c r="AQ523" s="41"/>
      <c r="AR523" s="41"/>
      <c r="AS523" s="41"/>
      <c r="AT523" s="41"/>
      <c r="AU523" s="41"/>
      <c r="AV523" s="41"/>
      <c r="AW523" s="41"/>
      <c r="AX523" s="41"/>
      <c r="AY523" s="41"/>
      <c r="AZ523" s="41" t="s">
        <v>2164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2"/>
      <c r="C524" s="1303"/>
      <c r="D524" s="1303"/>
      <c r="E524" s="1303"/>
      <c r="F524" s="1303"/>
      <c r="G524" s="1303"/>
      <c r="H524" s="1304"/>
      <c r="I524" s="7" t="s">
        <v>687</v>
      </c>
      <c r="J524" s="7"/>
      <c r="K524" s="7"/>
      <c r="L524" s="7"/>
      <c r="M524" s="7"/>
      <c r="N524" s="7"/>
      <c r="O524" s="1295" t="s">
        <v>2424</v>
      </c>
      <c r="P524" s="1296"/>
      <c r="Q524" s="1296"/>
      <c r="R524" s="1296"/>
      <c r="S524" s="1296"/>
      <c r="T524" s="1296"/>
      <c r="U524" s="1296"/>
      <c r="V524" s="1296"/>
      <c r="W524" s="1296"/>
      <c r="X524" s="1296"/>
      <c r="Y524" s="1296"/>
      <c r="Z524" s="1296"/>
      <c r="AA524" s="1296"/>
      <c r="AC524" s="1298" t="s">
        <v>123</v>
      </c>
      <c r="AD524" s="1103"/>
      <c r="AE524" s="1103"/>
      <c r="AF524" s="1103"/>
      <c r="AG524" s="18" t="s">
        <v>247</v>
      </c>
      <c r="AH524" s="1058" t="s">
        <v>123</v>
      </c>
      <c r="AI524" s="1058"/>
      <c r="AJ524" s="1058"/>
      <c r="AK524" s="1059"/>
      <c r="AM524" s="41"/>
      <c r="AN524" s="41"/>
      <c r="AO524" s="41"/>
      <c r="AP524" s="41"/>
      <c r="AQ524" s="41"/>
      <c r="AR524" s="41"/>
      <c r="AS524" s="41"/>
      <c r="AT524" s="41"/>
      <c r="AU524" s="41"/>
      <c r="AV524" s="41"/>
      <c r="AW524" s="41"/>
      <c r="AX524" s="41"/>
      <c r="AY524" s="41"/>
      <c r="AZ524" s="41" t="s">
        <v>2165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2"/>
      <c r="C525" s="1303"/>
      <c r="D525" s="1303"/>
      <c r="E525" s="1303"/>
      <c r="F525" s="1303"/>
      <c r="G525" s="1303"/>
      <c r="H525" s="1304"/>
      <c r="I525" t="s">
        <v>685</v>
      </c>
      <c r="AC525" s="1298">
        <v>7</v>
      </c>
      <c r="AD525" s="1103"/>
      <c r="AE525" s="1103"/>
      <c r="AF525" s="1103"/>
      <c r="AG525" s="18" t="s">
        <v>247</v>
      </c>
      <c r="AH525" s="1058">
        <v>2023</v>
      </c>
      <c r="AI525" s="1058"/>
      <c r="AJ525" s="1058"/>
      <c r="AK525" s="1059"/>
      <c r="AM525" s="41"/>
      <c r="AN525" s="41"/>
      <c r="AO525" s="41"/>
      <c r="AP525" s="41"/>
      <c r="AQ525" s="41"/>
      <c r="AR525" s="41"/>
      <c r="AS525" s="41"/>
      <c r="AT525" s="41"/>
      <c r="AU525" s="41"/>
      <c r="AV525" s="41"/>
      <c r="AW525" s="41"/>
      <c r="AX525" s="41"/>
      <c r="AY525" s="41"/>
      <c r="AZ525" s="41" t="s">
        <v>2166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2"/>
      <c r="C526" s="1303"/>
      <c r="D526" s="1303"/>
      <c r="E526" s="1303"/>
      <c r="F526" s="1303"/>
      <c r="G526" s="1303"/>
      <c r="H526" s="1304"/>
      <c r="I526" s="54" t="s">
        <v>686</v>
      </c>
      <c r="J526" s="54"/>
      <c r="K526" s="54"/>
      <c r="L526" s="54"/>
      <c r="M526" s="54"/>
      <c r="N526" s="54"/>
      <c r="O526" s="54"/>
      <c r="P526" s="54"/>
      <c r="Q526" s="54"/>
      <c r="R526" s="54"/>
      <c r="S526" s="54"/>
      <c r="T526" s="54"/>
      <c r="U526" s="54"/>
      <c r="V526" s="54"/>
      <c r="W526" s="54"/>
      <c r="X526" s="54"/>
      <c r="Y526" s="54"/>
      <c r="Z526" s="54"/>
      <c r="AA526" s="54"/>
      <c r="AB526" s="54"/>
      <c r="AC526" s="1298">
        <v>3</v>
      </c>
      <c r="AD526" s="1103"/>
      <c r="AE526" s="1103"/>
      <c r="AF526" s="1103"/>
      <c r="AG526" s="47" t="s">
        <v>247</v>
      </c>
      <c r="AH526" s="1058">
        <v>2025</v>
      </c>
      <c r="AI526" s="1058"/>
      <c r="AJ526" s="1058"/>
      <c r="AK526" s="1059"/>
      <c r="AM526" s="41"/>
      <c r="AN526" s="41"/>
      <c r="AO526" s="41"/>
      <c r="AP526" s="41"/>
      <c r="AQ526" s="41"/>
      <c r="AR526" s="41"/>
      <c r="AS526" s="41"/>
      <c r="AT526" s="41"/>
      <c r="AU526" s="41"/>
      <c r="AV526" s="41"/>
      <c r="AW526" s="41"/>
      <c r="AX526" s="41"/>
      <c r="AY526" s="41"/>
      <c r="AZ526" s="41" t="s">
        <v>2167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2"/>
      <c r="C527" s="1303"/>
      <c r="D527" s="1303"/>
      <c r="E527" s="1303"/>
      <c r="F527" s="1303"/>
      <c r="G527" s="1303"/>
      <c r="H527" s="1304"/>
      <c r="I527" s="7" t="s">
        <v>687</v>
      </c>
      <c r="J527" s="7"/>
      <c r="K527" s="7"/>
      <c r="L527" s="7"/>
      <c r="M527" s="7"/>
      <c r="N527" s="7"/>
      <c r="O527" s="1295" t="s">
        <v>2425</v>
      </c>
      <c r="P527" s="1296"/>
      <c r="Q527" s="1296"/>
      <c r="R527" s="1296"/>
      <c r="S527" s="1296"/>
      <c r="T527" s="1296"/>
      <c r="U527" s="1296"/>
      <c r="V527" s="1296"/>
      <c r="W527" s="1296"/>
      <c r="X527" s="1296"/>
      <c r="Y527" s="1296"/>
      <c r="Z527" s="1296"/>
      <c r="AA527" s="1296"/>
      <c r="AC527" s="1298" t="s">
        <v>123</v>
      </c>
      <c r="AD527" s="1103"/>
      <c r="AE527" s="1103"/>
      <c r="AF527" s="1103"/>
      <c r="AG527" s="18" t="s">
        <v>247</v>
      </c>
      <c r="AH527" s="1058" t="s">
        <v>123</v>
      </c>
      <c r="AI527" s="1058"/>
      <c r="AJ527" s="1058"/>
      <c r="AK527" s="1059"/>
      <c r="AM527" s="41"/>
      <c r="AN527" s="41"/>
      <c r="AO527" s="41"/>
      <c r="AP527" s="41"/>
      <c r="AQ527" s="41"/>
      <c r="AR527" s="41"/>
      <c r="AS527" s="41"/>
      <c r="AT527" s="41"/>
      <c r="AU527" s="41"/>
      <c r="AV527" s="41"/>
      <c r="AW527" s="41"/>
      <c r="AX527" s="41"/>
      <c r="AY527" s="41"/>
      <c r="AZ527" s="41" t="s">
        <v>2168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2"/>
      <c r="C528" s="1303"/>
      <c r="D528" s="1303"/>
      <c r="E528" s="1303"/>
      <c r="F528" s="1303"/>
      <c r="G528" s="1303"/>
      <c r="H528" s="1304"/>
      <c r="I528" t="s">
        <v>685</v>
      </c>
      <c r="AC528" s="1298">
        <v>1</v>
      </c>
      <c r="AD528" s="1103"/>
      <c r="AE528" s="1103"/>
      <c r="AF528" s="1103"/>
      <c r="AG528" s="47" t="s">
        <v>247</v>
      </c>
      <c r="AH528" s="1058">
        <v>2024</v>
      </c>
      <c r="AI528" s="1058"/>
      <c r="AJ528" s="1058"/>
      <c r="AK528" s="1059"/>
      <c r="AM528" s="41"/>
      <c r="AN528" s="41"/>
      <c r="AO528" s="41"/>
      <c r="AP528" s="41"/>
      <c r="AQ528" s="41"/>
      <c r="AR528" s="41"/>
      <c r="AS528" s="41"/>
      <c r="AT528" s="41"/>
      <c r="AU528" s="41"/>
      <c r="AV528" s="41"/>
      <c r="AW528" s="41"/>
      <c r="AX528" s="41"/>
      <c r="AY528" s="41"/>
      <c r="AZ528" s="41" t="s">
        <v>2169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2"/>
      <c r="C529" s="1303"/>
      <c r="D529" s="1303"/>
      <c r="E529" s="1303"/>
      <c r="F529" s="1303"/>
      <c r="G529" s="1303"/>
      <c r="H529" s="1304"/>
      <c r="I529" s="54" t="s">
        <v>686</v>
      </c>
      <c r="J529" s="54"/>
      <c r="K529" s="54"/>
      <c r="L529" s="54"/>
      <c r="M529" s="54"/>
      <c r="N529" s="54"/>
      <c r="O529" s="54"/>
      <c r="P529" s="54"/>
      <c r="Q529" s="54"/>
      <c r="R529" s="54"/>
      <c r="S529" s="54"/>
      <c r="T529" s="54"/>
      <c r="U529" s="54"/>
      <c r="V529" s="54"/>
      <c r="W529" s="54"/>
      <c r="X529" s="54"/>
      <c r="Y529" s="54"/>
      <c r="Z529" s="54"/>
      <c r="AA529" s="54"/>
      <c r="AB529" s="54"/>
      <c r="AC529" s="1298">
        <v>3</v>
      </c>
      <c r="AD529" s="1103"/>
      <c r="AE529" s="1103"/>
      <c r="AF529" s="1103"/>
      <c r="AG529" s="18" t="s">
        <v>247</v>
      </c>
      <c r="AH529" s="1058">
        <v>2025</v>
      </c>
      <c r="AI529" s="1058"/>
      <c r="AJ529" s="1058"/>
      <c r="AK529" s="1059"/>
      <c r="AM529" s="41"/>
      <c r="AN529" s="41"/>
      <c r="AO529" s="41"/>
      <c r="AP529" s="41"/>
      <c r="AQ529" s="41"/>
      <c r="AR529" s="41"/>
      <c r="AS529" s="41"/>
      <c r="AT529" s="41"/>
      <c r="AU529" s="41"/>
      <c r="AV529" s="41"/>
      <c r="AW529" s="41"/>
      <c r="AX529" s="41"/>
      <c r="AY529" s="41"/>
      <c r="AZ529" s="41" t="s">
        <v>2170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2"/>
      <c r="C530" s="1303"/>
      <c r="D530" s="1303"/>
      <c r="E530" s="1303"/>
      <c r="F530" s="1303"/>
      <c r="G530" s="1303"/>
      <c r="H530" s="1304"/>
      <c r="I530" s="7" t="s">
        <v>687</v>
      </c>
      <c r="J530" s="7"/>
      <c r="K530" s="7"/>
      <c r="L530" s="7"/>
      <c r="M530" s="7"/>
      <c r="N530" s="7"/>
      <c r="O530" s="1295" t="s">
        <v>2426</v>
      </c>
      <c r="P530" s="1296"/>
      <c r="Q530" s="1296"/>
      <c r="R530" s="1296"/>
      <c r="S530" s="1296"/>
      <c r="T530" s="1296"/>
      <c r="U530" s="1296"/>
      <c r="V530" s="1296"/>
      <c r="W530" s="1296"/>
      <c r="X530" s="1296"/>
      <c r="Y530" s="1296"/>
      <c r="Z530" s="1296"/>
      <c r="AA530" s="1296"/>
      <c r="AC530" s="1298" t="s">
        <v>123</v>
      </c>
      <c r="AD530" s="1103"/>
      <c r="AE530" s="1103"/>
      <c r="AF530" s="1103"/>
      <c r="AG530" s="47" t="s">
        <v>247</v>
      </c>
      <c r="AH530" s="1058" t="s">
        <v>123</v>
      </c>
      <c r="AI530" s="1058"/>
      <c r="AJ530" s="1058"/>
      <c r="AK530" s="1059"/>
      <c r="AM530" s="41"/>
      <c r="AN530" s="41"/>
      <c r="AO530" s="41"/>
      <c r="AP530" s="41"/>
      <c r="AQ530" s="41"/>
      <c r="AR530" s="41"/>
      <c r="AS530" s="41"/>
      <c r="AT530" s="41"/>
      <c r="AU530" s="41"/>
      <c r="AV530" s="41"/>
      <c r="AW530" s="41"/>
      <c r="AX530" s="41"/>
      <c r="AY530" s="41"/>
      <c r="AZ530" s="41" t="s">
        <v>2171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2"/>
      <c r="C531" s="1303"/>
      <c r="D531" s="1303"/>
      <c r="E531" s="1303"/>
      <c r="F531" s="1303"/>
      <c r="G531" s="1303"/>
      <c r="H531" s="1304"/>
      <c r="I531" t="s">
        <v>685</v>
      </c>
      <c r="AC531" s="1298">
        <v>4</v>
      </c>
      <c r="AD531" s="1103"/>
      <c r="AE531" s="1103"/>
      <c r="AF531" s="1103"/>
      <c r="AG531" s="18" t="s">
        <v>247</v>
      </c>
      <c r="AH531" s="1058">
        <v>2024</v>
      </c>
      <c r="AI531" s="1058"/>
      <c r="AJ531" s="1058"/>
      <c r="AK531" s="1059"/>
      <c r="AM531" s="41"/>
      <c r="AN531" s="41"/>
      <c r="AO531" s="41"/>
      <c r="AP531" s="41"/>
      <c r="AQ531" s="41"/>
      <c r="AR531" s="41"/>
      <c r="AS531" s="41"/>
      <c r="AT531" s="41"/>
      <c r="AU531" s="41"/>
      <c r="AV531" s="41"/>
      <c r="AW531" s="41"/>
      <c r="AX531" s="41"/>
      <c r="AY531" s="41"/>
      <c r="AZ531" s="41" t="s">
        <v>2172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2"/>
      <c r="C532" s="1303"/>
      <c r="D532" s="1303"/>
      <c r="E532" s="1303"/>
      <c r="F532" s="1303"/>
      <c r="G532" s="1303"/>
      <c r="H532" s="1304"/>
      <c r="I532" s="54" t="s">
        <v>686</v>
      </c>
      <c r="J532" s="54"/>
      <c r="K532" s="54"/>
      <c r="L532" s="54"/>
      <c r="M532" s="54"/>
      <c r="N532" s="54"/>
      <c r="O532" s="54"/>
      <c r="P532" s="54"/>
      <c r="Q532" s="54"/>
      <c r="R532" s="54"/>
      <c r="S532" s="54"/>
      <c r="T532" s="54"/>
      <c r="U532" s="54"/>
      <c r="V532" s="54"/>
      <c r="W532" s="54"/>
      <c r="X532" s="54"/>
      <c r="Y532" s="54"/>
      <c r="Z532" s="54"/>
      <c r="AA532" s="54"/>
      <c r="AB532" s="54"/>
      <c r="AC532" s="1298">
        <v>3</v>
      </c>
      <c r="AD532" s="1103"/>
      <c r="AE532" s="1103"/>
      <c r="AF532" s="1103"/>
      <c r="AG532" s="47" t="s">
        <v>247</v>
      </c>
      <c r="AH532" s="1058">
        <v>2025</v>
      </c>
      <c r="AI532" s="1058"/>
      <c r="AJ532" s="1058"/>
      <c r="AK532" s="1059"/>
      <c r="AM532" s="41"/>
      <c r="AN532" s="41"/>
      <c r="AO532" s="41"/>
      <c r="AP532" s="41"/>
      <c r="AQ532" s="41"/>
      <c r="AR532" s="41"/>
      <c r="AS532" s="41"/>
      <c r="AT532" s="41"/>
      <c r="AU532" s="41"/>
      <c r="AV532" s="41"/>
      <c r="AW532" s="41"/>
      <c r="AX532" s="41"/>
      <c r="AY532" s="41"/>
      <c r="AZ532" s="41" t="s">
        <v>2173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2"/>
      <c r="C533" s="1303"/>
      <c r="D533" s="1303"/>
      <c r="E533" s="1303"/>
      <c r="F533" s="1303"/>
      <c r="G533" s="1303"/>
      <c r="H533" s="1304"/>
      <c r="I533" s="7" t="s">
        <v>734</v>
      </c>
      <c r="J533" s="7"/>
      <c r="K533" s="7"/>
      <c r="L533" s="7"/>
      <c r="M533" s="7"/>
      <c r="N533" s="7"/>
      <c r="O533" s="7"/>
      <c r="P533" s="7"/>
      <c r="Q533" s="7"/>
      <c r="R533" s="7"/>
      <c r="S533" s="7"/>
      <c r="T533" s="7"/>
      <c r="U533" s="7"/>
      <c r="V533" s="7"/>
      <c r="W533" s="7"/>
      <c r="AC533" s="1298">
        <v>6</v>
      </c>
      <c r="AD533" s="1103"/>
      <c r="AE533" s="1103"/>
      <c r="AF533" s="1103"/>
      <c r="AG533" s="47" t="s">
        <v>247</v>
      </c>
      <c r="AH533" s="1058">
        <v>2025</v>
      </c>
      <c r="AI533" s="1058"/>
      <c r="AJ533" s="1058"/>
      <c r="AK533" s="1059"/>
      <c r="AM533" s="41"/>
      <c r="AN533" s="41"/>
      <c r="AO533" s="41"/>
      <c r="AP533" s="41"/>
      <c r="AQ533" s="41"/>
      <c r="AR533" s="41"/>
      <c r="AS533" s="41"/>
      <c r="AT533" s="41"/>
      <c r="AU533" s="41"/>
      <c r="AV533" s="41"/>
      <c r="AW533" s="41"/>
      <c r="AX533" s="41"/>
      <c r="AY533" s="41"/>
      <c r="AZ533" s="41" t="s">
        <v>2174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2"/>
      <c r="C534" s="1303"/>
      <c r="D534" s="1303"/>
      <c r="E534" s="1303"/>
      <c r="F534" s="1303"/>
      <c r="G534" s="1303"/>
      <c r="H534" s="1304"/>
      <c r="I534" t="s">
        <v>735</v>
      </c>
      <c r="AC534" s="1298">
        <v>3</v>
      </c>
      <c r="AD534" s="1103"/>
      <c r="AE534" s="1103"/>
      <c r="AF534" s="1103"/>
      <c r="AG534" s="18" t="s">
        <v>247</v>
      </c>
      <c r="AH534" s="1058">
        <v>2025</v>
      </c>
      <c r="AI534" s="1058"/>
      <c r="AJ534" s="1058"/>
      <c r="AK534" s="1059"/>
      <c r="AM534" s="41"/>
      <c r="AN534" s="41"/>
      <c r="AO534" s="41"/>
      <c r="AP534" s="41"/>
      <c r="AQ534" s="41"/>
      <c r="AR534" s="41"/>
      <c r="AS534" s="41"/>
      <c r="AT534" s="41"/>
      <c r="AU534" s="41"/>
      <c r="AV534" s="41"/>
      <c r="AW534" s="41"/>
      <c r="AX534" s="41"/>
      <c r="AY534" s="41"/>
      <c r="AZ534" s="41" t="s">
        <v>2175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2"/>
      <c r="C535" s="1303"/>
      <c r="D535" s="1303"/>
      <c r="E535" s="1303"/>
      <c r="F535" s="1303"/>
      <c r="G535" s="1303"/>
      <c r="H535" s="1304"/>
      <c r="I535" t="s">
        <v>736</v>
      </c>
      <c r="AC535" s="1298">
        <v>9</v>
      </c>
      <c r="AD535" s="1103"/>
      <c r="AE535" s="1103"/>
      <c r="AF535" s="1103"/>
      <c r="AG535" s="47" t="s">
        <v>247</v>
      </c>
      <c r="AH535" s="1058">
        <v>2026</v>
      </c>
      <c r="AI535" s="1058"/>
      <c r="AJ535" s="1058"/>
      <c r="AK535" s="1059"/>
      <c r="AM535" s="41"/>
      <c r="AN535" s="41"/>
      <c r="AO535" s="41"/>
      <c r="AP535" s="41"/>
      <c r="AQ535" s="41"/>
      <c r="AR535" s="41"/>
      <c r="AS535" s="41"/>
      <c r="AT535" s="41"/>
      <c r="AU535" s="41"/>
      <c r="AV535" s="41"/>
      <c r="AW535" s="41"/>
      <c r="AX535" s="41"/>
      <c r="AY535" s="41"/>
      <c r="AZ535" s="41" t="s">
        <v>2176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2"/>
      <c r="C536" s="1303"/>
      <c r="D536" s="1303"/>
      <c r="E536" s="1303"/>
      <c r="F536" s="1303"/>
      <c r="G536" s="1303"/>
      <c r="H536" s="1304"/>
      <c r="I536" t="s">
        <v>737</v>
      </c>
      <c r="AC536" s="1298">
        <v>9</v>
      </c>
      <c r="AD536" s="1103"/>
      <c r="AE536" s="1103"/>
      <c r="AF536" s="1103"/>
      <c r="AG536" s="47" t="s">
        <v>247</v>
      </c>
      <c r="AH536" s="1058">
        <v>2026</v>
      </c>
      <c r="AI536" s="1058"/>
      <c r="AJ536" s="1058"/>
      <c r="AK536" s="1059"/>
      <c r="AM536" s="41"/>
      <c r="AN536" s="41"/>
      <c r="AO536" s="41"/>
      <c r="AP536" s="41"/>
      <c r="AQ536" s="41"/>
      <c r="AR536" s="41"/>
      <c r="AS536" s="41"/>
      <c r="AT536" s="41"/>
      <c r="AU536" s="41"/>
      <c r="AV536" s="41"/>
      <c r="AW536" s="41"/>
      <c r="AX536" s="41"/>
      <c r="AY536" s="41"/>
      <c r="AZ536" s="41" t="s">
        <v>2177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5"/>
      <c r="C537" s="1306"/>
      <c r="D537" s="1306"/>
      <c r="E537" s="1306"/>
      <c r="F537" s="1306"/>
      <c r="G537" s="1306"/>
      <c r="H537" s="1307"/>
      <c r="I537" s="54" t="s">
        <v>1356</v>
      </c>
      <c r="J537" s="54"/>
      <c r="K537" s="54"/>
      <c r="L537" s="54"/>
      <c r="M537" s="54"/>
      <c r="N537" s="54"/>
      <c r="O537" s="54"/>
      <c r="P537" s="54"/>
      <c r="Q537" s="54"/>
      <c r="R537" s="54"/>
      <c r="S537" s="54"/>
      <c r="T537" s="54"/>
      <c r="U537" s="54"/>
      <c r="V537" s="54"/>
      <c r="W537" s="54"/>
      <c r="X537" s="54"/>
      <c r="Y537" s="54"/>
      <c r="Z537" s="54"/>
      <c r="AA537" s="54"/>
      <c r="AB537" s="54"/>
      <c r="AC537" s="1298">
        <v>12</v>
      </c>
      <c r="AD537" s="1103"/>
      <c r="AE537" s="1103"/>
      <c r="AF537" s="1103"/>
      <c r="AG537" s="47" t="s">
        <v>247</v>
      </c>
      <c r="AH537" s="1058">
        <v>2026</v>
      </c>
      <c r="AI537" s="1058"/>
      <c r="AJ537" s="1058"/>
      <c r="AK537" s="1059"/>
      <c r="AM537" s="41"/>
      <c r="AN537" s="41"/>
      <c r="AO537" s="41"/>
      <c r="AP537" s="41"/>
      <c r="AQ537" s="41"/>
      <c r="AR537" s="41"/>
      <c r="AS537" s="41"/>
      <c r="AT537" s="41"/>
      <c r="AU537" s="41"/>
      <c r="AV537" s="41"/>
      <c r="AW537" s="41"/>
      <c r="AX537" s="41"/>
      <c r="AY537" s="41"/>
      <c r="AZ537" s="41" t="s">
        <v>2178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2179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497</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2183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2115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9" t="s">
        <v>2184</v>
      </c>
      <c r="C546" s="1300"/>
      <c r="D546" s="1300"/>
      <c r="E546" s="1300"/>
      <c r="F546" s="1300"/>
      <c r="G546" s="1300"/>
      <c r="H546" s="1300"/>
      <c r="I546" s="1300"/>
      <c r="J546" s="1300"/>
      <c r="K546" s="1300"/>
      <c r="L546" s="1300"/>
      <c r="M546" s="1415" t="s">
        <v>2158</v>
      </c>
      <c r="N546" s="1415"/>
      <c r="O546" s="1415"/>
      <c r="P546" s="1415"/>
      <c r="Q546" s="1299" t="s">
        <v>439</v>
      </c>
      <c r="R546" s="1300"/>
      <c r="S546" s="1301"/>
      <c r="T546" s="1299" t="s">
        <v>1979</v>
      </c>
      <c r="U546" s="1300"/>
      <c r="V546" s="1301"/>
      <c r="W546" s="1299" t="s">
        <v>739</v>
      </c>
      <c r="X546" s="1300"/>
      <c r="Y546" s="1301"/>
      <c r="Z546" s="1299" t="s">
        <v>1981</v>
      </c>
      <c r="AA546" s="1300"/>
      <c r="AB546" s="1300"/>
      <c r="AC546" s="1300"/>
      <c r="AD546" s="1301"/>
      <c r="AE546" s="1299" t="s">
        <v>1980</v>
      </c>
      <c r="AF546" s="1300"/>
      <c r="AG546" s="1300"/>
      <c r="AH546" s="1301"/>
      <c r="AI546" s="1299" t="s">
        <v>1982</v>
      </c>
      <c r="AJ546" s="1300"/>
      <c r="AK546" s="1300"/>
      <c r="AL546" s="1301"/>
      <c r="AM546" s="1299" t="s">
        <v>740</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2"/>
      <c r="C547" s="1303"/>
      <c r="D547" s="1303"/>
      <c r="E547" s="1303"/>
      <c r="F547" s="1303"/>
      <c r="G547" s="1303"/>
      <c r="H547" s="1303"/>
      <c r="I547" s="1303"/>
      <c r="J547" s="1303"/>
      <c r="K547" s="1303"/>
      <c r="L547" s="1303"/>
      <c r="M547" s="1415"/>
      <c r="N547" s="1415"/>
      <c r="O547" s="1415"/>
      <c r="P547" s="1415"/>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5"/>
      <c r="C548" s="1306"/>
      <c r="D548" s="1306"/>
      <c r="E548" s="1306"/>
      <c r="F548" s="1306"/>
      <c r="G548" s="1306"/>
      <c r="H548" s="1306"/>
      <c r="I548" s="1306"/>
      <c r="J548" s="1306"/>
      <c r="K548" s="1306"/>
      <c r="L548" s="1306"/>
      <c r="M548" s="1415"/>
      <c r="N548" s="1415"/>
      <c r="O548" s="1415"/>
      <c r="P548" s="1415"/>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3" t="s">
        <v>2393</v>
      </c>
      <c r="D549" s="1413"/>
      <c r="E549" s="1413"/>
      <c r="F549" s="1413"/>
      <c r="G549" s="1413"/>
      <c r="H549" s="1413"/>
      <c r="I549" s="1413"/>
      <c r="J549" s="1413"/>
      <c r="K549" s="1413"/>
      <c r="L549" s="1413"/>
      <c r="M549" s="1297" t="s">
        <v>2168</v>
      </c>
      <c r="N549" s="1297"/>
      <c r="O549" s="1297"/>
      <c r="P549" s="1297"/>
      <c r="Q549" s="1283">
        <v>24</v>
      </c>
      <c r="R549" s="1283"/>
      <c r="S549" s="1284"/>
      <c r="T549" s="1282">
        <v>0</v>
      </c>
      <c r="U549" s="1283"/>
      <c r="V549" s="1284"/>
      <c r="W549" s="1285">
        <v>7.3300000000000004E-2</v>
      </c>
      <c r="X549" s="1286"/>
      <c r="Y549" s="1287"/>
      <c r="Z549" s="1291" t="s">
        <v>2399</v>
      </c>
      <c r="AA549" s="1291"/>
      <c r="AB549" s="1291"/>
      <c r="AC549" s="1291"/>
      <c r="AD549" s="1291"/>
      <c r="AE549" s="1292">
        <v>1</v>
      </c>
      <c r="AF549" s="1293"/>
      <c r="AG549" s="1293"/>
      <c r="AH549" s="1294"/>
      <c r="AI549" s="1288">
        <v>0</v>
      </c>
      <c r="AJ549" s="1289"/>
      <c r="AK549" s="1289"/>
      <c r="AL549" s="1290"/>
      <c r="AM549" s="1201">
        <v>22047526</v>
      </c>
      <c r="AN549" s="1202"/>
      <c r="AO549" s="1202"/>
      <c r="AP549" s="1202"/>
      <c r="AQ549" s="1202"/>
      <c r="AR549" s="1202"/>
      <c r="AS549" s="1203"/>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3" t="s">
        <v>2484</v>
      </c>
      <c r="D550" s="1413"/>
      <c r="E550" s="1413"/>
      <c r="F550" s="1413"/>
      <c r="G550" s="1413"/>
      <c r="H550" s="1413"/>
      <c r="I550" s="1413"/>
      <c r="J550" s="1413"/>
      <c r="K550" s="1413"/>
      <c r="L550" s="1413"/>
      <c r="M550" s="1297" t="s">
        <v>2177</v>
      </c>
      <c r="N550" s="1297"/>
      <c r="O550" s="1297"/>
      <c r="P550" s="1297"/>
      <c r="Q550" s="1282">
        <v>24</v>
      </c>
      <c r="R550" s="1283"/>
      <c r="S550" s="1284"/>
      <c r="T550" s="1282">
        <v>0</v>
      </c>
      <c r="U550" s="1283"/>
      <c r="V550" s="1284"/>
      <c r="W550" s="1285">
        <v>0.03</v>
      </c>
      <c r="X550" s="1286"/>
      <c r="Y550" s="1287"/>
      <c r="Z550" s="1291" t="s">
        <v>2400</v>
      </c>
      <c r="AA550" s="1291"/>
      <c r="AB550" s="1291"/>
      <c r="AC550" s="1291"/>
      <c r="AD550" s="1291"/>
      <c r="AE550" s="1292">
        <v>2</v>
      </c>
      <c r="AF550" s="1293"/>
      <c r="AG550" s="1293"/>
      <c r="AH550" s="1294"/>
      <c r="AI550" s="1288">
        <v>0</v>
      </c>
      <c r="AJ550" s="1289"/>
      <c r="AK550" s="1289"/>
      <c r="AL550" s="1290"/>
      <c r="AM550" s="1201">
        <v>1784500</v>
      </c>
      <c r="AN550" s="1202"/>
      <c r="AO550" s="1202"/>
      <c r="AP550" s="1202"/>
      <c r="AQ550" s="1202"/>
      <c r="AR550" s="1202"/>
      <c r="AS550" s="1203"/>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3" t="s">
        <v>2426</v>
      </c>
      <c r="D551" s="1413"/>
      <c r="E551" s="1413"/>
      <c r="F551" s="1413"/>
      <c r="G551" s="1413"/>
      <c r="H551" s="1413"/>
      <c r="I551" s="1413"/>
      <c r="J551" s="1413"/>
      <c r="K551" s="1413"/>
      <c r="L551" s="1413"/>
      <c r="M551" s="1297" t="s">
        <v>2170</v>
      </c>
      <c r="N551" s="1297"/>
      <c r="O551" s="1297"/>
      <c r="P551" s="1297"/>
      <c r="Q551" s="1282">
        <v>24</v>
      </c>
      <c r="R551" s="1283"/>
      <c r="S551" s="1284"/>
      <c r="T551" s="1282">
        <v>0</v>
      </c>
      <c r="U551" s="1283"/>
      <c r="V551" s="1284"/>
      <c r="W551" s="1285">
        <v>0.03</v>
      </c>
      <c r="X551" s="1286"/>
      <c r="Y551" s="1287"/>
      <c r="Z551" s="1291" t="s">
        <v>2400</v>
      </c>
      <c r="AA551" s="1291"/>
      <c r="AB551" s="1291"/>
      <c r="AC551" s="1291"/>
      <c r="AD551" s="1291"/>
      <c r="AE551" s="1292">
        <v>3</v>
      </c>
      <c r="AF551" s="1293"/>
      <c r="AG551" s="1293"/>
      <c r="AH551" s="1294"/>
      <c r="AI551" s="1288">
        <v>0</v>
      </c>
      <c r="AJ551" s="1289"/>
      <c r="AK551" s="1289"/>
      <c r="AL551" s="1290"/>
      <c r="AM551" s="1201">
        <v>7000000</v>
      </c>
      <c r="AN551" s="1202"/>
      <c r="AO551" s="1202"/>
      <c r="AP551" s="1202"/>
      <c r="AQ551" s="1202"/>
      <c r="AR551" s="1202"/>
      <c r="AS551" s="1203"/>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3" t="s">
        <v>2425</v>
      </c>
      <c r="D552" s="1413"/>
      <c r="E552" s="1413"/>
      <c r="F552" s="1413"/>
      <c r="G552" s="1413"/>
      <c r="H552" s="1413"/>
      <c r="I552" s="1413"/>
      <c r="J552" s="1413"/>
      <c r="K552" s="1413"/>
      <c r="L552" s="1413"/>
      <c r="M552" s="1297" t="s">
        <v>2170</v>
      </c>
      <c r="N552" s="1297"/>
      <c r="O552" s="1297"/>
      <c r="P552" s="1297"/>
      <c r="Q552" s="1282">
        <v>24</v>
      </c>
      <c r="R552" s="1283"/>
      <c r="S552" s="1284"/>
      <c r="T552" s="1282">
        <v>0</v>
      </c>
      <c r="U552" s="1283"/>
      <c r="V552" s="1284"/>
      <c r="W552" s="1285">
        <v>0.03</v>
      </c>
      <c r="X552" s="1286"/>
      <c r="Y552" s="1287"/>
      <c r="Z552" s="1291" t="s">
        <v>2400</v>
      </c>
      <c r="AA552" s="1291"/>
      <c r="AB552" s="1291"/>
      <c r="AC552" s="1291"/>
      <c r="AD552" s="1291"/>
      <c r="AE552" s="1292">
        <v>4</v>
      </c>
      <c r="AF552" s="1293"/>
      <c r="AG552" s="1293"/>
      <c r="AH552" s="1294"/>
      <c r="AI552" s="1288">
        <v>0</v>
      </c>
      <c r="AJ552" s="1289"/>
      <c r="AK552" s="1289"/>
      <c r="AL552" s="1290"/>
      <c r="AM552" s="1201">
        <v>1994000</v>
      </c>
      <c r="AN552" s="1202"/>
      <c r="AO552" s="1202"/>
      <c r="AP552" s="1202"/>
      <c r="AQ552" s="1202"/>
      <c r="AR552" s="1202"/>
      <c r="AS552" s="1203"/>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3" t="s">
        <v>2478</v>
      </c>
      <c r="D553" s="1413"/>
      <c r="E553" s="1413"/>
      <c r="F553" s="1413"/>
      <c r="G553" s="1413"/>
      <c r="H553" s="1413"/>
      <c r="I553" s="1413"/>
      <c r="J553" s="1413"/>
      <c r="K553" s="1413"/>
      <c r="L553" s="1413"/>
      <c r="M553" s="1297" t="s">
        <v>2170</v>
      </c>
      <c r="N553" s="1297"/>
      <c r="O553" s="1297"/>
      <c r="P553" s="1297"/>
      <c r="Q553" s="1282">
        <v>24</v>
      </c>
      <c r="R553" s="1283"/>
      <c r="S553" s="1284"/>
      <c r="T553" s="1282">
        <v>0</v>
      </c>
      <c r="U553" s="1283"/>
      <c r="V553" s="1284"/>
      <c r="W553" s="1285">
        <v>0.03</v>
      </c>
      <c r="X553" s="1286"/>
      <c r="Y553" s="1287"/>
      <c r="Z553" s="1291" t="s">
        <v>2400</v>
      </c>
      <c r="AA553" s="1291"/>
      <c r="AB553" s="1291"/>
      <c r="AC553" s="1291"/>
      <c r="AD553" s="1291"/>
      <c r="AE553" s="1292">
        <v>5</v>
      </c>
      <c r="AF553" s="1293"/>
      <c r="AG553" s="1293"/>
      <c r="AH553" s="1294"/>
      <c r="AI553" s="1288">
        <v>0</v>
      </c>
      <c r="AJ553" s="1289"/>
      <c r="AK553" s="1289"/>
      <c r="AL553" s="1290"/>
      <c r="AM553" s="1201">
        <f>1400000+500000</f>
        <v>1900000</v>
      </c>
      <c r="AN553" s="1202"/>
      <c r="AO553" s="1202"/>
      <c r="AP553" s="1202"/>
      <c r="AQ553" s="1202"/>
      <c r="AR553" s="1202"/>
      <c r="AS553" s="1203"/>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3" t="s">
        <v>2394</v>
      </c>
      <c r="D554" s="1413"/>
      <c r="E554" s="1413"/>
      <c r="F554" s="1413"/>
      <c r="G554" s="1413"/>
      <c r="H554" s="1413"/>
      <c r="I554" s="1413"/>
      <c r="J554" s="1413"/>
      <c r="K554" s="1413"/>
      <c r="L554" s="1413"/>
      <c r="M554" s="1297" t="s">
        <v>2170</v>
      </c>
      <c r="N554" s="1297"/>
      <c r="O554" s="1297"/>
      <c r="P554" s="1297"/>
      <c r="Q554" s="1282">
        <v>24</v>
      </c>
      <c r="R554" s="1283"/>
      <c r="S554" s="1284"/>
      <c r="T554" s="1282">
        <v>0</v>
      </c>
      <c r="U554" s="1283"/>
      <c r="V554" s="1284"/>
      <c r="W554" s="1285">
        <v>0.03</v>
      </c>
      <c r="X554" s="1286"/>
      <c r="Y554" s="1287"/>
      <c r="Z554" s="1291" t="s">
        <v>2400</v>
      </c>
      <c r="AA554" s="1291"/>
      <c r="AB554" s="1291"/>
      <c r="AC554" s="1291"/>
      <c r="AD554" s="1291"/>
      <c r="AE554" s="1292">
        <v>6</v>
      </c>
      <c r="AF554" s="1293"/>
      <c r="AG554" s="1293"/>
      <c r="AH554" s="1294"/>
      <c r="AI554" s="1288">
        <v>0</v>
      </c>
      <c r="AJ554" s="1289"/>
      <c r="AK554" s="1289"/>
      <c r="AL554" s="1290"/>
      <c r="AM554" s="1201">
        <v>1000000</v>
      </c>
      <c r="AN554" s="1202"/>
      <c r="AO554" s="1202"/>
      <c r="AP554" s="1202"/>
      <c r="AQ554" s="1202"/>
      <c r="AR554" s="1202"/>
      <c r="AS554" s="1203"/>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3" t="s">
        <v>2279</v>
      </c>
      <c r="D555" s="1413"/>
      <c r="E555" s="1413"/>
      <c r="F555" s="1413"/>
      <c r="G555" s="1413"/>
      <c r="H555" s="1413"/>
      <c r="I555" s="1413"/>
      <c r="J555" s="1413"/>
      <c r="K555" s="1413"/>
      <c r="L555" s="1413"/>
      <c r="M555" s="1297" t="s">
        <v>2172</v>
      </c>
      <c r="N555" s="1297"/>
      <c r="O555" s="1297"/>
      <c r="P555" s="1297"/>
      <c r="Q555" s="1282">
        <v>0</v>
      </c>
      <c r="R555" s="1283"/>
      <c r="S555" s="1284"/>
      <c r="T555" s="1282">
        <v>0</v>
      </c>
      <c r="U555" s="1283"/>
      <c r="V555" s="1284"/>
      <c r="W555" s="1285">
        <v>0</v>
      </c>
      <c r="X555" s="1286"/>
      <c r="Y555" s="1287"/>
      <c r="Z555" s="1291" t="s">
        <v>123</v>
      </c>
      <c r="AA555" s="1291"/>
      <c r="AB555" s="1291"/>
      <c r="AC555" s="1291"/>
      <c r="AD555" s="1291"/>
      <c r="AE555" s="1292"/>
      <c r="AF555" s="1293"/>
      <c r="AG555" s="1293"/>
      <c r="AH555" s="1294"/>
      <c r="AI555" s="1288">
        <v>0</v>
      </c>
      <c r="AJ555" s="1289"/>
      <c r="AK555" s="1289"/>
      <c r="AL555" s="1290"/>
      <c r="AM555" s="1201">
        <v>540000</v>
      </c>
      <c r="AN555" s="1202"/>
      <c r="AO555" s="1202"/>
      <c r="AP555" s="1202"/>
      <c r="AQ555" s="1202"/>
      <c r="AR555" s="1202"/>
      <c r="AS555" s="1203"/>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3" t="s">
        <v>2395</v>
      </c>
      <c r="D556" s="1413"/>
      <c r="E556" s="1413"/>
      <c r="F556" s="1413"/>
      <c r="G556" s="1413"/>
      <c r="H556" s="1413"/>
      <c r="I556" s="1413"/>
      <c r="J556" s="1413"/>
      <c r="K556" s="1413"/>
      <c r="L556" s="1413"/>
      <c r="M556" s="1297" t="s">
        <v>2181</v>
      </c>
      <c r="N556" s="1297"/>
      <c r="O556" s="1297"/>
      <c r="P556" s="1297"/>
      <c r="Q556" s="1282">
        <v>0</v>
      </c>
      <c r="R556" s="1283"/>
      <c r="S556" s="1284"/>
      <c r="T556" s="1282">
        <v>0</v>
      </c>
      <c r="U556" s="1283"/>
      <c r="V556" s="1284"/>
      <c r="W556" s="1285">
        <v>0</v>
      </c>
      <c r="X556" s="1286"/>
      <c r="Y556" s="1287"/>
      <c r="Z556" s="1291" t="s">
        <v>123</v>
      </c>
      <c r="AA556" s="1291"/>
      <c r="AB556" s="1291"/>
      <c r="AC556" s="1291"/>
      <c r="AD556" s="1291"/>
      <c r="AE556" s="1292"/>
      <c r="AF556" s="1293"/>
      <c r="AG556" s="1293"/>
      <c r="AH556" s="1294"/>
      <c r="AI556" s="1288">
        <v>0</v>
      </c>
      <c r="AJ556" s="1289"/>
      <c r="AK556" s="1289"/>
      <c r="AL556" s="1290"/>
      <c r="AM556" s="1201">
        <v>4000000</v>
      </c>
      <c r="AN556" s="1202"/>
      <c r="AO556" s="1202"/>
      <c r="AP556" s="1202"/>
      <c r="AQ556" s="1202"/>
      <c r="AR556" s="1202"/>
      <c r="AS556" s="1203"/>
      <c r="AT556" s="945" t="str">
        <f>IF(AND(NOT(C555=""),C556="",NOT(C557="")),"!","")</f>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3" t="s">
        <v>2396</v>
      </c>
      <c r="D557" s="1413"/>
      <c r="E557" s="1413"/>
      <c r="F557" s="1413"/>
      <c r="G557" s="1413"/>
      <c r="H557" s="1413"/>
      <c r="I557" s="1413"/>
      <c r="J557" s="1413"/>
      <c r="K557" s="1413"/>
      <c r="L557" s="1419"/>
      <c r="M557" s="1297" t="s">
        <v>2165</v>
      </c>
      <c r="N557" s="1297"/>
      <c r="O557" s="1297"/>
      <c r="P557" s="1297"/>
      <c r="Q557" s="1282">
        <v>0</v>
      </c>
      <c r="R557" s="1283"/>
      <c r="S557" s="1284"/>
      <c r="T557" s="1282">
        <v>0</v>
      </c>
      <c r="U557" s="1283"/>
      <c r="V557" s="1284"/>
      <c r="W557" s="1285">
        <v>0</v>
      </c>
      <c r="X557" s="1286"/>
      <c r="Y557" s="1287"/>
      <c r="Z557" s="1291" t="s">
        <v>123</v>
      </c>
      <c r="AA557" s="1291"/>
      <c r="AB557" s="1291"/>
      <c r="AC557" s="1291"/>
      <c r="AD557" s="1291"/>
      <c r="AE557" s="1292"/>
      <c r="AF557" s="1293"/>
      <c r="AG557" s="1293"/>
      <c r="AH557" s="1294"/>
      <c r="AI557" s="1288">
        <v>0</v>
      </c>
      <c r="AJ557" s="1289"/>
      <c r="AK557" s="1289"/>
      <c r="AL557" s="1290"/>
      <c r="AM557" s="1201">
        <f>1953835-180000</f>
        <v>1773835</v>
      </c>
      <c r="AN557" s="1202"/>
      <c r="AO557" s="1202"/>
      <c r="AP557" s="1202"/>
      <c r="AQ557" s="1202"/>
      <c r="AR557" s="1202"/>
      <c r="AS557" s="1203"/>
      <c r="AT557" s="945" t="str">
        <f>IF(AND(NOT(C556=""),C557="",NOT(C558="")),"!","")</f>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3" t="s">
        <v>2397</v>
      </c>
      <c r="D558" s="1413"/>
      <c r="E558" s="1413"/>
      <c r="F558" s="1413"/>
      <c r="G558" s="1413"/>
      <c r="H558" s="1413"/>
      <c r="I558" s="1413"/>
      <c r="J558" s="1413"/>
      <c r="K558" s="1413"/>
      <c r="L558" s="1413"/>
      <c r="M558" s="1297" t="s">
        <v>2160</v>
      </c>
      <c r="N558" s="1297"/>
      <c r="O558" s="1297"/>
      <c r="P558" s="1297"/>
      <c r="Q558" s="1282">
        <v>0</v>
      </c>
      <c r="R558" s="1283"/>
      <c r="S558" s="1284"/>
      <c r="T558" s="1282">
        <v>0</v>
      </c>
      <c r="U558" s="1283"/>
      <c r="V558" s="1284"/>
      <c r="W558" s="1285">
        <v>0</v>
      </c>
      <c r="X558" s="1286"/>
      <c r="Y558" s="1287"/>
      <c r="Z558" s="1291" t="s">
        <v>123</v>
      </c>
      <c r="AA558" s="1291"/>
      <c r="AB558" s="1291"/>
      <c r="AC558" s="1291"/>
      <c r="AD558" s="1291"/>
      <c r="AE558" s="1292"/>
      <c r="AF558" s="1293"/>
      <c r="AG558" s="1293"/>
      <c r="AH558" s="1294"/>
      <c r="AI558" s="1288">
        <v>0</v>
      </c>
      <c r="AJ558" s="1289"/>
      <c r="AK558" s="1289"/>
      <c r="AL558" s="1290"/>
      <c r="AM558" s="1201">
        <f>1740988-0.5</f>
        <v>1740987.5</v>
      </c>
      <c r="AN558" s="1202"/>
      <c r="AO558" s="1202"/>
      <c r="AP558" s="1202"/>
      <c r="AQ558" s="1202"/>
      <c r="AR558" s="1202"/>
      <c r="AS558" s="1203"/>
      <c r="AT558" s="945" t="str">
        <f>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3" t="s">
        <v>2398</v>
      </c>
      <c r="D559" s="1413"/>
      <c r="E559" s="1413"/>
      <c r="F559" s="1413"/>
      <c r="G559" s="1413"/>
      <c r="H559" s="1413"/>
      <c r="I559" s="1413"/>
      <c r="J559" s="1413"/>
      <c r="K559" s="1413"/>
      <c r="L559" s="1413"/>
      <c r="M559" s="1297" t="s">
        <v>2164</v>
      </c>
      <c r="N559" s="1297"/>
      <c r="O559" s="1297"/>
      <c r="P559" s="1297"/>
      <c r="Q559" s="1282">
        <v>0</v>
      </c>
      <c r="R559" s="1283"/>
      <c r="S559" s="1284"/>
      <c r="T559" s="1282">
        <v>0</v>
      </c>
      <c r="U559" s="1283"/>
      <c r="V559" s="1284"/>
      <c r="W559" s="1285">
        <v>0</v>
      </c>
      <c r="X559" s="1286"/>
      <c r="Y559" s="1287"/>
      <c r="Z559" s="1291" t="s">
        <v>123</v>
      </c>
      <c r="AA559" s="1291"/>
      <c r="AB559" s="1291"/>
      <c r="AC559" s="1291"/>
      <c r="AD559" s="1291"/>
      <c r="AE559" s="1292"/>
      <c r="AF559" s="1293"/>
      <c r="AG559" s="1293"/>
      <c r="AH559" s="1294"/>
      <c r="AI559" s="1288">
        <v>0</v>
      </c>
      <c r="AJ559" s="1289"/>
      <c r="AK559" s="1289"/>
      <c r="AL559" s="1290"/>
      <c r="AM559" s="1201">
        <v>100</v>
      </c>
      <c r="AN559" s="1202"/>
      <c r="AO559" s="1202"/>
      <c r="AP559" s="1202"/>
      <c r="AQ559" s="1202"/>
      <c r="AR559" s="1202"/>
      <c r="AS559" s="1203"/>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3" t="s">
        <v>2427</v>
      </c>
      <c r="D560" s="1413"/>
      <c r="E560" s="1413"/>
      <c r="F560" s="1413"/>
      <c r="G560" s="1413"/>
      <c r="H560" s="1413"/>
      <c r="I560" s="1413"/>
      <c r="J560" s="1413"/>
      <c r="K560" s="1413"/>
      <c r="L560" s="1413"/>
      <c r="M560" s="1297" t="s">
        <v>2161</v>
      </c>
      <c r="N560" s="1297"/>
      <c r="O560" s="1297"/>
      <c r="P560" s="1297"/>
      <c r="Q560" s="1282">
        <v>0</v>
      </c>
      <c r="R560" s="1283"/>
      <c r="S560" s="1284"/>
      <c r="T560" s="1282">
        <v>0</v>
      </c>
      <c r="U560" s="1283"/>
      <c r="V560" s="1284"/>
      <c r="W560" s="1285">
        <v>0</v>
      </c>
      <c r="X560" s="1286"/>
      <c r="Y560" s="1287"/>
      <c r="Z560" s="1291" t="s">
        <v>123</v>
      </c>
      <c r="AA560" s="1291"/>
      <c r="AB560" s="1291"/>
      <c r="AC560" s="1291"/>
      <c r="AD560" s="1291"/>
      <c r="AE560" s="1292"/>
      <c r="AF560" s="1293"/>
      <c r="AG560" s="1293"/>
      <c r="AH560" s="1294"/>
      <c r="AI560" s="1288">
        <v>0</v>
      </c>
      <c r="AJ560" s="1289"/>
      <c r="AK560" s="1289"/>
      <c r="AL560" s="1290"/>
      <c r="AM560" s="1201">
        <v>1000000</v>
      </c>
      <c r="AN560" s="1202"/>
      <c r="AO560" s="1202"/>
      <c r="AP560" s="1202"/>
      <c r="AQ560" s="1202"/>
      <c r="AR560" s="1202"/>
      <c r="AS560" s="1203"/>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4" t="s">
        <v>356</v>
      </c>
      <c r="C561" s="1185"/>
      <c r="D561" s="1185"/>
      <c r="E561" s="1185"/>
      <c r="F561" s="1185"/>
      <c r="G561" s="1185"/>
      <c r="H561" s="1185"/>
      <c r="I561" s="1185"/>
      <c r="J561" s="1185"/>
      <c r="K561" s="1185"/>
      <c r="L561" s="1185"/>
      <c r="M561" s="1185"/>
      <c r="N561" s="1185"/>
      <c r="O561" s="1185"/>
      <c r="P561" s="1185"/>
      <c r="Q561" s="1185"/>
      <c r="R561" s="1185"/>
      <c r="S561" s="1185"/>
      <c r="T561" s="1185"/>
      <c r="U561" s="1448"/>
      <c r="V561" s="1185"/>
      <c r="W561" s="1185"/>
      <c r="X561" s="1185"/>
      <c r="Y561" s="1185"/>
      <c r="Z561" s="1185"/>
      <c r="AA561" s="1185"/>
      <c r="AB561" s="1185"/>
      <c r="AC561" s="1185"/>
      <c r="AD561" s="1185"/>
      <c r="AE561" s="1185"/>
      <c r="AF561" s="1185"/>
      <c r="AG561" s="1185"/>
      <c r="AH561" s="1185"/>
      <c r="AI561" s="1185"/>
      <c r="AJ561" s="1185"/>
      <c r="AK561" s="1185"/>
      <c r="AL561" s="1186"/>
      <c r="AM561" s="1195">
        <f>SUM(AM549:AS560)</f>
        <v>44780948.5</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2" t="str">
        <f>C549</f>
        <v>Construction Loan - Wells Fargo</v>
      </c>
      <c r="H563" s="1262"/>
      <c r="I563" s="1262"/>
      <c r="J563" s="1262"/>
      <c r="K563" s="1262"/>
      <c r="L563" s="1262"/>
      <c r="M563" s="1262"/>
      <c r="N563" s="1262"/>
      <c r="O563" s="1262"/>
      <c r="P563" s="1262"/>
      <c r="Q563" s="1262"/>
      <c r="R563" s="1262"/>
      <c r="S563" s="12"/>
      <c r="T563" s="61" t="s">
        <v>900</v>
      </c>
      <c r="U563" t="s">
        <v>81</v>
      </c>
      <c r="Z563" s="1262" t="str">
        <f>C550</f>
        <v>Apple - Housing Trust of Silicon Valley</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09" t="s">
        <v>2401</v>
      </c>
      <c r="H564" s="1109"/>
      <c r="I564" s="1109"/>
      <c r="J564" s="1109"/>
      <c r="K564" s="1109"/>
      <c r="L564" s="1109"/>
      <c r="M564" s="1109"/>
      <c r="N564" s="1109"/>
      <c r="O564" s="1109"/>
      <c r="P564" s="1109"/>
      <c r="Q564" s="1109"/>
      <c r="R564" s="1109"/>
      <c r="S564" s="12"/>
      <c r="T564" s="4"/>
      <c r="U564" t="s">
        <v>371</v>
      </c>
      <c r="Z564" s="1109" t="s">
        <v>2404</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9" t="s">
        <v>399</v>
      </c>
      <c r="H565" s="1109"/>
      <c r="I565" s="1109"/>
      <c r="J565" s="1109"/>
      <c r="K565" s="1109"/>
      <c r="L565" s="1109"/>
      <c r="M565" s="1109"/>
      <c r="N565" s="1109"/>
      <c r="O565" s="1109"/>
      <c r="P565" s="1109"/>
      <c r="Q565" s="1109"/>
      <c r="R565" s="1109"/>
      <c r="T565" s="4"/>
      <c r="U565" t="s">
        <v>429</v>
      </c>
      <c r="Z565" s="1260" t="s">
        <v>2405</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9" t="s">
        <v>2402</v>
      </c>
      <c r="H566" s="1109"/>
      <c r="I566" s="1109"/>
      <c r="J566" s="1109"/>
      <c r="K566" s="1109"/>
      <c r="L566" s="1109"/>
      <c r="M566" s="1109"/>
      <c r="N566" s="1109"/>
      <c r="O566" s="1109"/>
      <c r="P566" s="1109"/>
      <c r="Q566" s="1109"/>
      <c r="R566" s="1109"/>
      <c r="S566" s="12"/>
      <c r="T566" s="4"/>
      <c r="U566" t="s">
        <v>832</v>
      </c>
      <c r="Z566" s="1260" t="s">
        <v>2406</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375" t="s">
        <v>2403</v>
      </c>
      <c r="H567" s="1266"/>
      <c r="I567" s="1266"/>
      <c r="J567" s="1266"/>
      <c r="K567" s="1266"/>
      <c r="L567" s="1266"/>
      <c r="O567" s="42" t="s">
        <v>817</v>
      </c>
      <c r="P567" s="1261"/>
      <c r="Q567" s="1261"/>
      <c r="R567" s="1261"/>
      <c r="S567" s="14"/>
      <c r="T567" s="4"/>
      <c r="U567" t="s">
        <v>649</v>
      </c>
      <c r="Z567" s="1375" t="s">
        <v>2407</v>
      </c>
      <c r="AA567" s="1266"/>
      <c r="AB567" s="1266"/>
      <c r="AC567" s="1266"/>
      <c r="AD567" s="1266"/>
      <c r="AE567" s="1266"/>
      <c r="AH567" s="42" t="s">
        <v>817</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9" t="str">
        <f>M549</f>
        <v>Loan, Conventional</v>
      </c>
      <c r="I568" s="1109"/>
      <c r="J568" s="1109"/>
      <c r="K568" s="1109"/>
      <c r="L568" s="1109"/>
      <c r="M568" s="1109"/>
      <c r="N568" s="1109"/>
      <c r="O568" s="1109"/>
      <c r="P568" s="1109"/>
      <c r="Q568" s="1109"/>
      <c r="R568" s="1109"/>
      <c r="S568" s="12"/>
      <c r="T568" s="4"/>
      <c r="U568" t="s">
        <v>833</v>
      </c>
      <c r="AA568" s="1109" t="s">
        <v>2498</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00" t="s">
        <v>107</v>
      </c>
      <c r="O569" s="1100"/>
      <c r="T569" s="4"/>
      <c r="U569" t="s">
        <v>835</v>
      </c>
      <c r="AG569" s="1100" t="s">
        <v>107</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2" t="str">
        <f>C551</f>
        <v>County of San Mateo AHF R.12 Loan</v>
      </c>
      <c r="H571" s="1262"/>
      <c r="I571" s="1262"/>
      <c r="J571" s="1262"/>
      <c r="K571" s="1262"/>
      <c r="L571" s="1262"/>
      <c r="M571" s="1262"/>
      <c r="N571" s="1262"/>
      <c r="O571" s="1262"/>
      <c r="P571" s="1262"/>
      <c r="Q571" s="1262"/>
      <c r="R571" s="1262"/>
      <c r="T571" s="61" t="s">
        <v>430</v>
      </c>
      <c r="U571" t="s">
        <v>81</v>
      </c>
      <c r="Z571" s="1262" t="str">
        <f>C552</f>
        <v>County of San Mateo HOME Loan</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9" t="s">
        <v>2408</v>
      </c>
      <c r="H572" s="1109"/>
      <c r="I572" s="1109"/>
      <c r="J572" s="1109"/>
      <c r="K572" s="1109"/>
      <c r="L572" s="1109"/>
      <c r="M572" s="1109"/>
      <c r="N572" s="1109"/>
      <c r="O572" s="1109"/>
      <c r="P572" s="1109"/>
      <c r="Q572" s="1109"/>
      <c r="R572" s="1109"/>
      <c r="T572" s="4"/>
      <c r="U572" t="s">
        <v>371</v>
      </c>
      <c r="Z572" s="1109" t="s">
        <v>2408</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0" t="s">
        <v>2322</v>
      </c>
      <c r="H573" s="1260"/>
      <c r="I573" s="1260"/>
      <c r="J573" s="1260"/>
      <c r="K573" s="1260"/>
      <c r="L573" s="1260"/>
      <c r="M573" s="1260"/>
      <c r="N573" s="1260"/>
      <c r="O573" s="1260"/>
      <c r="P573" s="1260"/>
      <c r="Q573" s="1260"/>
      <c r="R573" s="1260"/>
      <c r="T573" s="4"/>
      <c r="U573" t="s">
        <v>429</v>
      </c>
      <c r="Z573" s="1260" t="s">
        <v>2322</v>
      </c>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0" t="s">
        <v>2409</v>
      </c>
      <c r="H574" s="1260"/>
      <c r="I574" s="1260"/>
      <c r="J574" s="1260"/>
      <c r="K574" s="1260"/>
      <c r="L574" s="1260"/>
      <c r="M574" s="1260"/>
      <c r="N574" s="1260"/>
      <c r="O574" s="1260"/>
      <c r="P574" s="1260"/>
      <c r="Q574" s="1260"/>
      <c r="R574" s="1260"/>
      <c r="T574" s="4"/>
      <c r="U574" t="s">
        <v>832</v>
      </c>
      <c r="Z574" s="1260" t="s">
        <v>2409</v>
      </c>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375" t="s">
        <v>2410</v>
      </c>
      <c r="H575" s="1266"/>
      <c r="I575" s="1266"/>
      <c r="J575" s="1266"/>
      <c r="K575" s="1266"/>
      <c r="L575" s="1266"/>
      <c r="O575" s="42" t="s">
        <v>817</v>
      </c>
      <c r="P575" s="1261"/>
      <c r="Q575" s="1261"/>
      <c r="R575" s="1261"/>
      <c r="T575" s="4"/>
      <c r="U575" t="s">
        <v>649</v>
      </c>
      <c r="Z575" s="1375" t="s">
        <v>2410</v>
      </c>
      <c r="AA575" s="1266"/>
      <c r="AB575" s="1266"/>
      <c r="AC575" s="1266"/>
      <c r="AD575" s="1266"/>
      <c r="AE575" s="1266"/>
      <c r="AH575" s="42" t="s">
        <v>817</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9" t="s">
        <v>2411</v>
      </c>
      <c r="I576" s="1109"/>
      <c r="J576" s="1109"/>
      <c r="K576" s="1109"/>
      <c r="L576" s="1109"/>
      <c r="M576" s="1109"/>
      <c r="N576" s="1109"/>
      <c r="O576" s="1109"/>
      <c r="P576" s="1109"/>
      <c r="Q576" s="1109"/>
      <c r="R576" s="1109"/>
      <c r="T576" s="4"/>
      <c r="U576" t="s">
        <v>833</v>
      </c>
      <c r="AA576" s="1109" t="s">
        <v>2411</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8" t="s">
        <v>107</v>
      </c>
      <c r="O577" s="1058"/>
      <c r="T577" s="4"/>
      <c r="U577" t="s">
        <v>835</v>
      </c>
      <c r="AG577" s="1058" t="s">
        <v>107</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2" t="str">
        <f>C553</f>
        <v>County of San Mateo AHF R.6 &amp; 7 Loan</v>
      </c>
      <c r="H579" s="1262"/>
      <c r="I579" s="1262"/>
      <c r="J579" s="1262"/>
      <c r="K579" s="1262"/>
      <c r="L579" s="1262"/>
      <c r="M579" s="1262"/>
      <c r="N579" s="1262"/>
      <c r="O579" s="1262"/>
      <c r="P579" s="1262"/>
      <c r="Q579" s="1262"/>
      <c r="R579" s="1262"/>
      <c r="T579" s="61" t="s">
        <v>433</v>
      </c>
      <c r="U579" t="s">
        <v>81</v>
      </c>
      <c r="Z579" s="1262" t="str">
        <f>C554</f>
        <v>City of Belmont Residual Receipts Loan</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9" t="s">
        <v>2408</v>
      </c>
      <c r="H580" s="1109"/>
      <c r="I580" s="1109"/>
      <c r="J580" s="1109"/>
      <c r="K580" s="1109"/>
      <c r="L580" s="1109"/>
      <c r="M580" s="1109"/>
      <c r="N580" s="1109"/>
      <c r="O580" s="1109"/>
      <c r="P580" s="1109"/>
      <c r="Q580" s="1109"/>
      <c r="R580" s="1109"/>
      <c r="T580" s="4"/>
      <c r="U580" t="s">
        <v>371</v>
      </c>
      <c r="Z580" s="1109" t="s">
        <v>2321</v>
      </c>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9" t="s">
        <v>2322</v>
      </c>
      <c r="H581" s="1109"/>
      <c r="I581" s="1109"/>
      <c r="J581" s="1109"/>
      <c r="K581" s="1109"/>
      <c r="L581" s="1109"/>
      <c r="M581" s="1109"/>
      <c r="N581" s="1109"/>
      <c r="O581" s="1109"/>
      <c r="P581" s="1109"/>
      <c r="Q581" s="1109"/>
      <c r="R581" s="1109"/>
      <c r="T581" s="4"/>
      <c r="U581" t="s">
        <v>429</v>
      </c>
      <c r="Z581" s="1260" t="s">
        <v>2322</v>
      </c>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9" t="s">
        <v>2409</v>
      </c>
      <c r="H582" s="1109"/>
      <c r="I582" s="1109"/>
      <c r="J582" s="1109"/>
      <c r="K582" s="1109"/>
      <c r="L582" s="1109"/>
      <c r="M582" s="1109"/>
      <c r="N582" s="1109"/>
      <c r="O582" s="1109"/>
      <c r="P582" s="1109"/>
      <c r="Q582" s="1109"/>
      <c r="R582" s="1109"/>
      <c r="T582" s="4"/>
      <c r="U582" t="s">
        <v>832</v>
      </c>
      <c r="Z582" s="1260" t="s">
        <v>2320</v>
      </c>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375" t="s">
        <v>2410</v>
      </c>
      <c r="H583" s="1266"/>
      <c r="I583" s="1266"/>
      <c r="J583" s="1266"/>
      <c r="K583" s="1266"/>
      <c r="L583" s="1266"/>
      <c r="O583" s="42" t="s">
        <v>817</v>
      </c>
      <c r="P583" s="1261"/>
      <c r="Q583" s="1261"/>
      <c r="R583" s="1261"/>
      <c r="T583" s="4"/>
      <c r="U583" t="s">
        <v>649</v>
      </c>
      <c r="Z583" s="1266" t="s">
        <v>2323</v>
      </c>
      <c r="AA583" s="1266"/>
      <c r="AB583" s="1266"/>
      <c r="AC583" s="1266"/>
      <c r="AD583" s="1266"/>
      <c r="AE583" s="1266"/>
      <c r="AH583" s="42" t="s">
        <v>817</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9" t="s">
        <v>2411</v>
      </c>
      <c r="I584" s="1109"/>
      <c r="J584" s="1109"/>
      <c r="K584" s="1109"/>
      <c r="L584" s="1109"/>
      <c r="M584" s="1109"/>
      <c r="N584" s="1109"/>
      <c r="O584" s="1109"/>
      <c r="P584" s="1109"/>
      <c r="Q584" s="1109"/>
      <c r="R584" s="1109"/>
      <c r="T584" s="4"/>
      <c r="U584" t="s">
        <v>833</v>
      </c>
      <c r="AA584" s="1109" t="s">
        <v>2411</v>
      </c>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8" t="s">
        <v>107</v>
      </c>
      <c r="O585" s="1058"/>
      <c r="T585" s="4"/>
      <c r="U585" t="s">
        <v>835</v>
      </c>
      <c r="AG585" s="1058" t="s">
        <v>107</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2" t="str">
        <f>C555</f>
        <v>FHLB AHP</v>
      </c>
      <c r="H587" s="1262"/>
      <c r="I587" s="1262"/>
      <c r="J587" s="1262"/>
      <c r="K587" s="1262"/>
      <c r="L587" s="1262"/>
      <c r="M587" s="1262"/>
      <c r="N587" s="1262"/>
      <c r="O587" s="1262"/>
      <c r="P587" s="1262"/>
      <c r="Q587" s="1262"/>
      <c r="R587" s="1262"/>
      <c r="T587" s="61" t="s">
        <v>742</v>
      </c>
      <c r="U587" t="s">
        <v>81</v>
      </c>
      <c r="Z587" s="1262" t="str">
        <f>C556</f>
        <v>City of Belmont Land Donation Value</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9" t="s">
        <v>2479</v>
      </c>
      <c r="H588" s="1109"/>
      <c r="I588" s="1109"/>
      <c r="J588" s="1109"/>
      <c r="K588" s="1109"/>
      <c r="L588" s="1109"/>
      <c r="M588" s="1109"/>
      <c r="N588" s="1109"/>
      <c r="O588" s="1109"/>
      <c r="P588" s="1109"/>
      <c r="Q588" s="1109"/>
      <c r="R588" s="1109"/>
      <c r="T588" s="4"/>
      <c r="U588" t="s">
        <v>371</v>
      </c>
      <c r="Z588" s="1109" t="s">
        <v>2321</v>
      </c>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9" t="s">
        <v>113</v>
      </c>
      <c r="H589" s="1109"/>
      <c r="I589" s="1109"/>
      <c r="J589" s="1109"/>
      <c r="K589" s="1109"/>
      <c r="L589" s="1109"/>
      <c r="M589" s="1109"/>
      <c r="N589" s="1109"/>
      <c r="O589" s="1109"/>
      <c r="P589" s="1109"/>
      <c r="Q589" s="1109"/>
      <c r="R589" s="1109"/>
      <c r="S589"/>
      <c r="T589" s="4"/>
      <c r="U589" t="s">
        <v>429</v>
      </c>
      <c r="V589"/>
      <c r="W589"/>
      <c r="X589"/>
      <c r="Y589"/>
      <c r="Z589" s="1260" t="s">
        <v>2322</v>
      </c>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9" t="s">
        <v>2480</v>
      </c>
      <c r="H590" s="1109"/>
      <c r="I590" s="1109"/>
      <c r="J590" s="1109"/>
      <c r="K590" s="1109"/>
      <c r="L590" s="1109"/>
      <c r="M590" s="1109"/>
      <c r="N590" s="1109"/>
      <c r="O590" s="1109"/>
      <c r="P590" s="1109"/>
      <c r="Q590" s="1109"/>
      <c r="R590" s="1109"/>
      <c r="S590"/>
      <c r="T590" s="4"/>
      <c r="U590" t="s">
        <v>832</v>
      </c>
      <c r="V590"/>
      <c r="W590"/>
      <c r="X590"/>
      <c r="Y590"/>
      <c r="Z590" s="1260" t="s">
        <v>2320</v>
      </c>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39" t="s">
        <v>418</v>
      </c>
      <c r="BO590" s="839"/>
      <c r="BP590" s="839"/>
      <c r="BQ590" s="177"/>
      <c r="BR590" s="840"/>
      <c r="BS590" s="839" t="s">
        <v>441</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2227</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375" t="s">
        <v>2481</v>
      </c>
      <c r="H591" s="1266"/>
      <c r="I591" s="1266"/>
      <c r="J591" s="1266"/>
      <c r="K591" s="1266"/>
      <c r="L591" s="1266"/>
      <c r="M591"/>
      <c r="N591"/>
      <c r="O591" s="42" t="s">
        <v>817</v>
      </c>
      <c r="P591" s="1261"/>
      <c r="Q591" s="1261"/>
      <c r="R591" s="1261"/>
      <c r="S591"/>
      <c r="T591" s="4"/>
      <c r="U591" t="s">
        <v>649</v>
      </c>
      <c r="V591"/>
      <c r="W591"/>
      <c r="X591"/>
      <c r="Y591"/>
      <c r="Z591" s="1266" t="s">
        <v>2323</v>
      </c>
      <c r="AA591" s="1266"/>
      <c r="AB591" s="1266"/>
      <c r="AC591" s="1266"/>
      <c r="AD591" s="1266"/>
      <c r="AE591" s="1266"/>
      <c r="AF591"/>
      <c r="AG591"/>
      <c r="AH591" s="42" t="s">
        <v>817</v>
      </c>
      <c r="AI591" s="1261"/>
      <c r="AJ591" s="1261"/>
      <c r="AK591" s="1261"/>
      <c r="AL591"/>
      <c r="AZ591" s="5" t="s">
        <v>440</v>
      </c>
      <c r="BA591" s="41"/>
      <c r="BB591" s="41"/>
      <c r="BC591" s="41"/>
      <c r="BD591" s="41"/>
      <c r="BE591" s="214" t="s">
        <v>350</v>
      </c>
      <c r="BF591" s="215"/>
      <c r="BG591" s="1267"/>
      <c r="BH591" s="1269"/>
      <c r="BI591" s="214" t="s">
        <v>351</v>
      </c>
      <c r="BJ591" s="215"/>
      <c r="BK591" s="1267"/>
      <c r="BL591" s="1269"/>
      <c r="BN591" s="1267">
        <f t="shared" ref="BN591" si="1">IF(B695="SRO/Studio",G695,0)</f>
        <v>0</v>
      </c>
      <c r="BO591" s="1268"/>
      <c r="BP591" s="1268"/>
      <c r="BQ591" s="1268"/>
      <c r="BR591" s="1278"/>
      <c r="BS591" s="1267">
        <f t="shared" ref="BS591" si="2">IF(B695="1 Bedroom",G695,0)</f>
        <v>18</v>
      </c>
      <c r="BT591" s="1268"/>
      <c r="BU591" s="1268"/>
      <c r="BV591" s="1268"/>
      <c r="BW591" s="1269"/>
      <c r="BX591" s="1267">
        <f t="shared" ref="BX591" si="3">IF(B695="2 Bedrooms",G695,0)</f>
        <v>0</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39" t="s">
        <v>418</v>
      </c>
      <c r="CT591" s="839"/>
      <c r="CU591" s="839"/>
      <c r="CV591" s="839"/>
      <c r="CW591" s="839"/>
      <c r="CX591" s="839" t="s">
        <v>441</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343</v>
      </c>
      <c r="DS591" s="839"/>
      <c r="DT591" s="839"/>
      <c r="DU591" s="839"/>
      <c r="DV591" s="839"/>
    </row>
    <row r="592" spans="1:126" s="5" customFormat="1" ht="12.9" customHeight="1">
      <c r="A592" s="4"/>
      <c r="B592" t="s">
        <v>833</v>
      </c>
      <c r="C592"/>
      <c r="D592"/>
      <c r="E592"/>
      <c r="F592"/>
      <c r="G592"/>
      <c r="H592" s="1109" t="str">
        <f>M555</f>
        <v>Loan, General Partner</v>
      </c>
      <c r="I592" s="1109"/>
      <c r="J592" s="1109"/>
      <c r="K592" s="1109"/>
      <c r="L592" s="1109"/>
      <c r="M592" s="1109"/>
      <c r="N592" s="1109"/>
      <c r="O592" s="1109"/>
      <c r="P592" s="1109"/>
      <c r="Q592" s="1109"/>
      <c r="R592" s="1109"/>
      <c r="S592"/>
      <c r="T592" s="4"/>
      <c r="U592" t="s">
        <v>833</v>
      </c>
      <c r="V592"/>
      <c r="W592"/>
      <c r="X592"/>
      <c r="Y592"/>
      <c r="Z592"/>
      <c r="AA592" s="1109" t="s">
        <v>2181</v>
      </c>
      <c r="AB592" s="1109"/>
      <c r="AC592" s="1109"/>
      <c r="AD592" s="1109"/>
      <c r="AE592" s="1109"/>
      <c r="AF592" s="1109"/>
      <c r="AG592" s="1109"/>
      <c r="AH592" s="1109"/>
      <c r="AI592" s="1109"/>
      <c r="AJ592" s="1109"/>
      <c r="AK592" s="1109"/>
      <c r="AL592"/>
      <c r="AZ592" s="5" t="s">
        <v>441</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18</v>
      </c>
      <c r="BL592" s="1269"/>
      <c r="BN592" s="1267">
        <f t="shared" ref="BN592:BN625" si="9">IF(B696="SRO/Studio",G696,0)</f>
        <v>0</v>
      </c>
      <c r="BO592" s="1268"/>
      <c r="BP592" s="1268"/>
      <c r="BQ592" s="1268"/>
      <c r="BR592" s="1278"/>
      <c r="BS592" s="1267">
        <f t="shared" ref="BS592:BS625" si="10">IF(B696="1 Bedroom",G696,0)</f>
        <v>0</v>
      </c>
      <c r="BT592" s="1268"/>
      <c r="BU592" s="1268"/>
      <c r="BV592" s="1268"/>
      <c r="BW592" s="1269"/>
      <c r="BX592" s="1267">
        <f t="shared" ref="BX592:BX625" si="11">IF(B696="2 Bedrooms",G696,0)</f>
        <v>2</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0</v>
      </c>
      <c r="CT592" s="1280"/>
      <c r="CU592" s="1280"/>
      <c r="CV592" s="1280"/>
      <c r="CW592" s="1281"/>
      <c r="CX592" s="1279">
        <f>IF(AND(B695="1 Bedroom",AH695&lt;=0.3),G695,0)</f>
        <v>18</v>
      </c>
      <c r="CY592" s="1280"/>
      <c r="CZ592" s="1280"/>
      <c r="DA592" s="1280"/>
      <c r="DB592" s="1281"/>
      <c r="DC592" s="1279">
        <f>IF(AND(B695="2 Bedrooms",AH695&lt;=0.3),G695,0)</f>
        <v>0</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 customHeight="1">
      <c r="A593" s="4"/>
      <c r="B593" t="s">
        <v>835</v>
      </c>
      <c r="C593"/>
      <c r="D593"/>
      <c r="E593"/>
      <c r="F593"/>
      <c r="G593"/>
      <c r="H593"/>
      <c r="I593"/>
      <c r="J593"/>
      <c r="K593"/>
      <c r="L593"/>
      <c r="M593"/>
      <c r="N593" s="1058" t="s">
        <v>107</v>
      </c>
      <c r="O593" s="1058"/>
      <c r="P593"/>
      <c r="Q593"/>
      <c r="R593"/>
      <c r="S593"/>
      <c r="T593" s="4"/>
      <c r="U593" t="s">
        <v>835</v>
      </c>
      <c r="V593"/>
      <c r="W593"/>
      <c r="X593"/>
      <c r="Y593"/>
      <c r="Z593"/>
      <c r="AA593"/>
      <c r="AB593"/>
      <c r="AC593"/>
      <c r="AD593"/>
      <c r="AE593"/>
      <c r="AF593"/>
      <c r="AG593" s="1058" t="s">
        <v>107</v>
      </c>
      <c r="AH593" s="1058"/>
      <c r="AI593"/>
      <c r="AJ593"/>
      <c r="AK593"/>
      <c r="AL593"/>
      <c r="AZ593" s="5" t="s">
        <v>779</v>
      </c>
      <c r="BA593" s="41"/>
      <c r="BB593" s="41"/>
      <c r="BC593" s="41"/>
      <c r="BD593" s="41"/>
      <c r="BE593" s="1273">
        <f t="shared" ref="BE593:BE615" si="15">IF(AND(AH696&lt;=0.5,AH696&gt;=0.36),1,0)</f>
        <v>0</v>
      </c>
      <c r="BF593" s="1275"/>
      <c r="BG593" s="1267">
        <f t="shared" si="7"/>
        <v>0</v>
      </c>
      <c r="BH593" s="1269"/>
      <c r="BI593" s="1273">
        <f t="shared" ref="BI593:BI615" si="16">IF(AND(AH696&lt;=0.35,AH696&gt;0),1,0)</f>
        <v>1</v>
      </c>
      <c r="BJ593" s="1275"/>
      <c r="BK593" s="1267">
        <f t="shared" si="8"/>
        <v>2</v>
      </c>
      <c r="BL593" s="1269"/>
      <c r="BN593" s="1267">
        <f t="shared" si="9"/>
        <v>0</v>
      </c>
      <c r="BO593" s="1268"/>
      <c r="BP593" s="1268"/>
      <c r="BQ593" s="1268"/>
      <c r="BR593" s="1278"/>
      <c r="BS593" s="1267">
        <f t="shared" si="10"/>
        <v>0</v>
      </c>
      <c r="BT593" s="1268"/>
      <c r="BU593" s="1268"/>
      <c r="BV593" s="1268"/>
      <c r="BW593" s="1269"/>
      <c r="BX593" s="1267">
        <f t="shared" si="11"/>
        <v>0</v>
      </c>
      <c r="BY593" s="1268"/>
      <c r="BZ593" s="1268"/>
      <c r="CA593" s="1268"/>
      <c r="CB593" s="1269"/>
      <c r="CC593" s="1267">
        <f t="shared" si="12"/>
        <v>2</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0</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2</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2.9" customHeight="1">
      <c r="AZ594" s="5" t="s">
        <v>780</v>
      </c>
      <c r="BA594" s="41"/>
      <c r="BB594" s="41"/>
      <c r="BC594" s="41"/>
      <c r="BD594" s="41"/>
      <c r="BE594" s="1273">
        <f t="shared" si="15"/>
        <v>0</v>
      </c>
      <c r="BF594" s="1275"/>
      <c r="BG594" s="1267">
        <f t="shared" si="7"/>
        <v>0</v>
      </c>
      <c r="BH594" s="1269"/>
      <c r="BI594" s="1273">
        <f t="shared" si="16"/>
        <v>1</v>
      </c>
      <c r="BJ594" s="1275"/>
      <c r="BK594" s="1267">
        <f t="shared" si="8"/>
        <v>2</v>
      </c>
      <c r="BL594" s="1269"/>
      <c r="BN594" s="1267">
        <f t="shared" si="9"/>
        <v>0</v>
      </c>
      <c r="BO594" s="1268"/>
      <c r="BP594" s="1268"/>
      <c r="BQ594" s="1268"/>
      <c r="BR594" s="1278"/>
      <c r="BS594" s="1267">
        <f t="shared" si="10"/>
        <v>0</v>
      </c>
      <c r="BT594" s="1268"/>
      <c r="BU594" s="1268"/>
      <c r="BV594" s="1268"/>
      <c r="BW594" s="1269"/>
      <c r="BX594" s="1267">
        <f t="shared" si="11"/>
        <v>7</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0</v>
      </c>
      <c r="CY594" s="1280"/>
      <c r="CZ594" s="1280"/>
      <c r="DA594" s="1280"/>
      <c r="DB594" s="1281"/>
      <c r="DC594" s="1279">
        <f t="shared" si="19"/>
        <v>0</v>
      </c>
      <c r="DD594" s="1280"/>
      <c r="DE594" s="1280"/>
      <c r="DF594" s="1280"/>
      <c r="DG594" s="1281"/>
      <c r="DH594" s="1279">
        <f t="shared" si="20"/>
        <v>2</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2.9" customHeight="1">
      <c r="A595" s="61" t="s">
        <v>545</v>
      </c>
      <c r="B595" t="s">
        <v>81</v>
      </c>
      <c r="G595" s="1262" t="str">
        <f>C557</f>
        <v>Tax Credit Equity</v>
      </c>
      <c r="H595" s="1262"/>
      <c r="I595" s="1262"/>
      <c r="J595" s="1262"/>
      <c r="K595" s="1262"/>
      <c r="L595" s="1262"/>
      <c r="M595" s="1262"/>
      <c r="N595" s="1262"/>
      <c r="O595" s="1262"/>
      <c r="P595" s="1262"/>
      <c r="Q595" s="1262"/>
      <c r="R595" s="1262"/>
      <c r="T595" s="61" t="s">
        <v>173</v>
      </c>
      <c r="U595" t="s">
        <v>81</v>
      </c>
      <c r="Z595" s="1262" t="str">
        <f>C558</f>
        <v>Costs Deferred Until Completion</v>
      </c>
      <c r="AA595" s="1262"/>
      <c r="AB595" s="1262"/>
      <c r="AC595" s="1262"/>
      <c r="AD595" s="1262"/>
      <c r="AE595" s="1262"/>
      <c r="AF595" s="1262"/>
      <c r="AG595" s="1262"/>
      <c r="AH595" s="1262"/>
      <c r="AI595" s="1262"/>
      <c r="AJ595" s="1262"/>
      <c r="AK595" s="1262"/>
      <c r="AZ595" s="5" t="s">
        <v>781</v>
      </c>
      <c r="BA595" s="41"/>
      <c r="BB595" s="41"/>
      <c r="BC595" s="41"/>
      <c r="BD595" s="41"/>
      <c r="BE595" s="1273">
        <f t="shared" si="15"/>
        <v>0</v>
      </c>
      <c r="BF595" s="1275"/>
      <c r="BG595" s="1267">
        <f t="shared" si="7"/>
        <v>0</v>
      </c>
      <c r="BH595" s="1269"/>
      <c r="BI595" s="1273">
        <f t="shared" si="16"/>
        <v>0</v>
      </c>
      <c r="BJ595" s="1275"/>
      <c r="BK595" s="1267">
        <f t="shared" si="8"/>
        <v>0</v>
      </c>
      <c r="BL595" s="1269"/>
      <c r="BN595" s="1267">
        <f t="shared" si="9"/>
        <v>0</v>
      </c>
      <c r="BO595" s="1268"/>
      <c r="BP595" s="1268"/>
      <c r="BQ595" s="1268"/>
      <c r="BR595" s="1278"/>
      <c r="BS595" s="1267">
        <f t="shared" si="10"/>
        <v>0</v>
      </c>
      <c r="BT595" s="1268"/>
      <c r="BU595" s="1268"/>
      <c r="BV595" s="1268"/>
      <c r="BW595" s="1269"/>
      <c r="BX595" s="1267">
        <f t="shared" si="11"/>
        <v>0</v>
      </c>
      <c r="BY595" s="1268"/>
      <c r="BZ595" s="1268"/>
      <c r="CA595" s="1268"/>
      <c r="CB595" s="1269"/>
      <c r="CC595" s="1267">
        <f t="shared" si="12"/>
        <v>7</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0</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2.9" customHeight="1">
      <c r="A596" s="4"/>
      <c r="B596" t="s">
        <v>371</v>
      </c>
      <c r="G596" s="1109" t="s">
        <v>2468</v>
      </c>
      <c r="H596" s="1109"/>
      <c r="I596" s="1109"/>
      <c r="J596" s="1109"/>
      <c r="K596" s="1109"/>
      <c r="L596" s="1109"/>
      <c r="M596" s="1109"/>
      <c r="N596" s="1109"/>
      <c r="O596" s="1109"/>
      <c r="P596" s="1109"/>
      <c r="Q596" s="1109"/>
      <c r="R596" s="1109"/>
      <c r="T596" s="4"/>
      <c r="U596" t="s">
        <v>371</v>
      </c>
      <c r="Z596" s="1109" t="s">
        <v>2412</v>
      </c>
      <c r="AA596" s="1109"/>
      <c r="AB596" s="1109"/>
      <c r="AC596" s="1109"/>
      <c r="AD596" s="1109"/>
      <c r="AE596" s="1109"/>
      <c r="AF596" s="1109"/>
      <c r="AG596" s="1109"/>
      <c r="AH596" s="1109"/>
      <c r="AI596" s="1109"/>
      <c r="AJ596" s="1109"/>
      <c r="AK596" s="1109"/>
      <c r="AZ596" s="5" t="s">
        <v>343</v>
      </c>
      <c r="BA596" s="41"/>
      <c r="BB596" s="41"/>
      <c r="BC596" s="41"/>
      <c r="BD596" s="41"/>
      <c r="BE596" s="1273">
        <f t="shared" si="15"/>
        <v>0</v>
      </c>
      <c r="BF596" s="1275"/>
      <c r="BG596" s="1267">
        <f t="shared" si="7"/>
        <v>0</v>
      </c>
      <c r="BH596" s="1269"/>
      <c r="BI596" s="1273">
        <f t="shared" si="16"/>
        <v>0</v>
      </c>
      <c r="BJ596" s="1275"/>
      <c r="BK596" s="1267">
        <f t="shared" si="8"/>
        <v>0</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0</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0</v>
      </c>
      <c r="DD596" s="1280"/>
      <c r="DE596" s="1280"/>
      <c r="DF596" s="1280"/>
      <c r="DG596" s="1281"/>
      <c r="DH596" s="1279">
        <f t="shared" si="20"/>
        <v>0</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2.9" customHeight="1">
      <c r="A597" s="4"/>
      <c r="B597" t="s">
        <v>429</v>
      </c>
      <c r="G597" s="1109" t="s">
        <v>2482</v>
      </c>
      <c r="H597" s="1109"/>
      <c r="I597" s="1109"/>
      <c r="J597" s="1109"/>
      <c r="K597" s="1109"/>
      <c r="L597" s="1109"/>
      <c r="M597" s="1109"/>
      <c r="N597" s="1109"/>
      <c r="O597" s="1109"/>
      <c r="P597" s="1109"/>
      <c r="Q597" s="1109"/>
      <c r="R597" s="1109"/>
      <c r="T597" s="4"/>
      <c r="U597" t="s">
        <v>429</v>
      </c>
      <c r="Z597" s="1260" t="s">
        <v>2339</v>
      </c>
      <c r="AA597" s="1260"/>
      <c r="AB597" s="1260"/>
      <c r="AC597" s="1260"/>
      <c r="AD597" s="1260"/>
      <c r="AE597" s="1260"/>
      <c r="AF597" s="1260"/>
      <c r="AG597" s="1260"/>
      <c r="AH597" s="1260"/>
      <c r="AI597" s="1260"/>
      <c r="AJ597" s="1260"/>
      <c r="AK597" s="1260"/>
      <c r="AZ597" s="41"/>
      <c r="BA597" s="41"/>
      <c r="BB597" s="41"/>
      <c r="BC597" s="41"/>
      <c r="BD597" s="41"/>
      <c r="BE597" s="1273">
        <f t="shared" si="15"/>
        <v>0</v>
      </c>
      <c r="BF597" s="1275"/>
      <c r="BG597" s="1267">
        <f t="shared" si="7"/>
        <v>0</v>
      </c>
      <c r="BH597" s="1269"/>
      <c r="BI597" s="1273">
        <f t="shared" si="16"/>
        <v>0</v>
      </c>
      <c r="BJ597" s="1275"/>
      <c r="BK597" s="1267">
        <f t="shared" si="8"/>
        <v>0</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0</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0</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2.9" customHeight="1">
      <c r="A598" s="4"/>
      <c r="B598" t="s">
        <v>832</v>
      </c>
      <c r="G598" s="1109" t="s">
        <v>2470</v>
      </c>
      <c r="H598" s="1109"/>
      <c r="I598" s="1109"/>
      <c r="J598" s="1109"/>
      <c r="K598" s="1109"/>
      <c r="L598" s="1109"/>
      <c r="M598" s="1109"/>
      <c r="N598" s="1109"/>
      <c r="O598" s="1109"/>
      <c r="P598" s="1109"/>
      <c r="Q598" s="1109"/>
      <c r="R598" s="1109"/>
      <c r="T598" s="4"/>
      <c r="U598" t="s">
        <v>832</v>
      </c>
      <c r="Z598" s="1260" t="s">
        <v>2317</v>
      </c>
      <c r="AA598" s="1260"/>
      <c r="AB598" s="1260"/>
      <c r="AC598" s="1260"/>
      <c r="AD598" s="1260"/>
      <c r="AE598" s="1260"/>
      <c r="AF598" s="1260"/>
      <c r="AG598" s="1260"/>
      <c r="AH598" s="1260"/>
      <c r="AI598" s="1260"/>
      <c r="AJ598" s="1260"/>
      <c r="AK598" s="1260"/>
      <c r="AZ598" s="41"/>
      <c r="BA598" s="41"/>
      <c r="BB598" s="41"/>
      <c r="BC598" s="41"/>
      <c r="BD598" s="41"/>
      <c r="BE598" s="1273">
        <f t="shared" si="15"/>
        <v>0</v>
      </c>
      <c r="BF598" s="1275"/>
      <c r="BG598" s="1267">
        <f t="shared" si="7"/>
        <v>0</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0</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2.9" customHeight="1">
      <c r="A599" s="4"/>
      <c r="B599" t="s">
        <v>649</v>
      </c>
      <c r="G599" s="1375" t="s">
        <v>2471</v>
      </c>
      <c r="H599" s="1266"/>
      <c r="I599" s="1266"/>
      <c r="J599" s="1266"/>
      <c r="K599" s="1266"/>
      <c r="L599" s="1266"/>
      <c r="O599" s="42" t="s">
        <v>817</v>
      </c>
      <c r="P599" s="1261"/>
      <c r="Q599" s="1261"/>
      <c r="R599" s="1261"/>
      <c r="T599" s="4"/>
      <c r="U599" t="s">
        <v>649</v>
      </c>
      <c r="Z599" s="1375" t="s">
        <v>2428</v>
      </c>
      <c r="AA599" s="1266"/>
      <c r="AB599" s="1266"/>
      <c r="AC599" s="1266"/>
      <c r="AD599" s="1266"/>
      <c r="AE599" s="1266"/>
      <c r="AH599" s="42" t="s">
        <v>817</v>
      </c>
      <c r="AI599" s="1261"/>
      <c r="AJ599" s="1261"/>
      <c r="AK599" s="1261"/>
      <c r="AZ599" s="41"/>
      <c r="BA599" s="41"/>
      <c r="BB599" s="41"/>
      <c r="BC599" s="41"/>
      <c r="BD599" s="41"/>
      <c r="BE599" s="1273">
        <f t="shared" si="15"/>
        <v>0</v>
      </c>
      <c r="BF599" s="1275"/>
      <c r="BG599" s="1267">
        <f t="shared" si="7"/>
        <v>0</v>
      </c>
      <c r="BH599" s="1269"/>
      <c r="BI599" s="1273">
        <f t="shared" si="16"/>
        <v>0</v>
      </c>
      <c r="BJ599" s="1275"/>
      <c r="BK599" s="1267">
        <f t="shared" si="8"/>
        <v>0</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0</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0</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2.9" customHeight="1">
      <c r="A600" s="4"/>
      <c r="B600" t="s">
        <v>833</v>
      </c>
      <c r="C600"/>
      <c r="D600"/>
      <c r="E600"/>
      <c r="F600"/>
      <c r="G600"/>
      <c r="H600" s="1109" t="str">
        <f>G595</f>
        <v>Tax Credit Equity</v>
      </c>
      <c r="I600" s="1109"/>
      <c r="J600" s="1109"/>
      <c r="K600" s="1109"/>
      <c r="L600" s="1109"/>
      <c r="M600" s="1109"/>
      <c r="N600" s="1109"/>
      <c r="O600" s="1109"/>
      <c r="P600" s="1109"/>
      <c r="Q600" s="1109"/>
      <c r="R600" s="1109"/>
      <c r="S600"/>
      <c r="T600" s="4"/>
      <c r="U600" t="s">
        <v>833</v>
      </c>
      <c r="V600"/>
      <c r="W600"/>
      <c r="X600"/>
      <c r="Y600"/>
      <c r="Z600"/>
      <c r="AA600" s="1109" t="str">
        <f>M558</f>
        <v>Cost Deferral</v>
      </c>
      <c r="AB600" s="1109"/>
      <c r="AC600" s="1109"/>
      <c r="AD600" s="1109"/>
      <c r="AE600" s="1109"/>
      <c r="AF600" s="1109"/>
      <c r="AG600" s="1109"/>
      <c r="AH600" s="1109"/>
      <c r="AI600" s="1109"/>
      <c r="AJ600" s="1109"/>
      <c r="AK600" s="1109"/>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2.9" customHeight="1">
      <c r="A601" s="4"/>
      <c r="B601" t="s">
        <v>835</v>
      </c>
      <c r="C601"/>
      <c r="D601"/>
      <c r="E601"/>
      <c r="F601"/>
      <c r="G601"/>
      <c r="H601"/>
      <c r="I601"/>
      <c r="J601"/>
      <c r="K601"/>
      <c r="L601"/>
      <c r="M601"/>
      <c r="N601" s="1058" t="s">
        <v>107</v>
      </c>
      <c r="O601" s="1058"/>
      <c r="P601"/>
      <c r="Q601"/>
      <c r="R601"/>
      <c r="S601"/>
      <c r="T601" s="4"/>
      <c r="U601" t="s">
        <v>835</v>
      </c>
      <c r="V601"/>
      <c r="W601"/>
      <c r="X601"/>
      <c r="Y601"/>
      <c r="Z601"/>
      <c r="AA601"/>
      <c r="AB601"/>
      <c r="AC601"/>
      <c r="AD601"/>
      <c r="AE601"/>
      <c r="AF601"/>
      <c r="AG601" s="1058" t="s">
        <v>107</v>
      </c>
      <c r="AH601" s="1058"/>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2.9" customHeight="1">
      <c r="A603" s="61" t="s">
        <v>32</v>
      </c>
      <c r="B603" t="s">
        <v>81</v>
      </c>
      <c r="G603" s="1262" t="str">
        <f>C559</f>
        <v>GP Capital - Sponsor</v>
      </c>
      <c r="H603" s="1262"/>
      <c r="I603" s="1262"/>
      <c r="J603" s="1262"/>
      <c r="K603" s="1262"/>
      <c r="L603" s="1262"/>
      <c r="M603" s="1262"/>
      <c r="N603" s="1262"/>
      <c r="O603" s="1262"/>
      <c r="P603" s="1262"/>
      <c r="Q603" s="1262"/>
      <c r="R603" s="1262"/>
      <c r="T603" s="61" t="s">
        <v>33</v>
      </c>
      <c r="U603" t="s">
        <v>81</v>
      </c>
      <c r="Z603" s="1262" t="str">
        <f>C560</f>
        <v>Deferred Developer Fee</v>
      </c>
      <c r="AA603" s="1262"/>
      <c r="AB603" s="1262"/>
      <c r="AC603" s="1262"/>
      <c r="AD603" s="1262"/>
      <c r="AE603" s="1262"/>
      <c r="AF603" s="1262"/>
      <c r="AG603" s="1262"/>
      <c r="AH603" s="1262"/>
      <c r="AI603" s="1262"/>
      <c r="AJ603" s="1262"/>
      <c r="AK603" s="1262"/>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2.9" customHeight="1">
      <c r="B604" t="s">
        <v>371</v>
      </c>
      <c r="G604" s="1109" t="s">
        <v>2412</v>
      </c>
      <c r="H604" s="1109"/>
      <c r="I604" s="1109"/>
      <c r="J604" s="1109"/>
      <c r="K604" s="1109"/>
      <c r="L604" s="1109"/>
      <c r="M604" s="1109"/>
      <c r="N604" s="1109"/>
      <c r="O604" s="1109"/>
      <c r="P604" s="1109"/>
      <c r="Q604" s="1109"/>
      <c r="R604" s="1109"/>
      <c r="U604" t="s">
        <v>371</v>
      </c>
      <c r="Z604" s="1109" t="s">
        <v>2412</v>
      </c>
      <c r="AA604" s="1109"/>
      <c r="AB604" s="1109"/>
      <c r="AC604" s="1109"/>
      <c r="AD604" s="1109"/>
      <c r="AE604" s="1109"/>
      <c r="AF604" s="1109"/>
      <c r="AG604" s="1109"/>
      <c r="AH604" s="1109"/>
      <c r="AI604" s="1109"/>
      <c r="AJ604" s="1109"/>
      <c r="AK604" s="1109"/>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2.9" customHeight="1">
      <c r="B605" t="s">
        <v>429</v>
      </c>
      <c r="G605" s="1109" t="s">
        <v>2339</v>
      </c>
      <c r="H605" s="1109"/>
      <c r="I605" s="1109"/>
      <c r="J605" s="1109"/>
      <c r="K605" s="1109"/>
      <c r="L605" s="1109"/>
      <c r="M605" s="1109"/>
      <c r="N605" s="1109"/>
      <c r="O605" s="1109"/>
      <c r="P605" s="1109"/>
      <c r="Q605" s="1109"/>
      <c r="R605" s="1109"/>
      <c r="U605" t="s">
        <v>429</v>
      </c>
      <c r="Z605" s="1260" t="s">
        <v>2339</v>
      </c>
      <c r="AA605" s="1260"/>
      <c r="AB605" s="1260"/>
      <c r="AC605" s="1260"/>
      <c r="AD605" s="1260"/>
      <c r="AE605" s="1260"/>
      <c r="AF605" s="1260"/>
      <c r="AG605" s="1260"/>
      <c r="AH605" s="1260"/>
      <c r="AI605" s="1260"/>
      <c r="AJ605" s="1260"/>
      <c r="AK605" s="1260"/>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2.9" customHeight="1">
      <c r="B606" t="s">
        <v>832</v>
      </c>
      <c r="G606" s="1109" t="s">
        <v>2317</v>
      </c>
      <c r="H606" s="1109"/>
      <c r="I606" s="1109"/>
      <c r="J606" s="1109"/>
      <c r="K606" s="1109"/>
      <c r="L606" s="1109"/>
      <c r="M606" s="1109"/>
      <c r="N606" s="1109"/>
      <c r="O606" s="1109"/>
      <c r="P606" s="1109"/>
      <c r="Q606" s="1109"/>
      <c r="R606" s="1109"/>
      <c r="U606" t="s">
        <v>832</v>
      </c>
      <c r="Z606" s="1260" t="s">
        <v>2317</v>
      </c>
      <c r="AA606" s="1260"/>
      <c r="AB606" s="1260"/>
      <c r="AC606" s="1260"/>
      <c r="AD606" s="1260"/>
      <c r="AE606" s="1260"/>
      <c r="AF606" s="1260"/>
      <c r="AG606" s="1260"/>
      <c r="AH606" s="1260"/>
      <c r="AI606" s="1260"/>
      <c r="AJ606" s="1260"/>
      <c r="AK606" s="1260"/>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2.9" customHeight="1">
      <c r="B607" t="s">
        <v>649</v>
      </c>
      <c r="G607" s="1375" t="s">
        <v>2428</v>
      </c>
      <c r="H607" s="1266"/>
      <c r="I607" s="1266"/>
      <c r="J607" s="1266"/>
      <c r="K607" s="1266"/>
      <c r="L607" s="1266"/>
      <c r="O607" s="42" t="s">
        <v>817</v>
      </c>
      <c r="P607" s="1261"/>
      <c r="Q607" s="1261"/>
      <c r="R607" s="1261"/>
      <c r="U607" t="s">
        <v>649</v>
      </c>
      <c r="Z607" s="1375" t="s">
        <v>2428</v>
      </c>
      <c r="AA607" s="1266"/>
      <c r="AB607" s="1266"/>
      <c r="AC607" s="1266"/>
      <c r="AD607" s="1266"/>
      <c r="AE607" s="1266"/>
      <c r="AH607" s="42" t="s">
        <v>817</v>
      </c>
      <c r="AI607" s="1261"/>
      <c r="AJ607" s="1261"/>
      <c r="AK607" s="1261"/>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2.9" customHeight="1">
      <c r="B608" t="s">
        <v>833</v>
      </c>
      <c r="H608" s="1109" t="str">
        <f>M559</f>
        <v>Equity, General Partner</v>
      </c>
      <c r="I608" s="1109"/>
      <c r="J608" s="1109"/>
      <c r="K608" s="1109"/>
      <c r="L608" s="1109"/>
      <c r="M608" s="1109"/>
      <c r="N608" s="1109"/>
      <c r="O608" s="1109"/>
      <c r="P608" s="1109"/>
      <c r="Q608" s="1109"/>
      <c r="R608" s="1109"/>
      <c r="U608" t="s">
        <v>833</v>
      </c>
      <c r="AA608" s="1109" t="s">
        <v>2427</v>
      </c>
      <c r="AB608" s="1109"/>
      <c r="AC608" s="1109"/>
      <c r="AD608" s="1109"/>
      <c r="AE608" s="1109"/>
      <c r="AF608" s="1109"/>
      <c r="AG608" s="1109"/>
      <c r="AH608" s="1109"/>
      <c r="AI608" s="1109"/>
      <c r="AJ608" s="1109"/>
      <c r="AK608" s="1109"/>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2.9" customHeight="1">
      <c r="B609" t="s">
        <v>835</v>
      </c>
      <c r="N609" s="1100" t="s">
        <v>107</v>
      </c>
      <c r="O609" s="1100"/>
      <c r="U609" t="s">
        <v>835</v>
      </c>
      <c r="AG609" s="1100" t="s">
        <v>107</v>
      </c>
      <c r="AH609" s="1100"/>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2.9"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2.9" customHeight="1">
      <c r="A611" s="980" t="s">
        <v>125</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2.9"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2.9" customHeight="1">
      <c r="A614" s="3" t="s">
        <v>652</v>
      </c>
      <c r="B614" s="3"/>
      <c r="C614" s="3" t="s">
        <v>836</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2.9"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2.9" customHeight="1">
      <c r="C616" s="3" t="s">
        <v>2115</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2.9" customHeight="1">
      <c r="B617" s="838"/>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2.9" customHeight="1">
      <c r="B618" s="1573" t="s">
        <v>2184</v>
      </c>
      <c r="C618" s="1574"/>
      <c r="D618" s="1574"/>
      <c r="E618" s="1574"/>
      <c r="F618" s="1574"/>
      <c r="G618" s="1574"/>
      <c r="H618" s="1574"/>
      <c r="I618" s="1574"/>
      <c r="J618" s="1574"/>
      <c r="K618" s="1574"/>
      <c r="L618" s="1574"/>
      <c r="M618" s="1415" t="s">
        <v>2158</v>
      </c>
      <c r="N618" s="1415"/>
      <c r="O618" s="1415"/>
      <c r="P618" s="1415"/>
      <c r="Q618" s="1299" t="s">
        <v>2188</v>
      </c>
      <c r="R618" s="1300"/>
      <c r="S618" s="1301"/>
      <c r="T618" s="1299" t="s">
        <v>2187</v>
      </c>
      <c r="U618" s="1300"/>
      <c r="V618" s="1301"/>
      <c r="W618" s="1435" t="s">
        <v>739</v>
      </c>
      <c r="X618" s="1435"/>
      <c r="Y618" s="1436"/>
      <c r="Z618" s="1415" t="s">
        <v>2185</v>
      </c>
      <c r="AA618" s="1415"/>
      <c r="AB618" s="1415"/>
      <c r="AC618" s="1423" t="s">
        <v>1980</v>
      </c>
      <c r="AD618" s="1424"/>
      <c r="AE618" s="1425"/>
      <c r="AF618" s="1299" t="s">
        <v>2116</v>
      </c>
      <c r="AG618" s="1300"/>
      <c r="AH618" s="1300"/>
      <c r="AI618" s="1300"/>
      <c r="AJ618" s="1301"/>
      <c r="AK618" s="1512" t="s">
        <v>2117</v>
      </c>
      <c r="AL618" s="1513"/>
      <c r="AM618" s="1513"/>
      <c r="AN618" s="1514"/>
      <c r="AO618" s="1415" t="s">
        <v>740</v>
      </c>
      <c r="AP618" s="1415"/>
      <c r="AQ618" s="1415"/>
      <c r="AR618" s="1415"/>
      <c r="AS618" s="1415"/>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2.9" customHeight="1">
      <c r="B619" s="1575"/>
      <c r="C619" s="1471"/>
      <c r="D619" s="1471"/>
      <c r="E619" s="1471"/>
      <c r="F619" s="1471"/>
      <c r="G619" s="1471"/>
      <c r="H619" s="1471"/>
      <c r="I619" s="1471"/>
      <c r="J619" s="1471"/>
      <c r="K619" s="1471"/>
      <c r="L619" s="1471"/>
      <c r="M619" s="1415"/>
      <c r="N619" s="1415"/>
      <c r="O619" s="1415"/>
      <c r="P619" s="1415"/>
      <c r="Q619" s="1302"/>
      <c r="R619" s="1303"/>
      <c r="S619" s="1304"/>
      <c r="T619" s="1302"/>
      <c r="U619" s="1303"/>
      <c r="V619" s="1304"/>
      <c r="W619" s="1437"/>
      <c r="X619" s="1437"/>
      <c r="Y619" s="1438"/>
      <c r="Z619" s="1415"/>
      <c r="AA619" s="1415"/>
      <c r="AB619" s="1415"/>
      <c r="AC619" s="1426"/>
      <c r="AD619" s="1427"/>
      <c r="AE619" s="1428"/>
      <c r="AF619" s="1302"/>
      <c r="AG619" s="1303"/>
      <c r="AH619" s="1303"/>
      <c r="AI619" s="1303"/>
      <c r="AJ619" s="1304"/>
      <c r="AK619" s="1515"/>
      <c r="AL619" s="1516"/>
      <c r="AM619" s="1516"/>
      <c r="AN619" s="1517"/>
      <c r="AO619" s="1415"/>
      <c r="AP619" s="1415"/>
      <c r="AQ619" s="1415"/>
      <c r="AR619" s="1415"/>
      <c r="AS619" s="1415"/>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2.9" customHeight="1">
      <c r="B620" s="1576"/>
      <c r="C620" s="1577"/>
      <c r="D620" s="1577"/>
      <c r="E620" s="1577"/>
      <c r="F620" s="1577"/>
      <c r="G620" s="1577"/>
      <c r="H620" s="1577"/>
      <c r="I620" s="1577"/>
      <c r="J620" s="1577"/>
      <c r="K620" s="1577"/>
      <c r="L620" s="1577"/>
      <c r="M620" s="1415"/>
      <c r="N620" s="1415"/>
      <c r="O620" s="1415"/>
      <c r="P620" s="1415"/>
      <c r="Q620" s="1305"/>
      <c r="R620" s="1306"/>
      <c r="S620" s="1307"/>
      <c r="T620" s="1305"/>
      <c r="U620" s="1306"/>
      <c r="V620" s="1307"/>
      <c r="W620" s="1439"/>
      <c r="X620" s="1439"/>
      <c r="Y620" s="1440"/>
      <c r="Z620" s="1415"/>
      <c r="AA620" s="1415"/>
      <c r="AB620" s="1415"/>
      <c r="AC620" s="1429"/>
      <c r="AD620" s="1430"/>
      <c r="AE620" s="1431"/>
      <c r="AF620" s="1305"/>
      <c r="AG620" s="1306"/>
      <c r="AH620" s="1306"/>
      <c r="AI620" s="1306"/>
      <c r="AJ620" s="1307"/>
      <c r="AK620" s="1518"/>
      <c r="AL620" s="1519"/>
      <c r="AM620" s="1519"/>
      <c r="AN620" s="1520"/>
      <c r="AO620" s="1415"/>
      <c r="AP620" s="1415"/>
      <c r="AQ620" s="1415"/>
      <c r="AR620" s="1415"/>
      <c r="AS620" s="1415"/>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2.9" customHeight="1">
      <c r="B621" s="57" t="s">
        <v>899</v>
      </c>
      <c r="C621" s="1297" t="s">
        <v>2429</v>
      </c>
      <c r="D621" s="1297"/>
      <c r="E621" s="1297"/>
      <c r="F621" s="1297"/>
      <c r="G621" s="1297"/>
      <c r="H621" s="1297"/>
      <c r="I621" s="1297"/>
      <c r="J621" s="1297"/>
      <c r="K621" s="1297"/>
      <c r="L621" s="1297"/>
      <c r="M621" s="1376" t="s">
        <v>2168</v>
      </c>
      <c r="N621" s="1376"/>
      <c r="O621" s="1376"/>
      <c r="P621" s="1376"/>
      <c r="Q621" s="1377">
        <f>20*12</f>
        <v>240</v>
      </c>
      <c r="R621" s="1378"/>
      <c r="S621" s="1379"/>
      <c r="T621" s="1420">
        <f>35*12</f>
        <v>420</v>
      </c>
      <c r="U621" s="1421"/>
      <c r="V621" s="1422"/>
      <c r="W621" s="1432">
        <v>6.5799999999999997E-2</v>
      </c>
      <c r="X621" s="1433"/>
      <c r="Y621" s="1434"/>
      <c r="Z621" s="1416" t="s">
        <v>2186</v>
      </c>
      <c r="AA621" s="1417"/>
      <c r="AB621" s="1418"/>
      <c r="AC621" s="1329">
        <v>1</v>
      </c>
      <c r="AD621" s="1330"/>
      <c r="AE621" s="1331"/>
      <c r="AF621" s="1211">
        <v>436842</v>
      </c>
      <c r="AG621" s="1212"/>
      <c r="AH621" s="1212"/>
      <c r="AI621" s="1212"/>
      <c r="AJ621" s="1213"/>
      <c r="AK621" s="1372">
        <v>0</v>
      </c>
      <c r="AL621" s="1373"/>
      <c r="AM621" s="1373"/>
      <c r="AN621" s="1374"/>
      <c r="AO621" s="1214">
        <v>6204000</v>
      </c>
      <c r="AP621" s="1214"/>
      <c r="AQ621" s="1214"/>
      <c r="AR621" s="1214"/>
      <c r="AS621" s="1214"/>
      <c r="AT621" s="945" t="str">
        <f t="shared" ref="AT621:AT632" si="33">IF(AND(NOT(C620=""),C621="",NOT(C622="")),"!","")</f>
        <v/>
      </c>
      <c r="AU621" s="43"/>
      <c r="AV621" s="43"/>
      <c r="AW621" s="43"/>
      <c r="AX621" s="43"/>
      <c r="AY621" s="43"/>
      <c r="BA621" s="41" t="s">
        <v>1967</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2.9" customHeight="1">
      <c r="B622" s="58" t="s">
        <v>900</v>
      </c>
      <c r="C622" s="1297" t="s">
        <v>2484</v>
      </c>
      <c r="D622" s="1297"/>
      <c r="E622" s="1297"/>
      <c r="F622" s="1297"/>
      <c r="G622" s="1297"/>
      <c r="H622" s="1297"/>
      <c r="I622" s="1297"/>
      <c r="J622" s="1297"/>
      <c r="K622" s="1297"/>
      <c r="L622" s="1297"/>
      <c r="M622" s="1376" t="s">
        <v>2177</v>
      </c>
      <c r="N622" s="1376"/>
      <c r="O622" s="1376"/>
      <c r="P622" s="1376"/>
      <c r="Q622" s="1377">
        <v>209</v>
      </c>
      <c r="R622" s="1378"/>
      <c r="S622" s="1379"/>
      <c r="T622" s="1420">
        <v>209</v>
      </c>
      <c r="U622" s="1421"/>
      <c r="V622" s="1422"/>
      <c r="W622" s="1432">
        <v>0.02</v>
      </c>
      <c r="X622" s="1433"/>
      <c r="Y622" s="1434"/>
      <c r="Z622" s="1416" t="s">
        <v>2186</v>
      </c>
      <c r="AA622" s="1417"/>
      <c r="AB622" s="1418"/>
      <c r="AC622" s="1329">
        <v>2</v>
      </c>
      <c r="AD622" s="1330"/>
      <c r="AE622" s="1331"/>
      <c r="AF622" s="1211">
        <v>129312</v>
      </c>
      <c r="AG622" s="1212"/>
      <c r="AH622" s="1212"/>
      <c r="AI622" s="1212"/>
      <c r="AJ622" s="1213"/>
      <c r="AK622" s="1372">
        <v>0</v>
      </c>
      <c r="AL622" s="1373"/>
      <c r="AM622" s="1373"/>
      <c r="AN622" s="1374"/>
      <c r="AO622" s="1214">
        <v>1784500</v>
      </c>
      <c r="AP622" s="1214"/>
      <c r="AQ622" s="1214"/>
      <c r="AR622" s="1214"/>
      <c r="AS622" s="1214"/>
      <c r="AT622" s="945" t="str">
        <f t="shared" si="33"/>
        <v/>
      </c>
      <c r="AU622" s="43"/>
      <c r="AV622" s="43"/>
      <c r="AW622" s="43"/>
      <c r="AX622" s="43"/>
      <c r="AY622" s="43"/>
      <c r="BA622" s="41" t="s">
        <v>788</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2.9" customHeight="1">
      <c r="B623" s="58" t="s">
        <v>906</v>
      </c>
      <c r="C623" s="1297" t="s">
        <v>2430</v>
      </c>
      <c r="D623" s="1297"/>
      <c r="E623" s="1297"/>
      <c r="F623" s="1297"/>
      <c r="G623" s="1297"/>
      <c r="H623" s="1297"/>
      <c r="I623" s="1297"/>
      <c r="J623" s="1297"/>
      <c r="K623" s="1297"/>
      <c r="L623" s="1297"/>
      <c r="M623" s="1376" t="s">
        <v>2170</v>
      </c>
      <c r="N623" s="1376"/>
      <c r="O623" s="1376"/>
      <c r="P623" s="1376"/>
      <c r="Q623" s="1377">
        <v>660</v>
      </c>
      <c r="R623" s="1378"/>
      <c r="S623" s="1379"/>
      <c r="T623" s="1420">
        <v>55</v>
      </c>
      <c r="U623" s="1421"/>
      <c r="V623" s="1422"/>
      <c r="W623" s="1432">
        <v>0.03</v>
      </c>
      <c r="X623" s="1433"/>
      <c r="Y623" s="1434"/>
      <c r="Z623" s="1416" t="s">
        <v>787</v>
      </c>
      <c r="AA623" s="1417"/>
      <c r="AB623" s="1418"/>
      <c r="AC623" s="1329">
        <v>3</v>
      </c>
      <c r="AD623" s="1330"/>
      <c r="AE623" s="1331"/>
      <c r="AF623" s="1211"/>
      <c r="AG623" s="1212"/>
      <c r="AH623" s="1212"/>
      <c r="AI623" s="1212"/>
      <c r="AJ623" s="1213"/>
      <c r="AK623" s="1372">
        <v>0</v>
      </c>
      <c r="AL623" s="1373"/>
      <c r="AM623" s="1373"/>
      <c r="AN623" s="1374"/>
      <c r="AO623" s="1214">
        <f t="shared" ref="AO623:AO624" si="34">AM551</f>
        <v>7000000</v>
      </c>
      <c r="AP623" s="1214"/>
      <c r="AQ623" s="1214"/>
      <c r="AR623" s="1214"/>
      <c r="AS623" s="1214"/>
      <c r="AT623" s="945" t="str">
        <f t="shared" si="33"/>
        <v/>
      </c>
      <c r="AU623" s="43"/>
      <c r="AV623" s="43"/>
      <c r="AW623" s="43"/>
      <c r="AX623" s="43"/>
      <c r="AY623" s="43"/>
      <c r="AZ623" s="43"/>
      <c r="BA623" s="41" t="s">
        <v>787</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2.9" customHeight="1">
      <c r="B624" s="58" t="s">
        <v>430</v>
      </c>
      <c r="C624" s="1297" t="s">
        <v>2431</v>
      </c>
      <c r="D624" s="1297"/>
      <c r="E624" s="1297"/>
      <c r="F624" s="1297"/>
      <c r="G624" s="1297"/>
      <c r="H624" s="1297"/>
      <c r="I624" s="1297"/>
      <c r="J624" s="1297"/>
      <c r="K624" s="1297"/>
      <c r="L624" s="1297"/>
      <c r="M624" s="1376" t="s">
        <v>2170</v>
      </c>
      <c r="N624" s="1376"/>
      <c r="O624" s="1376"/>
      <c r="P624" s="1376"/>
      <c r="Q624" s="1377">
        <f>20*12</f>
        <v>240</v>
      </c>
      <c r="R624" s="1378"/>
      <c r="S624" s="1379"/>
      <c r="T624" s="1420">
        <v>55</v>
      </c>
      <c r="U624" s="1421"/>
      <c r="V624" s="1422"/>
      <c r="W624" s="1432">
        <v>0.03</v>
      </c>
      <c r="X624" s="1433"/>
      <c r="Y624" s="1434"/>
      <c r="Z624" s="1416" t="s">
        <v>787</v>
      </c>
      <c r="AA624" s="1417"/>
      <c r="AB624" s="1418"/>
      <c r="AC624" s="1329">
        <v>4</v>
      </c>
      <c r="AD624" s="1330"/>
      <c r="AE624" s="1331"/>
      <c r="AF624" s="1211"/>
      <c r="AG624" s="1212"/>
      <c r="AH624" s="1212"/>
      <c r="AI624" s="1212"/>
      <c r="AJ624" s="1213"/>
      <c r="AK624" s="1372">
        <v>0</v>
      </c>
      <c r="AL624" s="1373"/>
      <c r="AM624" s="1373"/>
      <c r="AN624" s="1374"/>
      <c r="AO624" s="1214">
        <f t="shared" si="34"/>
        <v>1994000</v>
      </c>
      <c r="AP624" s="1214"/>
      <c r="AQ624" s="1214"/>
      <c r="AR624" s="1214"/>
      <c r="AS624" s="1214"/>
      <c r="AT624" s="945" t="str">
        <f t="shared" si="33"/>
        <v/>
      </c>
      <c r="AU624" s="43"/>
      <c r="AV624" s="43"/>
      <c r="AW624" s="43"/>
      <c r="AX624" s="43"/>
      <c r="AY624" s="43"/>
      <c r="AZ624" s="43"/>
      <c r="BA624" s="41" t="s">
        <v>2186</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2.9" customHeight="1">
      <c r="B625" s="58" t="s">
        <v>170</v>
      </c>
      <c r="C625" s="1297" t="s">
        <v>2483</v>
      </c>
      <c r="D625" s="1297"/>
      <c r="E625" s="1297"/>
      <c r="F625" s="1297"/>
      <c r="G625" s="1297"/>
      <c r="H625" s="1297"/>
      <c r="I625" s="1297"/>
      <c r="J625" s="1297"/>
      <c r="K625" s="1297"/>
      <c r="L625" s="1297"/>
      <c r="M625" s="1376" t="s">
        <v>2170</v>
      </c>
      <c r="N625" s="1376"/>
      <c r="O625" s="1376"/>
      <c r="P625" s="1376"/>
      <c r="Q625" s="1377">
        <v>660</v>
      </c>
      <c r="R625" s="1378"/>
      <c r="S625" s="1379"/>
      <c r="T625" s="1420">
        <v>55</v>
      </c>
      <c r="U625" s="1421"/>
      <c r="V625" s="1422"/>
      <c r="W625" s="1432">
        <v>0.03</v>
      </c>
      <c r="X625" s="1433"/>
      <c r="Y625" s="1434"/>
      <c r="Z625" s="1416" t="s">
        <v>787</v>
      </c>
      <c r="AA625" s="1417"/>
      <c r="AB625" s="1418"/>
      <c r="AC625" s="1329">
        <v>5</v>
      </c>
      <c r="AD625" s="1330"/>
      <c r="AE625" s="1331"/>
      <c r="AF625" s="1211"/>
      <c r="AG625" s="1212"/>
      <c r="AH625" s="1212"/>
      <c r="AI625" s="1212"/>
      <c r="AJ625" s="1213"/>
      <c r="AK625" s="1372">
        <v>0</v>
      </c>
      <c r="AL625" s="1373"/>
      <c r="AM625" s="1373"/>
      <c r="AN625" s="1374"/>
      <c r="AO625" s="1214">
        <f>AM553</f>
        <v>1900000</v>
      </c>
      <c r="AP625" s="1214"/>
      <c r="AQ625" s="1214"/>
      <c r="AR625" s="1214"/>
      <c r="AS625" s="1214"/>
      <c r="AT625" s="945" t="str">
        <f t="shared" si="33"/>
        <v/>
      </c>
      <c r="AU625" s="43"/>
      <c r="AV625" s="43"/>
      <c r="AW625" s="43"/>
      <c r="AX625" s="43"/>
      <c r="AY625" s="43"/>
      <c r="AZ625" s="43"/>
      <c r="BA625" s="41" t="s">
        <v>498</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2.9" customHeight="1">
      <c r="B626" s="58" t="s">
        <v>433</v>
      </c>
      <c r="C626" s="1297" t="s">
        <v>2432</v>
      </c>
      <c r="D626" s="1297"/>
      <c r="E626" s="1297"/>
      <c r="F626" s="1297"/>
      <c r="G626" s="1297"/>
      <c r="H626" s="1297"/>
      <c r="I626" s="1297"/>
      <c r="J626" s="1297"/>
      <c r="K626" s="1297"/>
      <c r="L626" s="1297"/>
      <c r="M626" s="1376" t="s">
        <v>2170</v>
      </c>
      <c r="N626" s="1376"/>
      <c r="O626" s="1376"/>
      <c r="P626" s="1376"/>
      <c r="Q626" s="1377">
        <v>684</v>
      </c>
      <c r="R626" s="1378"/>
      <c r="S626" s="1379"/>
      <c r="T626" s="1420">
        <v>55</v>
      </c>
      <c r="U626" s="1421"/>
      <c r="V626" s="1422"/>
      <c r="W626" s="1432">
        <v>0.03</v>
      </c>
      <c r="X626" s="1433"/>
      <c r="Y626" s="1434"/>
      <c r="Z626" s="1416" t="s">
        <v>787</v>
      </c>
      <c r="AA626" s="1417"/>
      <c r="AB626" s="1418"/>
      <c r="AC626" s="1329">
        <v>6</v>
      </c>
      <c r="AD626" s="1330"/>
      <c r="AE626" s="1331"/>
      <c r="AF626" s="1211"/>
      <c r="AG626" s="1212"/>
      <c r="AH626" s="1212"/>
      <c r="AI626" s="1212"/>
      <c r="AJ626" s="1213"/>
      <c r="AK626" s="1372">
        <v>0</v>
      </c>
      <c r="AL626" s="1373"/>
      <c r="AM626" s="1373"/>
      <c r="AN626" s="1374"/>
      <c r="AO626" s="1214">
        <f>AM554</f>
        <v>1000000</v>
      </c>
      <c r="AP626" s="1214"/>
      <c r="AQ626" s="1214"/>
      <c r="AR626" s="1214"/>
      <c r="AS626" s="1214"/>
      <c r="AT626" s="945" t="str">
        <f t="shared" si="33"/>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5">SUM(BS591:BW625)</f>
        <v>18</v>
      </c>
      <c r="BT626" s="1274"/>
      <c r="BU626" s="1274"/>
      <c r="BV626" s="1274"/>
      <c r="BW626" s="1275"/>
      <c r="BX626" s="1273">
        <f t="shared" ref="BX626" si="36">SUM(BX591:CB625)</f>
        <v>9</v>
      </c>
      <c r="BY626" s="1274"/>
      <c r="BZ626" s="1274"/>
      <c r="CA626" s="1274"/>
      <c r="CB626" s="1275"/>
      <c r="CC626" s="1273">
        <f t="shared" ref="CC626" si="37">SUM(CC591:CG625)</f>
        <v>9</v>
      </c>
      <c r="CD626" s="1274"/>
      <c r="CE626" s="1274"/>
      <c r="CF626" s="1274"/>
      <c r="CG626" s="1275"/>
      <c r="CH626" s="1273">
        <f t="shared" ref="CH626" si="38">SUM(CH591:CL625)</f>
        <v>0</v>
      </c>
      <c r="CI626" s="1274"/>
      <c r="CJ626" s="1274"/>
      <c r="CK626" s="1274"/>
      <c r="CL626" s="1275"/>
      <c r="CM626" s="1273">
        <f t="shared" ref="CM626" si="39">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 customHeight="1" thickBot="1">
      <c r="B627" s="58" t="s">
        <v>741</v>
      </c>
      <c r="C627" s="1297" t="s">
        <v>2279</v>
      </c>
      <c r="D627" s="1297"/>
      <c r="E627" s="1297"/>
      <c r="F627" s="1297"/>
      <c r="G627" s="1297"/>
      <c r="H627" s="1297"/>
      <c r="I627" s="1297"/>
      <c r="J627" s="1297"/>
      <c r="K627" s="1297"/>
      <c r="L627" s="1297"/>
      <c r="M627" s="1376" t="s">
        <v>2172</v>
      </c>
      <c r="N627" s="1376"/>
      <c r="O627" s="1376"/>
      <c r="P627" s="1376"/>
      <c r="Q627" s="1377">
        <v>0</v>
      </c>
      <c r="R627" s="1378"/>
      <c r="S627" s="1379"/>
      <c r="T627" s="1420">
        <v>55</v>
      </c>
      <c r="U627" s="1421"/>
      <c r="V627" s="1422"/>
      <c r="W627" s="1432">
        <v>0</v>
      </c>
      <c r="X627" s="1433"/>
      <c r="Y627" s="1434"/>
      <c r="Z627" s="1416" t="s">
        <v>498</v>
      </c>
      <c r="AA627" s="1417"/>
      <c r="AB627" s="1418"/>
      <c r="AC627" s="1329"/>
      <c r="AD627" s="1330"/>
      <c r="AE627" s="1331"/>
      <c r="AF627" s="1211"/>
      <c r="AG627" s="1212"/>
      <c r="AH627" s="1212"/>
      <c r="AI627" s="1212"/>
      <c r="AJ627" s="1213"/>
      <c r="AK627" s="1372">
        <v>0</v>
      </c>
      <c r="AL627" s="1373"/>
      <c r="AM627" s="1373"/>
      <c r="AN627" s="1374"/>
      <c r="AO627" s="1214">
        <v>540000</v>
      </c>
      <c r="AP627" s="1214"/>
      <c r="AQ627" s="1214"/>
      <c r="AR627" s="1214"/>
      <c r="AS627" s="1214"/>
      <c r="AT627" s="945" t="str">
        <f t="shared" si="33"/>
        <v/>
      </c>
      <c r="AU627" s="43"/>
      <c r="AV627" s="43"/>
      <c r="AW627" s="43"/>
      <c r="AX627" s="43"/>
      <c r="AY627" s="43"/>
      <c r="AZ627" s="43"/>
      <c r="BE627" s="41"/>
      <c r="BF627" s="41"/>
      <c r="BG627" s="1273">
        <f>SUM(BG592:BH626)</f>
        <v>0</v>
      </c>
      <c r="BH627" s="1275"/>
      <c r="BI627" s="41"/>
      <c r="BJ627" s="41"/>
      <c r="BK627" s="1273">
        <f>SUM(BK592:BL626)</f>
        <v>22</v>
      </c>
      <c r="BL627" s="1275"/>
      <c r="BN627" s="41" t="s">
        <v>1714</v>
      </c>
      <c r="BO627" s="41"/>
      <c r="BP627" s="41"/>
      <c r="BQ627" s="41"/>
      <c r="BR627" s="467">
        <f>BN626*1</f>
        <v>0</v>
      </c>
      <c r="BS627" s="41"/>
      <c r="BT627" s="41"/>
      <c r="BU627" s="41"/>
      <c r="BV627" s="41"/>
      <c r="BW627" s="467">
        <f>BS626*1</f>
        <v>18</v>
      </c>
      <c r="BX627" s="41"/>
      <c r="BY627" s="41"/>
      <c r="BZ627" s="41"/>
      <c r="CA627" s="41"/>
      <c r="CB627" s="467">
        <f>BX626*2</f>
        <v>18</v>
      </c>
      <c r="CC627" s="41"/>
      <c r="CD627" s="41"/>
      <c r="CE627" s="41"/>
      <c r="CF627" s="41"/>
      <c r="CG627" s="467">
        <f>CC626*3</f>
        <v>27</v>
      </c>
      <c r="CH627" s="41"/>
      <c r="CI627" s="41"/>
      <c r="CJ627" s="41"/>
      <c r="CK627" s="41"/>
      <c r="CL627" s="467">
        <f>CH626*4</f>
        <v>0</v>
      </c>
      <c r="CM627" s="41"/>
      <c r="CN627" s="41"/>
      <c r="CO627" s="41"/>
      <c r="CP627" s="41"/>
      <c r="CQ627" s="466">
        <f>CM626*5</f>
        <v>0</v>
      </c>
      <c r="CS627" s="1273">
        <f>SUM(CS592:CW626)</f>
        <v>0</v>
      </c>
      <c r="CT627" s="1274"/>
      <c r="CU627" s="1274"/>
      <c r="CV627" s="1274"/>
      <c r="CW627" s="1275"/>
      <c r="CX627" s="1273">
        <f>SUM(CX592:DB626)</f>
        <v>18</v>
      </c>
      <c r="CY627" s="1274"/>
      <c r="CZ627" s="1274"/>
      <c r="DA627" s="1274"/>
      <c r="DB627" s="1275"/>
      <c r="DC627" s="1273">
        <f>SUM(DC592:DG626)</f>
        <v>2</v>
      </c>
      <c r="DD627" s="1274"/>
      <c r="DE627" s="1274"/>
      <c r="DF627" s="1274"/>
      <c r="DG627" s="1275"/>
      <c r="DH627" s="1273">
        <f>SUM(DH592:DL626)</f>
        <v>2</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 customHeight="1" thickBot="1">
      <c r="B628" s="58" t="s">
        <v>742</v>
      </c>
      <c r="C628" s="1297" t="s">
        <v>2433</v>
      </c>
      <c r="D628" s="1297"/>
      <c r="E628" s="1297"/>
      <c r="F628" s="1297"/>
      <c r="G628" s="1297"/>
      <c r="H628" s="1297"/>
      <c r="I628" s="1297"/>
      <c r="J628" s="1297"/>
      <c r="K628" s="1297"/>
      <c r="L628" s="1297"/>
      <c r="M628" s="1376" t="s">
        <v>2181</v>
      </c>
      <c r="N628" s="1376"/>
      <c r="O628" s="1376"/>
      <c r="P628" s="1376"/>
      <c r="Q628" s="1377">
        <v>0</v>
      </c>
      <c r="R628" s="1378"/>
      <c r="S628" s="1379"/>
      <c r="T628" s="1420"/>
      <c r="U628" s="1421"/>
      <c r="V628" s="1422"/>
      <c r="W628" s="1432">
        <v>0</v>
      </c>
      <c r="X628" s="1433"/>
      <c r="Y628" s="1434"/>
      <c r="Z628" s="1416" t="s">
        <v>498</v>
      </c>
      <c r="AA628" s="1417"/>
      <c r="AB628" s="1418"/>
      <c r="AC628" s="1329"/>
      <c r="AD628" s="1330"/>
      <c r="AE628" s="1331"/>
      <c r="AF628" s="1211"/>
      <c r="AG628" s="1212"/>
      <c r="AH628" s="1212"/>
      <c r="AI628" s="1212"/>
      <c r="AJ628" s="1213"/>
      <c r="AK628" s="1372">
        <v>0</v>
      </c>
      <c r="AL628" s="1373"/>
      <c r="AM628" s="1373"/>
      <c r="AN628" s="1374"/>
      <c r="AO628" s="1214">
        <v>4000000</v>
      </c>
      <c r="AP628" s="1214"/>
      <c r="AQ628" s="1214"/>
      <c r="AR628" s="1214"/>
      <c r="AS628" s="1214"/>
      <c r="AT628" s="945"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1715</v>
      </c>
      <c r="CQ628" s="468">
        <f>BR627+BW627+CB627+CG627+CL627+CQ627</f>
        <v>63</v>
      </c>
      <c r="CR628" s="41"/>
      <c r="CS628" s="41"/>
    </row>
    <row r="629" spans="1:126" ht="12.9" customHeight="1">
      <c r="B629" s="58" t="s">
        <v>545</v>
      </c>
      <c r="C629" s="1297" t="s">
        <v>2398</v>
      </c>
      <c r="D629" s="1297"/>
      <c r="E629" s="1297"/>
      <c r="F629" s="1297"/>
      <c r="G629" s="1297"/>
      <c r="H629" s="1297"/>
      <c r="I629" s="1297"/>
      <c r="J629" s="1297"/>
      <c r="K629" s="1297"/>
      <c r="L629" s="1297"/>
      <c r="M629" s="1376" t="s">
        <v>2164</v>
      </c>
      <c r="N629" s="1376"/>
      <c r="O629" s="1376"/>
      <c r="P629" s="1376"/>
      <c r="Q629" s="1377">
        <v>0</v>
      </c>
      <c r="R629" s="1378"/>
      <c r="S629" s="1379"/>
      <c r="T629" s="1420"/>
      <c r="U629" s="1421"/>
      <c r="V629" s="1422"/>
      <c r="W629" s="1432">
        <v>0</v>
      </c>
      <c r="X629" s="1433"/>
      <c r="Y629" s="1434"/>
      <c r="Z629" s="1416" t="s">
        <v>498</v>
      </c>
      <c r="AA629" s="1417"/>
      <c r="AB629" s="1418"/>
      <c r="AC629" s="1329"/>
      <c r="AD629" s="1330"/>
      <c r="AE629" s="1331"/>
      <c r="AF629" s="1211"/>
      <c r="AG629" s="1212"/>
      <c r="AH629" s="1212"/>
      <c r="AI629" s="1212"/>
      <c r="AJ629" s="1213"/>
      <c r="AK629" s="1372">
        <v>0</v>
      </c>
      <c r="AL629" s="1373"/>
      <c r="AM629" s="1373"/>
      <c r="AN629" s="1374"/>
      <c r="AO629" s="1214">
        <v>100</v>
      </c>
      <c r="AP629" s="1214"/>
      <c r="AQ629" s="1214"/>
      <c r="AR629" s="1214"/>
      <c r="AS629" s="1214"/>
      <c r="AT629" s="945"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0</v>
      </c>
      <c r="BY629" s="1268"/>
      <c r="BZ629" s="1268"/>
      <c r="CA629" s="1268"/>
      <c r="CB629" s="1269"/>
      <c r="CC629" s="1267">
        <f>IF(J752="3 Bedrooms",O752,0)</f>
        <v>1</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 customHeight="1">
      <c r="B630" s="58" t="s">
        <v>173</v>
      </c>
      <c r="C630" s="1297" t="s">
        <v>2427</v>
      </c>
      <c r="D630" s="1297"/>
      <c r="E630" s="1297"/>
      <c r="F630" s="1297"/>
      <c r="G630" s="1297"/>
      <c r="H630" s="1297"/>
      <c r="I630" s="1297"/>
      <c r="J630" s="1297"/>
      <c r="K630" s="1297"/>
      <c r="L630" s="1297"/>
      <c r="M630" s="1376" t="s">
        <v>2161</v>
      </c>
      <c r="N630" s="1376"/>
      <c r="O630" s="1376"/>
      <c r="P630" s="1376"/>
      <c r="Q630" s="1377">
        <v>0</v>
      </c>
      <c r="R630" s="1378"/>
      <c r="S630" s="1379"/>
      <c r="T630" s="1420"/>
      <c r="U630" s="1421"/>
      <c r="V630" s="1422"/>
      <c r="W630" s="1432">
        <v>0</v>
      </c>
      <c r="X630" s="1433"/>
      <c r="Y630" s="1434"/>
      <c r="Z630" s="1416" t="s">
        <v>498</v>
      </c>
      <c r="AA630" s="1417"/>
      <c r="AB630" s="1418"/>
      <c r="AC630" s="1329"/>
      <c r="AD630" s="1330"/>
      <c r="AE630" s="1331"/>
      <c r="AF630" s="1211"/>
      <c r="AG630" s="1212"/>
      <c r="AH630" s="1212"/>
      <c r="AI630" s="1212"/>
      <c r="AJ630" s="1213"/>
      <c r="AK630" s="1372">
        <v>0</v>
      </c>
      <c r="AL630" s="1373"/>
      <c r="AM630" s="1373"/>
      <c r="AN630" s="1374"/>
      <c r="AO630" s="1214">
        <v>1000000</v>
      </c>
      <c r="AP630" s="1214"/>
      <c r="AQ630" s="1214"/>
      <c r="AR630" s="1214"/>
      <c r="AS630" s="1214"/>
      <c r="AT630" s="945" t="str">
        <f t="shared" si="33"/>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 customHeight="1">
      <c r="B631" s="58" t="s">
        <v>32</v>
      </c>
      <c r="C631" s="1297"/>
      <c r="D631" s="1297"/>
      <c r="E631" s="1297"/>
      <c r="F631" s="1297"/>
      <c r="G631" s="1297"/>
      <c r="H631" s="1297"/>
      <c r="I631" s="1297"/>
      <c r="J631" s="1297"/>
      <c r="K631" s="1297"/>
      <c r="L631" s="1297"/>
      <c r="M631" s="1376" t="s">
        <v>1967</v>
      </c>
      <c r="N631" s="1376"/>
      <c r="O631" s="1376"/>
      <c r="P631" s="1376"/>
      <c r="Q631" s="1377"/>
      <c r="R631" s="1378"/>
      <c r="S631" s="1379"/>
      <c r="T631" s="1420"/>
      <c r="U631" s="1421"/>
      <c r="V631" s="1422"/>
      <c r="W631" s="1432"/>
      <c r="X631" s="1433"/>
      <c r="Y631" s="1434"/>
      <c r="Z631" s="1416" t="s">
        <v>1967</v>
      </c>
      <c r="AA631" s="1417"/>
      <c r="AB631" s="1418"/>
      <c r="AC631" s="1329"/>
      <c r="AD631" s="1330"/>
      <c r="AE631" s="1331"/>
      <c r="AF631" s="1211"/>
      <c r="AG631" s="1212"/>
      <c r="AH631" s="1212"/>
      <c r="AI631" s="1212"/>
      <c r="AJ631" s="1213"/>
      <c r="AK631" s="1372"/>
      <c r="AL631" s="1373"/>
      <c r="AM631" s="1373"/>
      <c r="AN631" s="1374"/>
      <c r="AO631" s="1214"/>
      <c r="AP631" s="1214"/>
      <c r="AQ631" s="1214"/>
      <c r="AR631" s="1214"/>
      <c r="AS631" s="1214"/>
      <c r="AT631" s="945" t="str">
        <f t="shared" si="33"/>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 customHeight="1">
      <c r="B632" s="58" t="s">
        <v>33</v>
      </c>
      <c r="C632" s="1297"/>
      <c r="D632" s="1297"/>
      <c r="E632" s="1297"/>
      <c r="F632" s="1297"/>
      <c r="G632" s="1297"/>
      <c r="H632" s="1297"/>
      <c r="I632" s="1297"/>
      <c r="J632" s="1297"/>
      <c r="K632" s="1297"/>
      <c r="L632" s="1297"/>
      <c r="M632" s="1376" t="s">
        <v>1967</v>
      </c>
      <c r="N632" s="1376"/>
      <c r="O632" s="1376"/>
      <c r="P632" s="1376"/>
      <c r="Q632" s="1377"/>
      <c r="R632" s="1378"/>
      <c r="S632" s="1379"/>
      <c r="T632" s="1420"/>
      <c r="U632" s="1421"/>
      <c r="V632" s="1422"/>
      <c r="W632" s="1432"/>
      <c r="X632" s="1433"/>
      <c r="Y632" s="1434"/>
      <c r="Z632" s="1416" t="s">
        <v>1967</v>
      </c>
      <c r="AA632" s="1417"/>
      <c r="AB632" s="1418"/>
      <c r="AC632" s="1329"/>
      <c r="AD632" s="1330"/>
      <c r="AE632" s="1331"/>
      <c r="AF632" s="1211"/>
      <c r="AG632" s="1212"/>
      <c r="AH632" s="1212"/>
      <c r="AI632" s="1212"/>
      <c r="AJ632" s="1213"/>
      <c r="AK632" s="1372"/>
      <c r="AL632" s="1373"/>
      <c r="AM632" s="1373"/>
      <c r="AN632" s="1374"/>
      <c r="AO632" s="1214"/>
      <c r="AP632" s="1214"/>
      <c r="AQ632" s="1214"/>
      <c r="AR632" s="1214"/>
      <c r="AS632" s="1214"/>
      <c r="AT632" s="945" t="str">
        <f t="shared" si="33"/>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 customHeight="1">
      <c r="B633" s="1184" t="s">
        <v>357</v>
      </c>
      <c r="C633" s="1185"/>
      <c r="D633" s="1185"/>
      <c r="E633" s="1185"/>
      <c r="F633" s="1185"/>
      <c r="G633" s="1185"/>
      <c r="H633" s="1185"/>
      <c r="I633" s="1185"/>
      <c r="J633" s="1185"/>
      <c r="K633" s="1185"/>
      <c r="L633" s="1185"/>
      <c r="M633" s="1185"/>
      <c r="N633" s="1185"/>
      <c r="O633" s="1185"/>
      <c r="P633" s="1185"/>
      <c r="Q633" s="1185"/>
      <c r="R633" s="1185"/>
      <c r="S633" s="1185"/>
      <c r="T633" s="1185"/>
      <c r="U633" s="1185"/>
      <c r="V633" s="1185"/>
      <c r="W633" s="1185"/>
      <c r="X633" s="1185"/>
      <c r="Y633" s="1185"/>
      <c r="Z633" s="1185"/>
      <c r="AA633" s="1185"/>
      <c r="AB633" s="1185"/>
      <c r="AC633" s="1185"/>
      <c r="AD633" s="1185"/>
      <c r="AE633" s="1185"/>
      <c r="AF633" s="1185"/>
      <c r="AG633" s="1185"/>
      <c r="AH633" s="1185"/>
      <c r="AI633" s="1185"/>
      <c r="AJ633" s="1185"/>
      <c r="AK633" s="1185"/>
      <c r="AL633" s="1185"/>
      <c r="AM633" s="1185"/>
      <c r="AN633" s="1186"/>
      <c r="AO633" s="1195">
        <f>SUM(AO621:AS632)</f>
        <v>25422600</v>
      </c>
      <c r="AP633" s="1196"/>
      <c r="AQ633" s="1196"/>
      <c r="AR633" s="1196"/>
      <c r="AS633" s="1197"/>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0</v>
      </c>
      <c r="BY633" s="1271"/>
      <c r="BZ633" s="1271"/>
      <c r="CA633" s="1271"/>
      <c r="CB633" s="1272"/>
      <c r="CC633" s="1270">
        <f>SUM(CC629:CG632)</f>
        <v>1</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1</v>
      </c>
      <c r="CT633" s="63" t="s">
        <v>1971</v>
      </c>
      <c r="CU633" s="41"/>
    </row>
    <row r="634" spans="1:126" ht="12.9" customHeight="1">
      <c r="B634" s="1184" t="s">
        <v>358</v>
      </c>
      <c r="C634" s="1185"/>
      <c r="D634" s="1185"/>
      <c r="E634" s="1185"/>
      <c r="F634" s="1185"/>
      <c r="G634" s="1185"/>
      <c r="H634" s="1185"/>
      <c r="I634" s="1185"/>
      <c r="J634" s="1185"/>
      <c r="K634" s="1185"/>
      <c r="L634" s="1185"/>
      <c r="M634" s="1185"/>
      <c r="N634" s="1185"/>
      <c r="O634" s="1185"/>
      <c r="P634" s="1185"/>
      <c r="Q634" s="1185"/>
      <c r="R634" s="1185"/>
      <c r="S634" s="1185"/>
      <c r="T634" s="1185"/>
      <c r="U634" s="1185"/>
      <c r="V634" s="1185"/>
      <c r="W634" s="1185"/>
      <c r="X634" s="1185"/>
      <c r="Y634" s="1185"/>
      <c r="Z634" s="1185"/>
      <c r="AA634" s="1185"/>
      <c r="AB634" s="1185"/>
      <c r="AC634" s="1185"/>
      <c r="AD634" s="1185"/>
      <c r="AE634" s="1185"/>
      <c r="AF634" s="1185"/>
      <c r="AG634" s="1185"/>
      <c r="AH634" s="1185"/>
      <c r="AI634" s="1185"/>
      <c r="AJ634" s="1185"/>
      <c r="AK634" s="1185"/>
      <c r="AL634" s="1185"/>
      <c r="AM634" s="1185"/>
      <c r="AN634" s="1186"/>
      <c r="AO634" s="1201">
        <f>19538348-180000</f>
        <v>19358348</v>
      </c>
      <c r="AP634" s="1202"/>
      <c r="AQ634" s="1202"/>
      <c r="AR634" s="1202"/>
      <c r="AS634" s="1203"/>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7" t="s">
        <v>939</v>
      </c>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c r="AA635" s="1448"/>
      <c r="AB635" s="1448"/>
      <c r="AC635" s="1448"/>
      <c r="AD635" s="1448"/>
      <c r="AE635" s="1448"/>
      <c r="AF635" s="1448"/>
      <c r="AG635" s="1448"/>
      <c r="AH635" s="1448"/>
      <c r="AI635" s="1448"/>
      <c r="AJ635" s="1448"/>
      <c r="AK635" s="1448"/>
      <c r="AL635" s="1448"/>
      <c r="AM635" s="1448"/>
      <c r="AN635" s="1449"/>
      <c r="AO635" s="1195">
        <f>AO633+AO634</f>
        <v>44780948</v>
      </c>
      <c r="AP635" s="1196"/>
      <c r="AQ635" s="1196"/>
      <c r="AR635" s="1196"/>
      <c r="AS635" s="1197"/>
      <c r="AT635" s="43"/>
      <c r="AU635" s="43"/>
      <c r="AV635" s="43"/>
      <c r="AW635" s="43"/>
      <c r="AX635" s="43"/>
      <c r="AY635" s="43"/>
      <c r="AZ635" s="43"/>
      <c r="BN635" s="1267">
        <f t="shared" ref="BN635:BN644" si="40">IF(J766="SRO/Studio",O766,0)</f>
        <v>0</v>
      </c>
      <c r="BO635" s="1268"/>
      <c r="BP635" s="1268"/>
      <c r="BQ635" s="1268"/>
      <c r="BR635" s="1269"/>
      <c r="BS635" s="1267">
        <f t="shared" ref="BS635:BS644" si="41">IF(J766="1 Bedroom",O766,0)</f>
        <v>0</v>
      </c>
      <c r="BT635" s="1268"/>
      <c r="BU635" s="1268"/>
      <c r="BV635" s="1268"/>
      <c r="BW635" s="1269"/>
      <c r="BX635" s="1267">
        <f t="shared" ref="BX635:BX644" si="42">IF(J766="2 Bedrooms",O766,0)</f>
        <v>0</v>
      </c>
      <c r="BY635" s="1268"/>
      <c r="BZ635" s="1268"/>
      <c r="CA635" s="1268"/>
      <c r="CB635" s="1269"/>
      <c r="CC635" s="1267">
        <f t="shared" ref="CC635:CC644" si="43">IF(J766="3 Bedrooms",O766,0)</f>
        <v>0</v>
      </c>
      <c r="CD635" s="1268"/>
      <c r="CE635" s="1268"/>
      <c r="CF635" s="1268"/>
      <c r="CG635" s="1269"/>
      <c r="CH635" s="1267">
        <f t="shared" ref="CH635:CH644" si="44">IF(J766="4 Bedrooms",O766,0)</f>
        <v>0</v>
      </c>
      <c r="CI635" s="1268"/>
      <c r="CJ635" s="1268"/>
      <c r="CK635" s="1268"/>
      <c r="CL635" s="1269"/>
      <c r="CM635" s="1267">
        <f t="shared" ref="CM635:CM644" si="45">IF(J766="5 Bedrooms",O766,0)</f>
        <v>0</v>
      </c>
      <c r="CN635" s="1268"/>
      <c r="CO635" s="1268"/>
      <c r="CP635" s="1268"/>
      <c r="CQ635" s="126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40"/>
        <v>0</v>
      </c>
      <c r="BO636" s="1268"/>
      <c r="BP636" s="1268"/>
      <c r="BQ636" s="1268"/>
      <c r="BR636" s="1269"/>
      <c r="BS636" s="1267">
        <f t="shared" si="41"/>
        <v>0</v>
      </c>
      <c r="BT636" s="1268"/>
      <c r="BU636" s="1268"/>
      <c r="BV636" s="1268"/>
      <c r="BW636" s="1269"/>
      <c r="BX636" s="1267">
        <f t="shared" si="42"/>
        <v>0</v>
      </c>
      <c r="BY636" s="1268"/>
      <c r="BZ636" s="1268"/>
      <c r="CA636" s="1268"/>
      <c r="CB636" s="1269"/>
      <c r="CC636" s="1267">
        <f t="shared" si="43"/>
        <v>0</v>
      </c>
      <c r="CD636" s="1268"/>
      <c r="CE636" s="1268"/>
      <c r="CF636" s="1268"/>
      <c r="CG636" s="1269"/>
      <c r="CH636" s="1267">
        <f t="shared" si="44"/>
        <v>0</v>
      </c>
      <c r="CI636" s="1268"/>
      <c r="CJ636" s="1268"/>
      <c r="CK636" s="1268"/>
      <c r="CL636" s="1269"/>
      <c r="CM636" s="1267">
        <f t="shared" si="45"/>
        <v>0</v>
      </c>
      <c r="CN636" s="1268"/>
      <c r="CO636" s="1268"/>
      <c r="CP636" s="1268"/>
      <c r="CQ636" s="1269"/>
      <c r="CR636" s="41"/>
      <c r="CS636" s="41"/>
    </row>
    <row r="637" spans="1:126" ht="12.9" customHeight="1">
      <c r="A637" s="61" t="s">
        <v>899</v>
      </c>
      <c r="B637" t="s">
        <v>81</v>
      </c>
      <c r="G637" s="1262" t="str">
        <f>C621</f>
        <v>California Community Reinvestment Corporation (Perm)</v>
      </c>
      <c r="H637" s="1262"/>
      <c r="I637" s="1262"/>
      <c r="J637" s="1262"/>
      <c r="K637" s="1262"/>
      <c r="L637" s="1262"/>
      <c r="M637" s="1262"/>
      <c r="N637" s="1262"/>
      <c r="O637" s="1262"/>
      <c r="P637" s="1262"/>
      <c r="Q637" s="1262"/>
      <c r="R637" s="1262"/>
      <c r="S637" s="12"/>
      <c r="T637" s="61" t="s">
        <v>900</v>
      </c>
      <c r="U637" t="s">
        <v>81</v>
      </c>
      <c r="Z637" s="1262" t="str">
        <f>C622</f>
        <v>Apple - Housing Trust of Silicon Valley</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7">
        <f t="shared" si="40"/>
        <v>0</v>
      </c>
      <c r="BO637" s="1268"/>
      <c r="BP637" s="1268"/>
      <c r="BQ637" s="1268"/>
      <c r="BR637" s="1269"/>
      <c r="BS637" s="1267">
        <f t="shared" si="41"/>
        <v>0</v>
      </c>
      <c r="BT637" s="1268"/>
      <c r="BU637" s="1268"/>
      <c r="BV637" s="1268"/>
      <c r="BW637" s="1269"/>
      <c r="BX637" s="1267">
        <f t="shared" si="42"/>
        <v>0</v>
      </c>
      <c r="BY637" s="1268"/>
      <c r="BZ637" s="1268"/>
      <c r="CA637" s="1268"/>
      <c r="CB637" s="1269"/>
      <c r="CC637" s="1267">
        <f t="shared" si="43"/>
        <v>0</v>
      </c>
      <c r="CD637" s="1268"/>
      <c r="CE637" s="1268"/>
      <c r="CF637" s="1268"/>
      <c r="CG637" s="1269"/>
      <c r="CH637" s="1267">
        <f t="shared" si="44"/>
        <v>0</v>
      </c>
      <c r="CI637" s="1268"/>
      <c r="CJ637" s="1268"/>
      <c r="CK637" s="1268"/>
      <c r="CL637" s="1269"/>
      <c r="CM637" s="1267">
        <f t="shared" si="45"/>
        <v>0</v>
      </c>
      <c r="CN637" s="1268"/>
      <c r="CO637" s="1268"/>
      <c r="CP637" s="1268"/>
      <c r="CQ637" s="1269"/>
      <c r="CR637" s="41"/>
      <c r="CS637" s="41"/>
    </row>
    <row r="638" spans="1:126" ht="12.9" customHeight="1">
      <c r="A638" s="4"/>
      <c r="B638" t="s">
        <v>371</v>
      </c>
      <c r="G638" s="1109" t="s">
        <v>2434</v>
      </c>
      <c r="H638" s="1109"/>
      <c r="I638" s="1109"/>
      <c r="J638" s="1109"/>
      <c r="K638" s="1109"/>
      <c r="L638" s="1109"/>
      <c r="M638" s="1109"/>
      <c r="N638" s="1109"/>
      <c r="O638" s="1109"/>
      <c r="P638" s="1109"/>
      <c r="Q638" s="1109"/>
      <c r="R638" s="1109"/>
      <c r="S638" s="12"/>
      <c r="T638" s="4"/>
      <c r="U638" t="s">
        <v>371</v>
      </c>
      <c r="Z638" s="1109" t="s">
        <v>2404</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7">
        <f t="shared" si="40"/>
        <v>0</v>
      </c>
      <c r="BO638" s="1268"/>
      <c r="BP638" s="1268"/>
      <c r="BQ638" s="1268"/>
      <c r="BR638" s="1269"/>
      <c r="BS638" s="1267">
        <f t="shared" si="41"/>
        <v>0</v>
      </c>
      <c r="BT638" s="1268"/>
      <c r="BU638" s="1268"/>
      <c r="BV638" s="1268"/>
      <c r="BW638" s="1269"/>
      <c r="BX638" s="1267">
        <f t="shared" si="42"/>
        <v>0</v>
      </c>
      <c r="BY638" s="1268"/>
      <c r="BZ638" s="1268"/>
      <c r="CA638" s="1268"/>
      <c r="CB638" s="1269"/>
      <c r="CC638" s="1267">
        <f t="shared" si="43"/>
        <v>0</v>
      </c>
      <c r="CD638" s="1268"/>
      <c r="CE638" s="1268"/>
      <c r="CF638" s="1268"/>
      <c r="CG638" s="1269"/>
      <c r="CH638" s="1267">
        <f t="shared" si="44"/>
        <v>0</v>
      </c>
      <c r="CI638" s="1268"/>
      <c r="CJ638" s="1268"/>
      <c r="CK638" s="1268"/>
      <c r="CL638" s="1269"/>
      <c r="CM638" s="1267">
        <f t="shared" si="45"/>
        <v>0</v>
      </c>
      <c r="CN638" s="1268"/>
      <c r="CO638" s="1268"/>
      <c r="CP638" s="1268"/>
      <c r="CQ638" s="1269"/>
      <c r="CR638" s="41"/>
      <c r="CS638" s="41"/>
    </row>
    <row r="639" spans="1:126" ht="12.9" customHeight="1">
      <c r="A639" s="4"/>
      <c r="B639" t="s">
        <v>429</v>
      </c>
      <c r="G639" s="1109" t="s">
        <v>2435</v>
      </c>
      <c r="H639" s="1109"/>
      <c r="I639" s="1109"/>
      <c r="J639" s="1109"/>
      <c r="K639" s="1109"/>
      <c r="L639" s="1109"/>
      <c r="M639" s="1109"/>
      <c r="N639" s="1109"/>
      <c r="O639" s="1109"/>
      <c r="P639" s="1109"/>
      <c r="Q639" s="1109"/>
      <c r="R639" s="1109"/>
      <c r="T639" s="4"/>
      <c r="U639" t="s">
        <v>429</v>
      </c>
      <c r="Z639" s="1260" t="s">
        <v>2439</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7">
        <f t="shared" si="40"/>
        <v>0</v>
      </c>
      <c r="BO639" s="1268"/>
      <c r="BP639" s="1268"/>
      <c r="BQ639" s="1268"/>
      <c r="BR639" s="1269"/>
      <c r="BS639" s="1267">
        <f t="shared" si="41"/>
        <v>0</v>
      </c>
      <c r="BT639" s="1268"/>
      <c r="BU639" s="1268"/>
      <c r="BV639" s="1268"/>
      <c r="BW639" s="1269"/>
      <c r="BX639" s="1267">
        <f t="shared" si="42"/>
        <v>0</v>
      </c>
      <c r="BY639" s="1268"/>
      <c r="BZ639" s="1268"/>
      <c r="CA639" s="1268"/>
      <c r="CB639" s="1269"/>
      <c r="CC639" s="1267">
        <f t="shared" si="43"/>
        <v>0</v>
      </c>
      <c r="CD639" s="1268"/>
      <c r="CE639" s="1268"/>
      <c r="CF639" s="1268"/>
      <c r="CG639" s="1269"/>
      <c r="CH639" s="1267">
        <f t="shared" si="44"/>
        <v>0</v>
      </c>
      <c r="CI639" s="1268"/>
      <c r="CJ639" s="1268"/>
      <c r="CK639" s="1268"/>
      <c r="CL639" s="1269"/>
      <c r="CM639" s="1267">
        <f t="shared" si="45"/>
        <v>0</v>
      </c>
      <c r="CN639" s="1268"/>
      <c r="CO639" s="1268"/>
      <c r="CP639" s="1268"/>
      <c r="CQ639" s="1269"/>
      <c r="CR639" s="41"/>
      <c r="CS639" s="41"/>
    </row>
    <row r="640" spans="1:126" ht="12.9" customHeight="1">
      <c r="A640" s="4"/>
      <c r="B640" t="s">
        <v>832</v>
      </c>
      <c r="G640" s="1109" t="s">
        <v>2436</v>
      </c>
      <c r="H640" s="1109"/>
      <c r="I640" s="1109"/>
      <c r="J640" s="1109"/>
      <c r="K640" s="1109"/>
      <c r="L640" s="1109"/>
      <c r="M640" s="1109"/>
      <c r="N640" s="1109"/>
      <c r="O640" s="1109"/>
      <c r="P640" s="1109"/>
      <c r="Q640" s="1109"/>
      <c r="R640" s="1109"/>
      <c r="S640" s="12"/>
      <c r="T640" s="4"/>
      <c r="U640" t="s">
        <v>832</v>
      </c>
      <c r="Z640" s="1260" t="s">
        <v>2406</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7">
        <f t="shared" si="40"/>
        <v>0</v>
      </c>
      <c r="BO640" s="1268"/>
      <c r="BP640" s="1268"/>
      <c r="BQ640" s="1268"/>
      <c r="BR640" s="1269"/>
      <c r="BS640" s="1267">
        <f t="shared" si="41"/>
        <v>0</v>
      </c>
      <c r="BT640" s="1268"/>
      <c r="BU640" s="1268"/>
      <c r="BV640" s="1268"/>
      <c r="BW640" s="1269"/>
      <c r="BX640" s="1267">
        <f t="shared" si="42"/>
        <v>0</v>
      </c>
      <c r="BY640" s="1268"/>
      <c r="BZ640" s="1268"/>
      <c r="CA640" s="1268"/>
      <c r="CB640" s="1269"/>
      <c r="CC640" s="1267">
        <f t="shared" si="43"/>
        <v>0</v>
      </c>
      <c r="CD640" s="1268"/>
      <c r="CE640" s="1268"/>
      <c r="CF640" s="1268"/>
      <c r="CG640" s="1269"/>
      <c r="CH640" s="1267">
        <f t="shared" si="44"/>
        <v>0</v>
      </c>
      <c r="CI640" s="1268"/>
      <c r="CJ640" s="1268"/>
      <c r="CK640" s="1268"/>
      <c r="CL640" s="1269"/>
      <c r="CM640" s="1267">
        <f t="shared" si="45"/>
        <v>0</v>
      </c>
      <c r="CN640" s="1268"/>
      <c r="CO640" s="1268"/>
      <c r="CP640" s="1268"/>
      <c r="CQ640" s="1269"/>
      <c r="CR640" s="41"/>
      <c r="CS640" s="41"/>
    </row>
    <row r="641" spans="1:97" ht="12.9" customHeight="1">
      <c r="A641" s="4"/>
      <c r="B641" t="s">
        <v>649</v>
      </c>
      <c r="G641" s="1375" t="s">
        <v>2437</v>
      </c>
      <c r="H641" s="1266"/>
      <c r="I641" s="1266"/>
      <c r="J641" s="1266"/>
      <c r="K641" s="1266"/>
      <c r="L641" s="1266"/>
      <c r="O641" s="42" t="s">
        <v>817</v>
      </c>
      <c r="P641" s="1261"/>
      <c r="Q641" s="1261"/>
      <c r="R641" s="1261"/>
      <c r="S641" s="14"/>
      <c r="T641" s="4"/>
      <c r="U641" t="s">
        <v>649</v>
      </c>
      <c r="Z641" s="1375" t="s">
        <v>2407</v>
      </c>
      <c r="AA641" s="1266"/>
      <c r="AB641" s="1266"/>
      <c r="AC641" s="1266"/>
      <c r="AD641" s="1266"/>
      <c r="AE641" s="1266"/>
      <c r="AH641" s="42" t="s">
        <v>817</v>
      </c>
      <c r="AI641" s="1261"/>
      <c r="AJ641" s="1261"/>
      <c r="AK641" s="1261"/>
      <c r="AM641" s="43"/>
      <c r="AN641" s="43"/>
      <c r="AO641" s="43"/>
      <c r="AP641" s="43"/>
      <c r="AQ641" s="43"/>
      <c r="AR641" s="43"/>
      <c r="AS641" s="43"/>
      <c r="AT641" s="43"/>
      <c r="AU641" s="43"/>
      <c r="AV641" s="43"/>
      <c r="AW641" s="43"/>
      <c r="AX641" s="43"/>
      <c r="AY641" s="43"/>
      <c r="AZ641" s="43"/>
      <c r="BN641" s="1267">
        <f t="shared" si="40"/>
        <v>0</v>
      </c>
      <c r="BO641" s="1268"/>
      <c r="BP641" s="1268"/>
      <c r="BQ641" s="1268"/>
      <c r="BR641" s="1269"/>
      <c r="BS641" s="1267">
        <f t="shared" si="41"/>
        <v>0</v>
      </c>
      <c r="BT641" s="1268"/>
      <c r="BU641" s="1268"/>
      <c r="BV641" s="1268"/>
      <c r="BW641" s="1269"/>
      <c r="BX641" s="1267">
        <f t="shared" si="42"/>
        <v>0</v>
      </c>
      <c r="BY641" s="1268"/>
      <c r="BZ641" s="1268"/>
      <c r="CA641" s="1268"/>
      <c r="CB641" s="1269"/>
      <c r="CC641" s="1267">
        <f t="shared" si="43"/>
        <v>0</v>
      </c>
      <c r="CD641" s="1268"/>
      <c r="CE641" s="1268"/>
      <c r="CF641" s="1268"/>
      <c r="CG641" s="1269"/>
      <c r="CH641" s="1267">
        <f t="shared" si="44"/>
        <v>0</v>
      </c>
      <c r="CI641" s="1268"/>
      <c r="CJ641" s="1268"/>
      <c r="CK641" s="1268"/>
      <c r="CL641" s="1269"/>
      <c r="CM641" s="1267">
        <f t="shared" si="45"/>
        <v>0</v>
      </c>
      <c r="CN641" s="1268"/>
      <c r="CO641" s="1268"/>
      <c r="CP641" s="1268"/>
      <c r="CQ641" s="1269"/>
      <c r="CR641" s="41"/>
      <c r="CS641" s="41"/>
    </row>
    <row r="642" spans="1:97" ht="12.9" customHeight="1">
      <c r="A642" s="4"/>
      <c r="B642" t="s">
        <v>833</v>
      </c>
      <c r="H642" s="1109" t="str">
        <f>M621</f>
        <v>Loan, Conventional</v>
      </c>
      <c r="I642" s="1109"/>
      <c r="J642" s="1109"/>
      <c r="K642" s="1109"/>
      <c r="L642" s="1109"/>
      <c r="M642" s="1109"/>
      <c r="N642" s="1109"/>
      <c r="O642" s="1109"/>
      <c r="P642" s="1109"/>
      <c r="Q642" s="1109"/>
      <c r="R642" s="1109"/>
      <c r="S642" s="12"/>
      <c r="T642" s="4"/>
      <c r="U642" t="s">
        <v>833</v>
      </c>
      <c r="AA642" s="1109" t="s">
        <v>2499</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7">
        <f t="shared" si="40"/>
        <v>0</v>
      </c>
      <c r="BO642" s="1268"/>
      <c r="BP642" s="1268"/>
      <c r="BQ642" s="1268"/>
      <c r="BR642" s="1269"/>
      <c r="BS642" s="1267">
        <f t="shared" si="41"/>
        <v>0</v>
      </c>
      <c r="BT642" s="1268"/>
      <c r="BU642" s="1268"/>
      <c r="BV642" s="1268"/>
      <c r="BW642" s="1269"/>
      <c r="BX642" s="1267">
        <f t="shared" si="42"/>
        <v>0</v>
      </c>
      <c r="BY642" s="1268"/>
      <c r="BZ642" s="1268"/>
      <c r="CA642" s="1268"/>
      <c r="CB642" s="1269"/>
      <c r="CC642" s="1267">
        <f t="shared" si="43"/>
        <v>0</v>
      </c>
      <c r="CD642" s="1268"/>
      <c r="CE642" s="1268"/>
      <c r="CF642" s="1268"/>
      <c r="CG642" s="1269"/>
      <c r="CH642" s="1267">
        <f t="shared" si="44"/>
        <v>0</v>
      </c>
      <c r="CI642" s="1268"/>
      <c r="CJ642" s="1268"/>
      <c r="CK642" s="1268"/>
      <c r="CL642" s="1269"/>
      <c r="CM642" s="1267">
        <f t="shared" si="45"/>
        <v>0</v>
      </c>
      <c r="CN642" s="1268"/>
      <c r="CO642" s="1268"/>
      <c r="CP642" s="1268"/>
      <c r="CQ642" s="1269"/>
      <c r="CR642" s="41"/>
      <c r="CS642" s="41"/>
    </row>
    <row r="643" spans="1:97" ht="12.9" customHeight="1">
      <c r="A643" s="5"/>
      <c r="B643" t="s">
        <v>835</v>
      </c>
      <c r="N643" s="1100" t="s">
        <v>107</v>
      </c>
      <c r="O643" s="1100"/>
      <c r="T643" s="4"/>
      <c r="U643" t="s">
        <v>835</v>
      </c>
      <c r="AG643" s="1100" t="s">
        <v>107</v>
      </c>
      <c r="AH643" s="1100"/>
      <c r="AM643" s="43"/>
      <c r="AN643" s="43"/>
      <c r="AO643" s="43"/>
      <c r="AP643" s="43"/>
      <c r="AQ643" s="43"/>
      <c r="AR643" s="43"/>
      <c r="AS643" s="43"/>
      <c r="AT643" s="43"/>
      <c r="AU643" s="43"/>
      <c r="AV643" s="43"/>
      <c r="AW643" s="43"/>
      <c r="AX643" s="43"/>
      <c r="AY643" s="43"/>
      <c r="AZ643" s="43"/>
      <c r="BA643" s="43"/>
      <c r="BB643" s="41"/>
      <c r="BC643" s="41"/>
      <c r="BD643" s="41"/>
      <c r="BN643" s="1267">
        <f t="shared" si="40"/>
        <v>0</v>
      </c>
      <c r="BO643" s="1268"/>
      <c r="BP643" s="1268"/>
      <c r="BQ643" s="1268"/>
      <c r="BR643" s="1269"/>
      <c r="BS643" s="1267">
        <f t="shared" si="41"/>
        <v>0</v>
      </c>
      <c r="BT643" s="1268"/>
      <c r="BU643" s="1268"/>
      <c r="BV643" s="1268"/>
      <c r="BW643" s="1269"/>
      <c r="BX643" s="1267">
        <f t="shared" si="42"/>
        <v>0</v>
      </c>
      <c r="BY643" s="1268"/>
      <c r="BZ643" s="1268"/>
      <c r="CA643" s="1268"/>
      <c r="CB643" s="1269"/>
      <c r="CC643" s="1267">
        <f t="shared" si="43"/>
        <v>0</v>
      </c>
      <c r="CD643" s="1268"/>
      <c r="CE643" s="1268"/>
      <c r="CF643" s="1268"/>
      <c r="CG643" s="1269"/>
      <c r="CH643" s="1267">
        <f t="shared" si="44"/>
        <v>0</v>
      </c>
      <c r="CI643" s="1268"/>
      <c r="CJ643" s="1268"/>
      <c r="CK643" s="1268"/>
      <c r="CL643" s="1269"/>
      <c r="CM643" s="1267">
        <f t="shared" si="45"/>
        <v>0</v>
      </c>
      <c r="CN643" s="1268"/>
      <c r="CO643" s="1268"/>
      <c r="CP643" s="1268"/>
      <c r="CQ643" s="126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40"/>
        <v>0</v>
      </c>
      <c r="BO644" s="1268"/>
      <c r="BP644" s="1268"/>
      <c r="BQ644" s="1268"/>
      <c r="BR644" s="1269"/>
      <c r="BS644" s="1267">
        <f t="shared" si="41"/>
        <v>0</v>
      </c>
      <c r="BT644" s="1268"/>
      <c r="BU644" s="1268"/>
      <c r="BV644" s="1268"/>
      <c r="BW644" s="1269"/>
      <c r="BX644" s="1267">
        <f t="shared" si="42"/>
        <v>0</v>
      </c>
      <c r="BY644" s="1268"/>
      <c r="BZ644" s="1268"/>
      <c r="CA644" s="1268"/>
      <c r="CB644" s="1269"/>
      <c r="CC644" s="1267">
        <f t="shared" si="43"/>
        <v>0</v>
      </c>
      <c r="CD644" s="1268"/>
      <c r="CE644" s="1268"/>
      <c r="CF644" s="1268"/>
      <c r="CG644" s="1269"/>
      <c r="CH644" s="1267">
        <f t="shared" si="44"/>
        <v>0</v>
      </c>
      <c r="CI644" s="1268"/>
      <c r="CJ644" s="1268"/>
      <c r="CK644" s="1268"/>
      <c r="CL644" s="1269"/>
      <c r="CM644" s="1267">
        <f t="shared" si="45"/>
        <v>0</v>
      </c>
      <c r="CN644" s="1268"/>
      <c r="CO644" s="1268"/>
      <c r="CP644" s="1268"/>
      <c r="CQ644" s="1269"/>
      <c r="CR644" s="41"/>
      <c r="CS644" s="41"/>
    </row>
    <row r="645" spans="1:97" ht="12.9" customHeight="1">
      <c r="A645" s="61" t="s">
        <v>906</v>
      </c>
      <c r="B645" t="s">
        <v>81</v>
      </c>
      <c r="G645" s="1262" t="str">
        <f>C623</f>
        <v>County of San Mateo (AHF R.12)</v>
      </c>
      <c r="H645" s="1262"/>
      <c r="I645" s="1262"/>
      <c r="J645" s="1262"/>
      <c r="K645" s="1262"/>
      <c r="L645" s="1262"/>
      <c r="M645" s="1262"/>
      <c r="N645" s="1262"/>
      <c r="O645" s="1262"/>
      <c r="P645" s="1262"/>
      <c r="Q645" s="1262"/>
      <c r="R645" s="1262"/>
      <c r="T645" s="61" t="s">
        <v>430</v>
      </c>
      <c r="U645" t="s">
        <v>81</v>
      </c>
      <c r="Z645" s="1262" t="str">
        <f>C624</f>
        <v>County of San Mateo (HOME)</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 customHeight="1" thickBot="1">
      <c r="A646" s="4"/>
      <c r="B646" t="s">
        <v>371</v>
      </c>
      <c r="G646" s="1109" t="s">
        <v>2408</v>
      </c>
      <c r="H646" s="1109"/>
      <c r="I646" s="1109"/>
      <c r="J646" s="1109"/>
      <c r="K646" s="1109"/>
      <c r="L646" s="1109"/>
      <c r="M646" s="1109"/>
      <c r="N646" s="1109"/>
      <c r="O646" s="1109"/>
      <c r="P646" s="1109"/>
      <c r="Q646" s="1109"/>
      <c r="R646" s="1109"/>
      <c r="T646" s="4"/>
      <c r="U646" t="s">
        <v>371</v>
      </c>
      <c r="Z646" s="1109" t="s">
        <v>2408</v>
      </c>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1717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0" t="s">
        <v>2440</v>
      </c>
      <c r="H647" s="1260"/>
      <c r="I647" s="1260"/>
      <c r="J647" s="1260"/>
      <c r="K647" s="1260"/>
      <c r="L647" s="1260"/>
      <c r="M647" s="1260"/>
      <c r="N647" s="1260"/>
      <c r="O647" s="1260"/>
      <c r="P647" s="1260"/>
      <c r="Q647" s="1260"/>
      <c r="R647" s="1260"/>
      <c r="T647" s="4"/>
      <c r="U647" t="s">
        <v>429</v>
      </c>
      <c r="Z647" s="1260" t="s">
        <v>2440</v>
      </c>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1716</v>
      </c>
      <c r="CQ647" s="468">
        <f>BN645+BS645+BX645+CC645+CH645+CM645</f>
        <v>0</v>
      </c>
      <c r="CR647" s="41"/>
      <c r="CS647" s="41"/>
    </row>
    <row r="648" spans="1:97" ht="12.9" customHeight="1" thickBot="1">
      <c r="A648" s="4"/>
      <c r="B648" t="s">
        <v>832</v>
      </c>
      <c r="G648" s="1260" t="s">
        <v>2409</v>
      </c>
      <c r="H648" s="1260"/>
      <c r="I648" s="1260"/>
      <c r="J648" s="1260"/>
      <c r="K648" s="1260"/>
      <c r="L648" s="1260"/>
      <c r="M648" s="1260"/>
      <c r="N648" s="1260"/>
      <c r="O648" s="1260"/>
      <c r="P648" s="1260"/>
      <c r="Q648" s="1260"/>
      <c r="R648" s="1260"/>
      <c r="T648" s="4"/>
      <c r="U648" t="s">
        <v>832</v>
      </c>
      <c r="Z648" s="1260" t="s">
        <v>2409</v>
      </c>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375" t="s">
        <v>2410</v>
      </c>
      <c r="H649" s="1266"/>
      <c r="I649" s="1266"/>
      <c r="J649" s="1266"/>
      <c r="K649" s="1266"/>
      <c r="L649" s="1266"/>
      <c r="O649" s="42" t="s">
        <v>817</v>
      </c>
      <c r="P649" s="1261"/>
      <c r="Q649" s="1261"/>
      <c r="R649" s="1261"/>
      <c r="T649" s="4"/>
      <c r="U649" t="s">
        <v>649</v>
      </c>
      <c r="Z649" s="1266" t="s">
        <v>2438</v>
      </c>
      <c r="AA649" s="1266"/>
      <c r="AB649" s="1266"/>
      <c r="AC649" s="1266"/>
      <c r="AD649" s="1266"/>
      <c r="AE649" s="1266"/>
      <c r="AH649" s="42" t="s">
        <v>817</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1718</v>
      </c>
      <c r="CQ649" s="468">
        <f>CQ647+CQ628</f>
        <v>63</v>
      </c>
      <c r="CR649" s="41"/>
      <c r="CS649" s="41"/>
    </row>
    <row r="650" spans="1:97" ht="12.9" customHeight="1">
      <c r="A650" s="4"/>
      <c r="B650" t="s">
        <v>833</v>
      </c>
      <c r="H650" s="1109" t="s">
        <v>2411</v>
      </c>
      <c r="I650" s="1109"/>
      <c r="J650" s="1109"/>
      <c r="K650" s="1109"/>
      <c r="L650" s="1109"/>
      <c r="M650" s="1109"/>
      <c r="N650" s="1109"/>
      <c r="O650" s="1109"/>
      <c r="P650" s="1109"/>
      <c r="Q650" s="1109"/>
      <c r="R650" s="1109"/>
      <c r="T650" s="4"/>
      <c r="U650" t="s">
        <v>833</v>
      </c>
      <c r="AA650" s="1109" t="s">
        <v>2411</v>
      </c>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00" t="s">
        <v>107</v>
      </c>
      <c r="O651" s="1100"/>
      <c r="T651" s="4"/>
      <c r="U651" t="s">
        <v>835</v>
      </c>
      <c r="AG651" s="1100" t="s">
        <v>107</v>
      </c>
      <c r="AH651" s="1100"/>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18</v>
      </c>
      <c r="BT651" s="1271"/>
      <c r="BU651" s="1271"/>
      <c r="BV651" s="1271"/>
      <c r="BW651" s="1272"/>
      <c r="BX651" s="1270">
        <f>BX626+BX633+BX645</f>
        <v>9</v>
      </c>
      <c r="BY651" s="1271"/>
      <c r="BZ651" s="1271"/>
      <c r="CA651" s="1271"/>
      <c r="CB651" s="1272"/>
      <c r="CC651" s="1270">
        <f>CC626+CC633+CC645</f>
        <v>10</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2" t="str">
        <f>C625</f>
        <v>County of San Mateo (AHF R.6 &amp; R.7)</v>
      </c>
      <c r="H653" s="1262"/>
      <c r="I653" s="1262"/>
      <c r="J653" s="1262"/>
      <c r="K653" s="1262"/>
      <c r="L653" s="1262"/>
      <c r="M653" s="1262"/>
      <c r="N653" s="1262"/>
      <c r="O653" s="1262"/>
      <c r="P653" s="1262"/>
      <c r="Q653" s="1262"/>
      <c r="R653" s="1262"/>
      <c r="T653" s="61" t="s">
        <v>433</v>
      </c>
      <c r="U653" t="s">
        <v>81</v>
      </c>
      <c r="Z653" s="1262" t="str">
        <f>C626</f>
        <v>City of Belmont Loan</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09" t="s">
        <v>2408</v>
      </c>
      <c r="H654" s="1109"/>
      <c r="I654" s="1109"/>
      <c r="J654" s="1109"/>
      <c r="K654" s="1109"/>
      <c r="L654" s="1109"/>
      <c r="M654" s="1109"/>
      <c r="N654" s="1109"/>
      <c r="O654" s="1109"/>
      <c r="P654" s="1109"/>
      <c r="Q654" s="1109"/>
      <c r="R654" s="1109"/>
      <c r="T654" s="4"/>
      <c r="U654" t="s">
        <v>371</v>
      </c>
      <c r="Z654" s="1109" t="s">
        <v>2321</v>
      </c>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9" t="s">
        <v>2440</v>
      </c>
      <c r="H655" s="1109"/>
      <c r="I655" s="1109"/>
      <c r="J655" s="1109"/>
      <c r="K655" s="1109"/>
      <c r="L655" s="1109"/>
      <c r="M655" s="1109"/>
      <c r="N655" s="1109"/>
      <c r="O655" s="1109"/>
      <c r="P655" s="1109"/>
      <c r="Q655" s="1109"/>
      <c r="R655" s="1109"/>
      <c r="T655" s="4"/>
      <c r="U655" t="s">
        <v>429</v>
      </c>
      <c r="Z655" s="1260" t="s">
        <v>2440</v>
      </c>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9" t="s">
        <v>2409</v>
      </c>
      <c r="H656" s="1109"/>
      <c r="I656" s="1109"/>
      <c r="J656" s="1109"/>
      <c r="K656" s="1109"/>
      <c r="L656" s="1109"/>
      <c r="M656" s="1109"/>
      <c r="N656" s="1109"/>
      <c r="O656" s="1109"/>
      <c r="P656" s="1109"/>
      <c r="Q656" s="1109"/>
      <c r="R656" s="1109"/>
      <c r="T656" s="4"/>
      <c r="U656" t="s">
        <v>832</v>
      </c>
      <c r="Z656" s="1260" t="s">
        <v>2320</v>
      </c>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375" t="s">
        <v>2410</v>
      </c>
      <c r="H657" s="1266"/>
      <c r="I657" s="1266"/>
      <c r="J657" s="1266"/>
      <c r="K657" s="1266"/>
      <c r="L657" s="1266"/>
      <c r="O657" s="42" t="s">
        <v>817</v>
      </c>
      <c r="P657" s="1261"/>
      <c r="Q657" s="1261"/>
      <c r="R657" s="1261"/>
      <c r="T657" s="4"/>
      <c r="U657" t="s">
        <v>649</v>
      </c>
      <c r="Z657" s="1266" t="s">
        <v>2323</v>
      </c>
      <c r="AA657" s="1266"/>
      <c r="AB657" s="1266"/>
      <c r="AC657" s="1266"/>
      <c r="AD657" s="1266"/>
      <c r="AE657" s="1266"/>
      <c r="AH657" s="42" t="s">
        <v>817</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9" t="s">
        <v>2411</v>
      </c>
      <c r="I658" s="1109"/>
      <c r="J658" s="1109"/>
      <c r="K658" s="1109"/>
      <c r="L658" s="1109"/>
      <c r="M658" s="1109"/>
      <c r="N658" s="1109"/>
      <c r="O658" s="1109"/>
      <c r="P658" s="1109"/>
      <c r="Q658" s="1109"/>
      <c r="R658" s="1109"/>
      <c r="T658" s="4"/>
      <c r="U658" t="s">
        <v>833</v>
      </c>
      <c r="AA658" s="1109" t="s">
        <v>2411</v>
      </c>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00" t="s">
        <v>107</v>
      </c>
      <c r="O659" s="1100"/>
      <c r="T659" s="4"/>
      <c r="U659" t="s">
        <v>835</v>
      </c>
      <c r="AG659" s="1100" t="s">
        <v>107</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2" t="str">
        <f>C627</f>
        <v>FHLB AHP</v>
      </c>
      <c r="H661" s="1262"/>
      <c r="I661" s="1262"/>
      <c r="J661" s="1262"/>
      <c r="K661" s="1262"/>
      <c r="L661" s="1262"/>
      <c r="M661" s="1262"/>
      <c r="N661" s="1262"/>
      <c r="O661" s="1262"/>
      <c r="P661" s="1262"/>
      <c r="Q661" s="1262"/>
      <c r="R661" s="1262"/>
      <c r="T661" s="61" t="s">
        <v>742</v>
      </c>
      <c r="U661" t="s">
        <v>81</v>
      </c>
      <c r="Z661" s="1262" t="str">
        <f>C628</f>
        <v>City of Belmont Land Donation</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09" t="s">
        <v>2479</v>
      </c>
      <c r="H662" s="1109"/>
      <c r="I662" s="1109"/>
      <c r="J662" s="1109"/>
      <c r="K662" s="1109"/>
      <c r="L662" s="1109"/>
      <c r="M662" s="1109"/>
      <c r="N662" s="1109"/>
      <c r="O662" s="1109"/>
      <c r="P662" s="1109"/>
      <c r="Q662" s="1109"/>
      <c r="R662" s="1109"/>
      <c r="T662" s="4"/>
      <c r="U662" t="s">
        <v>371</v>
      </c>
      <c r="Z662" s="1109" t="s">
        <v>2321</v>
      </c>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9" t="s">
        <v>113</v>
      </c>
      <c r="H663" s="1109"/>
      <c r="I663" s="1109"/>
      <c r="J663" s="1109"/>
      <c r="K663" s="1109"/>
      <c r="L663" s="1109"/>
      <c r="M663" s="1109"/>
      <c r="N663" s="1109"/>
      <c r="O663" s="1109"/>
      <c r="P663" s="1109"/>
      <c r="Q663" s="1109"/>
      <c r="R663" s="1109"/>
      <c r="T663" s="4"/>
      <c r="U663" t="s">
        <v>429</v>
      </c>
      <c r="Z663" s="1260" t="s">
        <v>2440</v>
      </c>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9" t="s">
        <v>2480</v>
      </c>
      <c r="H664" s="1109"/>
      <c r="I664" s="1109"/>
      <c r="J664" s="1109"/>
      <c r="K664" s="1109"/>
      <c r="L664" s="1109"/>
      <c r="M664" s="1109"/>
      <c r="N664" s="1109"/>
      <c r="O664" s="1109"/>
      <c r="P664" s="1109"/>
      <c r="Q664" s="1109"/>
      <c r="R664" s="1109"/>
      <c r="T664" s="4"/>
      <c r="U664" t="s">
        <v>832</v>
      </c>
      <c r="Z664" s="1260" t="s">
        <v>2320</v>
      </c>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6" t="s">
        <v>2481</v>
      </c>
      <c r="H665" s="1266"/>
      <c r="I665" s="1266"/>
      <c r="J665" s="1266"/>
      <c r="K665" s="1266"/>
      <c r="L665" s="1266"/>
      <c r="O665" s="42" t="s">
        <v>817</v>
      </c>
      <c r="P665" s="1261"/>
      <c r="Q665" s="1261"/>
      <c r="R665" s="1261"/>
      <c r="T665" s="4"/>
      <c r="U665" t="s">
        <v>649</v>
      </c>
      <c r="Z665" s="1266" t="s">
        <v>2323</v>
      </c>
      <c r="AA665" s="1266"/>
      <c r="AB665" s="1266"/>
      <c r="AC665" s="1266"/>
      <c r="AD665" s="1266"/>
      <c r="AE665" s="1266"/>
      <c r="AH665" s="42" t="s">
        <v>817</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9" t="str">
        <f>M627</f>
        <v>Loan, General Partner</v>
      </c>
      <c r="I666" s="1109"/>
      <c r="J666" s="1109"/>
      <c r="K666" s="1109"/>
      <c r="L666" s="1109"/>
      <c r="M666" s="1109"/>
      <c r="N666" s="1109"/>
      <c r="O666" s="1109"/>
      <c r="P666" s="1109"/>
      <c r="Q666" s="1109"/>
      <c r="R666" s="1109"/>
      <c r="T666" s="4"/>
      <c r="U666" t="s">
        <v>833</v>
      </c>
      <c r="AA666" s="1109" t="s">
        <v>2181</v>
      </c>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00" t="s">
        <v>107</v>
      </c>
      <c r="O667" s="1100"/>
      <c r="T667" s="4"/>
      <c r="U667" t="s">
        <v>835</v>
      </c>
      <c r="AG667" s="1100" t="s">
        <v>107</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2" t="str">
        <f>C629</f>
        <v>GP Capital - Sponsor</v>
      </c>
      <c r="H669" s="1262"/>
      <c r="I669" s="1262"/>
      <c r="J669" s="1262"/>
      <c r="K669" s="1262"/>
      <c r="L669" s="1262"/>
      <c r="M669" s="1262"/>
      <c r="N669" s="1262"/>
      <c r="O669" s="1262"/>
      <c r="P669" s="1262"/>
      <c r="Q669" s="1262"/>
      <c r="R669" s="1262"/>
      <c r="T669" s="61" t="s">
        <v>173</v>
      </c>
      <c r="U669" t="s">
        <v>81</v>
      </c>
      <c r="Z669" s="1262" t="str">
        <f>C630</f>
        <v>Deferred Developer Fee</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09" t="s">
        <v>2412</v>
      </c>
      <c r="H670" s="1109"/>
      <c r="I670" s="1109"/>
      <c r="J670" s="1109"/>
      <c r="K670" s="1109"/>
      <c r="L670" s="1109"/>
      <c r="M670" s="1109"/>
      <c r="N670" s="1109"/>
      <c r="O670" s="1109"/>
      <c r="P670" s="1109"/>
      <c r="Q670" s="1109"/>
      <c r="R670" s="1109"/>
      <c r="T670" s="4"/>
      <c r="U670" t="s">
        <v>371</v>
      </c>
      <c r="Z670" s="1260" t="s">
        <v>2412</v>
      </c>
      <c r="AA670" s="1260"/>
      <c r="AB670" s="1260"/>
      <c r="AC670" s="1260"/>
      <c r="AD670" s="1260"/>
      <c r="AE670" s="1260"/>
      <c r="AF670" s="1260"/>
      <c r="AG670" s="1260"/>
      <c r="AH670" s="1260"/>
      <c r="AI670" s="1260"/>
      <c r="AJ670" s="1260"/>
      <c r="AK670" s="126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9" t="s">
        <v>2339</v>
      </c>
      <c r="H671" s="1109"/>
      <c r="I671" s="1109"/>
      <c r="J671" s="1109"/>
      <c r="K671" s="1109"/>
      <c r="L671" s="1109"/>
      <c r="M671" s="1109"/>
      <c r="N671" s="1109"/>
      <c r="O671" s="1109"/>
      <c r="P671" s="1109"/>
      <c r="Q671" s="1109"/>
      <c r="R671" s="1109"/>
      <c r="T671" s="4"/>
      <c r="U671" t="s">
        <v>429</v>
      </c>
      <c r="Z671" s="1260" t="s">
        <v>2339</v>
      </c>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9" t="s">
        <v>2317</v>
      </c>
      <c r="H672" s="1109"/>
      <c r="I672" s="1109"/>
      <c r="J672" s="1109"/>
      <c r="K672" s="1109"/>
      <c r="L672" s="1109"/>
      <c r="M672" s="1109"/>
      <c r="N672" s="1109"/>
      <c r="O672" s="1109"/>
      <c r="P672" s="1109"/>
      <c r="Q672" s="1109"/>
      <c r="R672" s="1109"/>
      <c r="T672" s="4"/>
      <c r="U672" t="s">
        <v>832</v>
      </c>
      <c r="Z672" s="1260" t="s">
        <v>2317</v>
      </c>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6" t="s">
        <v>2428</v>
      </c>
      <c r="H673" s="1266"/>
      <c r="I673" s="1266"/>
      <c r="J673" s="1266"/>
      <c r="K673" s="1266"/>
      <c r="L673" s="1266"/>
      <c r="O673" s="42" t="s">
        <v>817</v>
      </c>
      <c r="P673" s="1261"/>
      <c r="Q673" s="1261"/>
      <c r="R673" s="1261"/>
      <c r="T673" s="4"/>
      <c r="U673" t="s">
        <v>649</v>
      </c>
      <c r="Z673" s="1266" t="s">
        <v>2428</v>
      </c>
      <c r="AA673" s="1266"/>
      <c r="AB673" s="1266"/>
      <c r="AC673" s="1266"/>
      <c r="AD673" s="1266"/>
      <c r="AE673" s="1266"/>
      <c r="AH673" s="42" t="s">
        <v>817</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9" t="s">
        <v>2413</v>
      </c>
      <c r="I674" s="1109"/>
      <c r="J674" s="1109"/>
      <c r="K674" s="1109"/>
      <c r="L674" s="1109"/>
      <c r="M674" s="1109"/>
      <c r="N674" s="1109"/>
      <c r="O674" s="1109"/>
      <c r="P674" s="1109"/>
      <c r="Q674" s="1109"/>
      <c r="R674" s="1109"/>
      <c r="T674" s="4"/>
      <c r="U674" t="s">
        <v>833</v>
      </c>
      <c r="AA674" s="1109" t="s">
        <v>2427</v>
      </c>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00" t="s">
        <v>107</v>
      </c>
      <c r="O675" s="1100"/>
      <c r="T675" s="4"/>
      <c r="U675" t="s">
        <v>835</v>
      </c>
      <c r="AG675" s="1100" t="s">
        <v>107</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2">
        <f>C631</f>
        <v>0</v>
      </c>
      <c r="H677" s="1262"/>
      <c r="I677" s="1262"/>
      <c r="J677" s="1262"/>
      <c r="K677" s="1262"/>
      <c r="L677" s="1262"/>
      <c r="M677" s="1262"/>
      <c r="N677" s="1262"/>
      <c r="O677" s="1262"/>
      <c r="P677" s="1262"/>
      <c r="Q677" s="1262"/>
      <c r="R677" s="1262"/>
      <c r="T677" s="61" t="s">
        <v>33</v>
      </c>
      <c r="U677" t="s">
        <v>81</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09"/>
      <c r="H678" s="1109"/>
      <c r="I678" s="1109"/>
      <c r="J678" s="1109"/>
      <c r="K678" s="1109"/>
      <c r="L678" s="1109"/>
      <c r="M678" s="1109"/>
      <c r="N678" s="1109"/>
      <c r="O678" s="1109"/>
      <c r="P678" s="1109"/>
      <c r="Q678" s="1109"/>
      <c r="R678" s="1109"/>
      <c r="T678" s="4"/>
      <c r="U678" t="s">
        <v>371</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9"/>
      <c r="H679" s="1109"/>
      <c r="I679" s="1109"/>
      <c r="J679" s="1109"/>
      <c r="K679" s="1109"/>
      <c r="L679" s="1109"/>
      <c r="M679" s="1109"/>
      <c r="N679" s="1109"/>
      <c r="O679" s="1109"/>
      <c r="P679" s="1109"/>
      <c r="Q679" s="1109"/>
      <c r="R679" s="1109"/>
      <c r="U679" t="s">
        <v>429</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9"/>
      <c r="H680" s="1109"/>
      <c r="I680" s="1109"/>
      <c r="J680" s="1109"/>
      <c r="K680" s="1109"/>
      <c r="L680" s="1109"/>
      <c r="M680" s="1109"/>
      <c r="N680" s="1109"/>
      <c r="O680" s="1109"/>
      <c r="P680" s="1109"/>
      <c r="Q680" s="1109"/>
      <c r="R680" s="1109"/>
      <c r="U680" t="s">
        <v>832</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6"/>
      <c r="H681" s="1266"/>
      <c r="I681" s="1266"/>
      <c r="J681" s="1266"/>
      <c r="K681" s="1266"/>
      <c r="L681" s="1266"/>
      <c r="O681" s="42" t="s">
        <v>817</v>
      </c>
      <c r="P681" s="1261"/>
      <c r="Q681" s="1261"/>
      <c r="R681" s="1261"/>
      <c r="U681" t="s">
        <v>649</v>
      </c>
      <c r="Z681" s="1266"/>
      <c r="AA681" s="1266"/>
      <c r="AB681" s="1266"/>
      <c r="AC681" s="1266"/>
      <c r="AD681" s="1266"/>
      <c r="AE681" s="1266"/>
      <c r="AH681" s="42" t="s">
        <v>817</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9"/>
      <c r="I682" s="1109"/>
      <c r="J682" s="1109"/>
      <c r="K682" s="1109"/>
      <c r="L682" s="1109"/>
      <c r="M682" s="1109"/>
      <c r="N682" s="1109"/>
      <c r="O682" s="1109"/>
      <c r="P682" s="1109"/>
      <c r="Q682" s="1109"/>
      <c r="R682" s="1109"/>
      <c r="U682" t="s">
        <v>833</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00" t="s">
        <v>481</v>
      </c>
      <c r="O683" s="1100"/>
      <c r="U683" t="s">
        <v>835</v>
      </c>
      <c r="AG683" s="1100" t="s">
        <v>481</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2309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126</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1" t="s">
        <v>53</v>
      </c>
      <c r="C691" s="1242"/>
      <c r="D691" s="1242"/>
      <c r="E691" s="1242"/>
      <c r="F691" s="1243"/>
      <c r="G691" s="1241" t="s">
        <v>255</v>
      </c>
      <c r="H691" s="1242"/>
      <c r="I691" s="1242"/>
      <c r="J691" s="1243"/>
      <c r="K691" s="1232" t="s">
        <v>1983</v>
      </c>
      <c r="L691" s="1233"/>
      <c r="M691" s="1233"/>
      <c r="N691" s="1234"/>
      <c r="O691" s="1241" t="s">
        <v>588</v>
      </c>
      <c r="P691" s="1242"/>
      <c r="Q691" s="1242"/>
      <c r="R691" s="1242"/>
      <c r="S691" s="1243"/>
      <c r="T691" s="1241" t="s">
        <v>256</v>
      </c>
      <c r="U691" s="1242"/>
      <c r="V691" s="1242"/>
      <c r="W691" s="1242"/>
      <c r="X691" s="1243"/>
      <c r="Y691" s="1241" t="s">
        <v>257</v>
      </c>
      <c r="Z691" s="1242"/>
      <c r="AA691" s="1242"/>
      <c r="AB691" s="1243"/>
      <c r="AC691" s="1241" t="s">
        <v>258</v>
      </c>
      <c r="AD691" s="1242"/>
      <c r="AE691" s="1242"/>
      <c r="AF691" s="1242"/>
      <c r="AG691" s="1243"/>
      <c r="AH691" s="1241" t="s">
        <v>1984</v>
      </c>
      <c r="AI691" s="1242"/>
      <c r="AJ691" s="1242"/>
      <c r="AK691" s="1242"/>
      <c r="AL691" s="1243"/>
      <c r="AM691" s="1241" t="s">
        <v>1985</v>
      </c>
      <c r="AN691" s="1242"/>
      <c r="AO691" s="1243"/>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1126</v>
      </c>
      <c r="AZ693" s="43"/>
      <c r="BA693" s="43"/>
      <c r="BB693" s="41"/>
      <c r="BC693" s="41"/>
      <c r="BD693" s="41"/>
      <c r="BE693" s="845" t="s">
        <v>1986</v>
      </c>
      <c r="BF693" s="846"/>
      <c r="BG693" s="846"/>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2303</v>
      </c>
      <c r="AX694" s="43"/>
      <c r="AY694" s="450" t="s">
        <v>1127</v>
      </c>
      <c r="AZ694" s="464" t="s">
        <v>1128</v>
      </c>
      <c r="BA694" s="463" t="s">
        <v>1129</v>
      </c>
      <c r="BB694" s="41"/>
      <c r="BC694" s="41"/>
      <c r="BD694" s="41"/>
      <c r="BE694" s="847" t="s">
        <v>1127</v>
      </c>
      <c r="BF694" s="848" t="s">
        <v>1128</v>
      </c>
      <c r="BG694" s="849" t="s">
        <v>1129</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5" t="s">
        <v>441</v>
      </c>
      <c r="C695" s="1336"/>
      <c r="D695" s="1336"/>
      <c r="E695" s="1336"/>
      <c r="F695" s="1337"/>
      <c r="G695" s="1263">
        <v>18</v>
      </c>
      <c r="H695" s="1264"/>
      <c r="I695" s="1264"/>
      <c r="J695" s="1265"/>
      <c r="K695" s="1250">
        <v>560</v>
      </c>
      <c r="L695" s="1251"/>
      <c r="M695" s="1251"/>
      <c r="N695" s="1252"/>
      <c r="O695" s="1253">
        <f>1101-Y695</f>
        <v>1006</v>
      </c>
      <c r="P695" s="1254"/>
      <c r="Q695" s="1254"/>
      <c r="R695" s="1254"/>
      <c r="S695" s="1255"/>
      <c r="T695" s="1226">
        <f t="shared" ref="T695:T729" si="46">G695*O695</f>
        <v>18108</v>
      </c>
      <c r="U695" s="1227"/>
      <c r="V695" s="1227"/>
      <c r="W695" s="1227"/>
      <c r="X695" s="1228"/>
      <c r="Y695" s="1253">
        <v>95</v>
      </c>
      <c r="Z695" s="1254"/>
      <c r="AA695" s="1254"/>
      <c r="AB695" s="1255"/>
      <c r="AC695" s="1226">
        <f t="shared" ref="AC695:AC729" si="47">O695+Y695</f>
        <v>1101</v>
      </c>
      <c r="AD695" s="1227"/>
      <c r="AE695" s="1227"/>
      <c r="AF695" s="1227"/>
      <c r="AG695" s="1228"/>
      <c r="AH695" s="1472">
        <v>0.3</v>
      </c>
      <c r="AI695" s="1473"/>
      <c r="AJ695" s="1473"/>
      <c r="AK695" s="1473"/>
      <c r="AL695" s="1474"/>
      <c r="AM695" s="1223">
        <f>IF($AH695&gt;0,($AC695/$AV695),"")</f>
        <v>0.29983660130718953</v>
      </c>
      <c r="AN695" s="1224"/>
      <c r="AO695" s="1225"/>
      <c r="AV695" s="43">
        <f t="shared" ref="AV695:AV729" si="48">IF($G695=0,"N/A",VLOOKUP($T$189,TC_Rent,(MATCH($B695,bedrooms,FALSE))))</f>
        <v>3672</v>
      </c>
      <c r="AX695" s="43"/>
      <c r="AY695" s="445">
        <f t="shared" ref="AY695:AY718" si="49">G695</f>
        <v>18</v>
      </c>
      <c r="AZ695" s="452">
        <f t="shared" ref="AZ695:AZ718" si="50">IF($AY$730=0,"",AY695/$AY$730)</f>
        <v>0.5</v>
      </c>
      <c r="BA695" s="453">
        <f t="shared" ref="BA695:BA718" si="51">IF(AZ695="","",AZ695*AH695)</f>
        <v>0.15</v>
      </c>
      <c r="BB695" s="41"/>
      <c r="BC695" s="41"/>
      <c r="BD695" s="41"/>
      <c r="BE695" s="850">
        <f t="shared" ref="BE695:BE718" si="52">G695</f>
        <v>18</v>
      </c>
      <c r="BF695" s="854">
        <f t="shared" ref="BF695:BF718" si="53">IF(BE695=0,"",BE695/$BE$730)</f>
        <v>0.5</v>
      </c>
      <c r="BG695" s="855">
        <f t="shared" ref="BG695:BG718" si="54">IF(BF695="","",BF695*AM695)</f>
        <v>0.14991830065359477</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5" t="s">
        <v>779</v>
      </c>
      <c r="C696" s="1336"/>
      <c r="D696" s="1336"/>
      <c r="E696" s="1336"/>
      <c r="F696" s="1337"/>
      <c r="G696" s="1263">
        <v>2</v>
      </c>
      <c r="H696" s="1264"/>
      <c r="I696" s="1264"/>
      <c r="J696" s="1265"/>
      <c r="K696" s="1250">
        <v>800</v>
      </c>
      <c r="L696" s="1251"/>
      <c r="M696" s="1251"/>
      <c r="N696" s="1252"/>
      <c r="O696" s="1253">
        <f>1322-Y696</f>
        <v>1189</v>
      </c>
      <c r="P696" s="1254"/>
      <c r="Q696" s="1254"/>
      <c r="R696" s="1254"/>
      <c r="S696" s="1255"/>
      <c r="T696" s="1226">
        <f t="shared" si="46"/>
        <v>2378</v>
      </c>
      <c r="U696" s="1227"/>
      <c r="V696" s="1227"/>
      <c r="W696" s="1227"/>
      <c r="X696" s="1228"/>
      <c r="Y696" s="1253">
        <v>133</v>
      </c>
      <c r="Z696" s="1254"/>
      <c r="AA696" s="1254"/>
      <c r="AB696" s="1255"/>
      <c r="AC696" s="1226">
        <f t="shared" si="47"/>
        <v>1322</v>
      </c>
      <c r="AD696" s="1227"/>
      <c r="AE696" s="1227"/>
      <c r="AF696" s="1227"/>
      <c r="AG696" s="1228"/>
      <c r="AH696" s="1257">
        <v>0.3</v>
      </c>
      <c r="AI696" s="1258"/>
      <c r="AJ696" s="1258"/>
      <c r="AK696" s="1258"/>
      <c r="AL696" s="1259"/>
      <c r="AM696" s="1223">
        <f t="shared" ref="AM696:AM718" si="55">IF($AH696&gt;0,($AC696/$AV696), "")</f>
        <v>0.3000453926463913</v>
      </c>
      <c r="AN696" s="1224"/>
      <c r="AO696" s="1225"/>
      <c r="AV696" s="43">
        <f t="shared" si="48"/>
        <v>4406</v>
      </c>
      <c r="AX696" s="43"/>
      <c r="AY696" s="446">
        <f t="shared" si="49"/>
        <v>2</v>
      </c>
      <c r="AZ696" s="452">
        <f t="shared" si="50"/>
        <v>5.5555555555555552E-2</v>
      </c>
      <c r="BA696" s="453">
        <f t="shared" si="51"/>
        <v>1.6666666666666666E-2</v>
      </c>
      <c r="BB696" s="41"/>
      <c r="BC696" s="41"/>
      <c r="BD696" s="41"/>
      <c r="BE696" s="850">
        <f t="shared" si="52"/>
        <v>2</v>
      </c>
      <c r="BF696" s="854">
        <f t="shared" si="53"/>
        <v>5.5555555555555552E-2</v>
      </c>
      <c r="BG696" s="855">
        <f t="shared" si="54"/>
        <v>1.666918848035507E-2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5" t="s">
        <v>780</v>
      </c>
      <c r="C697" s="1336"/>
      <c r="D697" s="1336"/>
      <c r="E697" s="1336"/>
      <c r="F697" s="1337"/>
      <c r="G697" s="1263">
        <v>2</v>
      </c>
      <c r="H697" s="1264"/>
      <c r="I697" s="1264"/>
      <c r="J697" s="1265"/>
      <c r="K697" s="1250">
        <v>1080</v>
      </c>
      <c r="L697" s="1251"/>
      <c r="M697" s="1251"/>
      <c r="N697" s="1252"/>
      <c r="O697" s="1253">
        <f>1527-Y697</f>
        <v>1351</v>
      </c>
      <c r="P697" s="1254"/>
      <c r="Q697" s="1254"/>
      <c r="R697" s="1254"/>
      <c r="S697" s="1255"/>
      <c r="T697" s="1226">
        <f t="shared" si="46"/>
        <v>2702</v>
      </c>
      <c r="U697" s="1227"/>
      <c r="V697" s="1227"/>
      <c r="W697" s="1227"/>
      <c r="X697" s="1228"/>
      <c r="Y697" s="1253">
        <v>176</v>
      </c>
      <c r="Z697" s="1254"/>
      <c r="AA697" s="1254"/>
      <c r="AB697" s="1255"/>
      <c r="AC697" s="1226">
        <f t="shared" si="47"/>
        <v>1527</v>
      </c>
      <c r="AD697" s="1227"/>
      <c r="AE697" s="1227"/>
      <c r="AF697" s="1227"/>
      <c r="AG697" s="1228"/>
      <c r="AH697" s="1257">
        <v>0.3</v>
      </c>
      <c r="AI697" s="1258"/>
      <c r="AJ697" s="1258"/>
      <c r="AK697" s="1258"/>
      <c r="AL697" s="1259"/>
      <c r="AM697" s="1223">
        <f t="shared" si="55"/>
        <v>0.3</v>
      </c>
      <c r="AN697" s="1224"/>
      <c r="AO697" s="1225"/>
      <c r="AV697" s="43">
        <f t="shared" si="48"/>
        <v>5090</v>
      </c>
      <c r="AX697" s="41"/>
      <c r="AY697" s="446">
        <f t="shared" si="49"/>
        <v>2</v>
      </c>
      <c r="AZ697" s="452">
        <f t="shared" si="50"/>
        <v>5.5555555555555552E-2</v>
      </c>
      <c r="BA697" s="453">
        <f t="shared" si="51"/>
        <v>1.6666666666666666E-2</v>
      </c>
      <c r="BB697" s="41"/>
      <c r="BC697" s="41"/>
      <c r="BD697" s="41"/>
      <c r="BE697" s="850">
        <f t="shared" si="52"/>
        <v>2</v>
      </c>
      <c r="BF697" s="854">
        <f t="shared" si="53"/>
        <v>5.5555555555555552E-2</v>
      </c>
      <c r="BG697" s="855">
        <f t="shared" si="54"/>
        <v>1.6666666666666666E-2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5" t="s">
        <v>779</v>
      </c>
      <c r="C698" s="1336"/>
      <c r="D698" s="1336"/>
      <c r="E698" s="1336"/>
      <c r="F698" s="1337"/>
      <c r="G698" s="1263">
        <v>7</v>
      </c>
      <c r="H698" s="1264"/>
      <c r="I698" s="1264"/>
      <c r="J698" s="1265"/>
      <c r="K698" s="1250">
        <v>800</v>
      </c>
      <c r="L698" s="1251"/>
      <c r="M698" s="1251"/>
      <c r="N698" s="1252"/>
      <c r="O698" s="1253">
        <f>3085-Y698</f>
        <v>2952</v>
      </c>
      <c r="P698" s="1254"/>
      <c r="Q698" s="1254"/>
      <c r="R698" s="1254"/>
      <c r="S698" s="1255"/>
      <c r="T698" s="1226">
        <f t="shared" si="46"/>
        <v>20664</v>
      </c>
      <c r="U698" s="1227"/>
      <c r="V698" s="1227"/>
      <c r="W698" s="1227"/>
      <c r="X698" s="1228"/>
      <c r="Y698" s="1253">
        <v>133</v>
      </c>
      <c r="Z698" s="1254"/>
      <c r="AA698" s="1254"/>
      <c r="AB698" s="1255"/>
      <c r="AC698" s="1226">
        <f t="shared" si="47"/>
        <v>3085</v>
      </c>
      <c r="AD698" s="1227"/>
      <c r="AE698" s="1227"/>
      <c r="AF698" s="1227"/>
      <c r="AG698" s="1228"/>
      <c r="AH698" s="1257">
        <v>0.7</v>
      </c>
      <c r="AI698" s="1258"/>
      <c r="AJ698" s="1258"/>
      <c r="AK698" s="1258"/>
      <c r="AL698" s="1259"/>
      <c r="AM698" s="1223">
        <f t="shared" si="55"/>
        <v>0.70018157058556518</v>
      </c>
      <c r="AN698" s="1224"/>
      <c r="AO698" s="1225"/>
      <c r="AV698" s="43">
        <f t="shared" si="48"/>
        <v>4406</v>
      </c>
      <c r="AX698" s="41"/>
      <c r="AY698" s="446">
        <f t="shared" si="49"/>
        <v>7</v>
      </c>
      <c r="AZ698" s="452">
        <f t="shared" si="50"/>
        <v>0.19444444444444445</v>
      </c>
      <c r="BA698" s="453">
        <f t="shared" si="51"/>
        <v>0.1361111111111111</v>
      </c>
      <c r="BB698" s="41"/>
      <c r="BC698" s="41"/>
      <c r="BD698" s="41"/>
      <c r="BE698" s="850">
        <f t="shared" si="52"/>
        <v>7</v>
      </c>
      <c r="BF698" s="854">
        <f t="shared" si="53"/>
        <v>0.19444444444444445</v>
      </c>
      <c r="BG698" s="855">
        <f t="shared" si="54"/>
        <v>0.13614641650274878</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5" t="s">
        <v>780</v>
      </c>
      <c r="C699" s="1336"/>
      <c r="D699" s="1336"/>
      <c r="E699" s="1336"/>
      <c r="F699" s="1337"/>
      <c r="G699" s="1263">
        <v>7</v>
      </c>
      <c r="H699" s="1264"/>
      <c r="I699" s="1264"/>
      <c r="J699" s="1265"/>
      <c r="K699" s="1250">
        <v>1080</v>
      </c>
      <c r="L699" s="1251"/>
      <c r="M699" s="1251"/>
      <c r="N699" s="1252"/>
      <c r="O699" s="1253">
        <f>4073-Y699</f>
        <v>3897</v>
      </c>
      <c r="P699" s="1254"/>
      <c r="Q699" s="1254"/>
      <c r="R699" s="1254"/>
      <c r="S699" s="1255"/>
      <c r="T699" s="1226">
        <f t="shared" si="46"/>
        <v>27279</v>
      </c>
      <c r="U699" s="1227"/>
      <c r="V699" s="1227"/>
      <c r="W699" s="1227"/>
      <c r="X699" s="1228"/>
      <c r="Y699" s="1253">
        <v>176</v>
      </c>
      <c r="Z699" s="1254"/>
      <c r="AA699" s="1254"/>
      <c r="AB699" s="1255"/>
      <c r="AC699" s="1226">
        <f t="shared" si="47"/>
        <v>4073</v>
      </c>
      <c r="AD699" s="1227"/>
      <c r="AE699" s="1227"/>
      <c r="AF699" s="1227"/>
      <c r="AG699" s="1228"/>
      <c r="AH699" s="1257">
        <v>0.8</v>
      </c>
      <c r="AI699" s="1258"/>
      <c r="AJ699" s="1258"/>
      <c r="AK699" s="1258"/>
      <c r="AL699" s="1259"/>
      <c r="AM699" s="1223">
        <f t="shared" si="55"/>
        <v>0.80019646365422392</v>
      </c>
      <c r="AN699" s="1224"/>
      <c r="AO699" s="1225"/>
      <c r="AV699" s="43">
        <f t="shared" si="48"/>
        <v>5090</v>
      </c>
      <c r="AX699" s="41"/>
      <c r="AY699" s="446">
        <f t="shared" si="49"/>
        <v>7</v>
      </c>
      <c r="AZ699" s="452">
        <f t="shared" si="50"/>
        <v>0.19444444444444445</v>
      </c>
      <c r="BA699" s="453">
        <f t="shared" si="51"/>
        <v>0.15555555555555556</v>
      </c>
      <c r="BB699" s="41"/>
      <c r="BC699" s="41"/>
      <c r="BD699" s="41"/>
      <c r="BE699" s="850">
        <f t="shared" si="52"/>
        <v>7</v>
      </c>
      <c r="BF699" s="854">
        <f t="shared" si="53"/>
        <v>0.19444444444444445</v>
      </c>
      <c r="BG699" s="855">
        <f t="shared" si="54"/>
        <v>0.15559375682165466</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5"/>
      <c r="C700" s="1336"/>
      <c r="D700" s="1336"/>
      <c r="E700" s="1336"/>
      <c r="F700" s="1337"/>
      <c r="G700" s="1263"/>
      <c r="H700" s="1264"/>
      <c r="I700" s="1264"/>
      <c r="J700" s="1265"/>
      <c r="K700" s="1250"/>
      <c r="L700" s="1251"/>
      <c r="M700" s="1251"/>
      <c r="N700" s="1252"/>
      <c r="O700" s="1253"/>
      <c r="P700" s="1254"/>
      <c r="Q700" s="1254"/>
      <c r="R700" s="1254"/>
      <c r="S700" s="1255"/>
      <c r="T700" s="1226">
        <f t="shared" si="46"/>
        <v>0</v>
      </c>
      <c r="U700" s="1227"/>
      <c r="V700" s="1227"/>
      <c r="W700" s="1227"/>
      <c r="X700" s="1228"/>
      <c r="Y700" s="1253"/>
      <c r="Z700" s="1254"/>
      <c r="AA700" s="1254"/>
      <c r="AB700" s="1255"/>
      <c r="AC700" s="1226">
        <f t="shared" si="47"/>
        <v>0</v>
      </c>
      <c r="AD700" s="1227"/>
      <c r="AE700" s="1227"/>
      <c r="AF700" s="1227"/>
      <c r="AG700" s="1228"/>
      <c r="AH700" s="1257"/>
      <c r="AI700" s="1258"/>
      <c r="AJ700" s="1258"/>
      <c r="AK700" s="1258"/>
      <c r="AL700" s="1259"/>
      <c r="AM700" s="1223" t="str">
        <f t="shared" si="55"/>
        <v/>
      </c>
      <c r="AN700" s="1224"/>
      <c r="AO700" s="1225"/>
      <c r="AV700" s="43" t="str">
        <f t="shared" si="48"/>
        <v>N/A</v>
      </c>
      <c r="AX700" s="41"/>
      <c r="AY700" s="446">
        <f t="shared" si="49"/>
        <v>0</v>
      </c>
      <c r="AZ700" s="452">
        <f t="shared" si="50"/>
        <v>0</v>
      </c>
      <c r="BA700" s="453">
        <f t="shared" si="51"/>
        <v>0</v>
      </c>
      <c r="BB700" s="41"/>
      <c r="BC700" s="41"/>
      <c r="BD700" s="41"/>
      <c r="BE700" s="850">
        <f t="shared" si="52"/>
        <v>0</v>
      </c>
      <c r="BF700" s="854" t="str">
        <f t="shared" si="53"/>
        <v/>
      </c>
      <c r="BG700" s="855" t="str">
        <f t="shared" si="54"/>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5"/>
      <c r="C701" s="1336"/>
      <c r="D701" s="1336"/>
      <c r="E701" s="1336"/>
      <c r="F701" s="1337"/>
      <c r="G701" s="1263"/>
      <c r="H701" s="1264"/>
      <c r="I701" s="1264"/>
      <c r="J701" s="1265"/>
      <c r="K701" s="1250"/>
      <c r="L701" s="1251"/>
      <c r="M701" s="1251"/>
      <c r="N701" s="1252"/>
      <c r="O701" s="1253"/>
      <c r="P701" s="1254"/>
      <c r="Q701" s="1254"/>
      <c r="R701" s="1254"/>
      <c r="S701" s="1255"/>
      <c r="T701" s="1226">
        <f t="shared" si="46"/>
        <v>0</v>
      </c>
      <c r="U701" s="1227"/>
      <c r="V701" s="1227"/>
      <c r="W701" s="1227"/>
      <c r="X701" s="1228"/>
      <c r="Y701" s="1253"/>
      <c r="Z701" s="1254"/>
      <c r="AA701" s="1254"/>
      <c r="AB701" s="1255"/>
      <c r="AC701" s="1226">
        <f t="shared" si="47"/>
        <v>0</v>
      </c>
      <c r="AD701" s="1227"/>
      <c r="AE701" s="1227"/>
      <c r="AF701" s="1227"/>
      <c r="AG701" s="1228"/>
      <c r="AH701" s="1257"/>
      <c r="AI701" s="1258"/>
      <c r="AJ701" s="1258"/>
      <c r="AK701" s="1258"/>
      <c r="AL701" s="1259"/>
      <c r="AM701" s="1223" t="str">
        <f t="shared" si="55"/>
        <v/>
      </c>
      <c r="AN701" s="1224"/>
      <c r="AO701" s="1225"/>
      <c r="AV701" s="43" t="str">
        <f t="shared" si="48"/>
        <v>N/A</v>
      </c>
      <c r="AX701" s="41"/>
      <c r="AY701" s="446">
        <f t="shared" si="49"/>
        <v>0</v>
      </c>
      <c r="AZ701" s="452">
        <f t="shared" si="50"/>
        <v>0</v>
      </c>
      <c r="BA701" s="453">
        <f t="shared" si="51"/>
        <v>0</v>
      </c>
      <c r="BB701" s="41"/>
      <c r="BC701" s="41"/>
      <c r="BD701" s="41"/>
      <c r="BE701" s="850">
        <f t="shared" si="52"/>
        <v>0</v>
      </c>
      <c r="BF701" s="854" t="str">
        <f t="shared" si="53"/>
        <v/>
      </c>
      <c r="BG701" s="855" t="str">
        <f t="shared" si="54"/>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5"/>
      <c r="C702" s="1336"/>
      <c r="D702" s="1336"/>
      <c r="E702" s="1336"/>
      <c r="F702" s="1337"/>
      <c r="G702" s="1263"/>
      <c r="H702" s="1264"/>
      <c r="I702" s="1264"/>
      <c r="J702" s="1265"/>
      <c r="K702" s="1250"/>
      <c r="L702" s="1251"/>
      <c r="M702" s="1251"/>
      <c r="N702" s="1252"/>
      <c r="O702" s="1253"/>
      <c r="P702" s="1254"/>
      <c r="Q702" s="1254"/>
      <c r="R702" s="1254"/>
      <c r="S702" s="1255"/>
      <c r="T702" s="1226">
        <f t="shared" si="46"/>
        <v>0</v>
      </c>
      <c r="U702" s="1227"/>
      <c r="V702" s="1227"/>
      <c r="W702" s="1227"/>
      <c r="X702" s="1228"/>
      <c r="Y702" s="1253"/>
      <c r="Z702" s="1254"/>
      <c r="AA702" s="1254"/>
      <c r="AB702" s="1255"/>
      <c r="AC702" s="1226">
        <f t="shared" si="47"/>
        <v>0</v>
      </c>
      <c r="AD702" s="1227"/>
      <c r="AE702" s="1227"/>
      <c r="AF702" s="1227"/>
      <c r="AG702" s="1228"/>
      <c r="AH702" s="1257"/>
      <c r="AI702" s="1258"/>
      <c r="AJ702" s="1258"/>
      <c r="AK702" s="1258"/>
      <c r="AL702" s="1259"/>
      <c r="AM702" s="1223" t="str">
        <f t="shared" si="55"/>
        <v/>
      </c>
      <c r="AN702" s="1224"/>
      <c r="AO702" s="1225"/>
      <c r="AV702" s="43" t="str">
        <f t="shared" si="48"/>
        <v>N/A</v>
      </c>
      <c r="AX702" s="41"/>
      <c r="AY702" s="446">
        <f t="shared" si="49"/>
        <v>0</v>
      </c>
      <c r="AZ702" s="452">
        <f t="shared" si="50"/>
        <v>0</v>
      </c>
      <c r="BA702" s="453">
        <f t="shared" si="51"/>
        <v>0</v>
      </c>
      <c r="BB702" s="41"/>
      <c r="BC702" s="41"/>
      <c r="BD702" s="41"/>
      <c r="BE702" s="850">
        <f t="shared" si="52"/>
        <v>0</v>
      </c>
      <c r="BF702" s="854" t="str">
        <f t="shared" si="53"/>
        <v/>
      </c>
      <c r="BG702" s="855" t="str">
        <f t="shared" si="54"/>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5"/>
      <c r="C703" s="1336"/>
      <c r="D703" s="1336"/>
      <c r="E703" s="1336"/>
      <c r="F703" s="1337"/>
      <c r="G703" s="1263"/>
      <c r="H703" s="1264"/>
      <c r="I703" s="1264"/>
      <c r="J703" s="1265"/>
      <c r="K703" s="1250"/>
      <c r="L703" s="1251"/>
      <c r="M703" s="1251"/>
      <c r="N703" s="1252"/>
      <c r="O703" s="1253"/>
      <c r="P703" s="1254"/>
      <c r="Q703" s="1254"/>
      <c r="R703" s="1254"/>
      <c r="S703" s="1255"/>
      <c r="T703" s="1226">
        <f t="shared" si="46"/>
        <v>0</v>
      </c>
      <c r="U703" s="1227"/>
      <c r="V703" s="1227"/>
      <c r="W703" s="1227"/>
      <c r="X703" s="1228"/>
      <c r="Y703" s="1253"/>
      <c r="Z703" s="1254"/>
      <c r="AA703" s="1254"/>
      <c r="AB703" s="1255"/>
      <c r="AC703" s="1226">
        <f t="shared" si="47"/>
        <v>0</v>
      </c>
      <c r="AD703" s="1227"/>
      <c r="AE703" s="1227"/>
      <c r="AF703" s="1227"/>
      <c r="AG703" s="1228"/>
      <c r="AH703" s="1257"/>
      <c r="AI703" s="1258"/>
      <c r="AJ703" s="1258"/>
      <c r="AK703" s="1258"/>
      <c r="AL703" s="1259"/>
      <c r="AM703" s="1223" t="str">
        <f t="shared" si="55"/>
        <v/>
      </c>
      <c r="AN703" s="1224"/>
      <c r="AO703" s="1225"/>
      <c r="AV703" s="43" t="str">
        <f t="shared" si="48"/>
        <v>N/A</v>
      </c>
      <c r="AX703" s="41"/>
      <c r="AY703" s="446">
        <f t="shared" si="49"/>
        <v>0</v>
      </c>
      <c r="AZ703" s="452">
        <f t="shared" si="50"/>
        <v>0</v>
      </c>
      <c r="BA703" s="453">
        <f t="shared" si="51"/>
        <v>0</v>
      </c>
      <c r="BB703" s="41"/>
      <c r="BC703" s="41"/>
      <c r="BD703" s="41"/>
      <c r="BE703" s="850">
        <f t="shared" si="52"/>
        <v>0</v>
      </c>
      <c r="BF703" s="854" t="str">
        <f t="shared" si="53"/>
        <v/>
      </c>
      <c r="BG703" s="855" t="str">
        <f t="shared" si="54"/>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5"/>
      <c r="C704" s="1336"/>
      <c r="D704" s="1336"/>
      <c r="E704" s="1336"/>
      <c r="F704" s="1337"/>
      <c r="G704" s="1263"/>
      <c r="H704" s="1264"/>
      <c r="I704" s="1264"/>
      <c r="J704" s="1265"/>
      <c r="K704" s="1250"/>
      <c r="L704" s="1251"/>
      <c r="M704" s="1251"/>
      <c r="N704" s="1252"/>
      <c r="O704" s="1253"/>
      <c r="P704" s="1254"/>
      <c r="Q704" s="1254"/>
      <c r="R704" s="1254"/>
      <c r="S704" s="1255"/>
      <c r="T704" s="1226">
        <f t="shared" si="46"/>
        <v>0</v>
      </c>
      <c r="U704" s="1227"/>
      <c r="V704" s="1227"/>
      <c r="W704" s="1227"/>
      <c r="X704" s="1228"/>
      <c r="Y704" s="1253"/>
      <c r="Z704" s="1254"/>
      <c r="AA704" s="1254"/>
      <c r="AB704" s="1255"/>
      <c r="AC704" s="1226">
        <f t="shared" si="47"/>
        <v>0</v>
      </c>
      <c r="AD704" s="1227"/>
      <c r="AE704" s="1227"/>
      <c r="AF704" s="1227"/>
      <c r="AG704" s="1228"/>
      <c r="AH704" s="1257"/>
      <c r="AI704" s="1258"/>
      <c r="AJ704" s="1258"/>
      <c r="AK704" s="1258"/>
      <c r="AL704" s="1259"/>
      <c r="AM704" s="1223" t="str">
        <f t="shared" si="55"/>
        <v/>
      </c>
      <c r="AN704" s="1224"/>
      <c r="AO704" s="1225"/>
      <c r="AV704" s="43" t="str">
        <f t="shared" si="48"/>
        <v>N/A</v>
      </c>
      <c r="AX704" s="41"/>
      <c r="AY704" s="446">
        <f t="shared" si="49"/>
        <v>0</v>
      </c>
      <c r="AZ704" s="452">
        <f t="shared" si="50"/>
        <v>0</v>
      </c>
      <c r="BA704" s="453">
        <f t="shared" si="51"/>
        <v>0</v>
      </c>
      <c r="BB704" s="41"/>
      <c r="BC704" s="41"/>
      <c r="BD704" s="41"/>
      <c r="BE704" s="850">
        <f t="shared" si="52"/>
        <v>0</v>
      </c>
      <c r="BF704" s="854" t="str">
        <f t="shared" si="53"/>
        <v/>
      </c>
      <c r="BG704" s="855" t="str">
        <f t="shared" si="54"/>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5"/>
      <c r="C705" s="1336"/>
      <c r="D705" s="1336"/>
      <c r="E705" s="1336"/>
      <c r="F705" s="1337"/>
      <c r="G705" s="1263"/>
      <c r="H705" s="1264"/>
      <c r="I705" s="1264"/>
      <c r="J705" s="1265"/>
      <c r="K705" s="1250"/>
      <c r="L705" s="1251"/>
      <c r="M705" s="1251"/>
      <c r="N705" s="1252"/>
      <c r="O705" s="1253"/>
      <c r="P705" s="1254"/>
      <c r="Q705" s="1254"/>
      <c r="R705" s="1254"/>
      <c r="S705" s="1255"/>
      <c r="T705" s="1226">
        <f t="shared" si="46"/>
        <v>0</v>
      </c>
      <c r="U705" s="1227"/>
      <c r="V705" s="1227"/>
      <c r="W705" s="1227"/>
      <c r="X705" s="1228"/>
      <c r="Y705" s="1253"/>
      <c r="Z705" s="1254"/>
      <c r="AA705" s="1254"/>
      <c r="AB705" s="1255"/>
      <c r="AC705" s="1226">
        <f t="shared" si="47"/>
        <v>0</v>
      </c>
      <c r="AD705" s="1227"/>
      <c r="AE705" s="1227"/>
      <c r="AF705" s="1227"/>
      <c r="AG705" s="1228"/>
      <c r="AH705" s="1257"/>
      <c r="AI705" s="1258"/>
      <c r="AJ705" s="1258"/>
      <c r="AK705" s="1258"/>
      <c r="AL705" s="1259"/>
      <c r="AM705" s="1223" t="str">
        <f t="shared" si="55"/>
        <v/>
      </c>
      <c r="AN705" s="1224"/>
      <c r="AO705" s="1225"/>
      <c r="AV705" s="43" t="str">
        <f t="shared" si="48"/>
        <v>N/A</v>
      </c>
      <c r="AX705" s="41"/>
      <c r="AY705" s="446">
        <f t="shared" si="49"/>
        <v>0</v>
      </c>
      <c r="AZ705" s="452">
        <f t="shared" si="50"/>
        <v>0</v>
      </c>
      <c r="BA705" s="453">
        <f t="shared" si="51"/>
        <v>0</v>
      </c>
      <c r="BB705" s="41"/>
      <c r="BC705" s="41"/>
      <c r="BD705" s="41"/>
      <c r="BE705" s="850">
        <f t="shared" si="52"/>
        <v>0</v>
      </c>
      <c r="BF705" s="854" t="str">
        <f t="shared" si="53"/>
        <v/>
      </c>
      <c r="BG705" s="855" t="str">
        <f t="shared" si="54"/>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5"/>
      <c r="C706" s="1336"/>
      <c r="D706" s="1336"/>
      <c r="E706" s="1336"/>
      <c r="F706" s="1337"/>
      <c r="G706" s="1263"/>
      <c r="H706" s="1264"/>
      <c r="I706" s="1264"/>
      <c r="J706" s="1265"/>
      <c r="K706" s="1250"/>
      <c r="L706" s="1251"/>
      <c r="M706" s="1251"/>
      <c r="N706" s="1252"/>
      <c r="O706" s="1253"/>
      <c r="P706" s="1254"/>
      <c r="Q706" s="1254"/>
      <c r="R706" s="1254"/>
      <c r="S706" s="1255"/>
      <c r="T706" s="1226">
        <f t="shared" si="46"/>
        <v>0</v>
      </c>
      <c r="U706" s="1227"/>
      <c r="V706" s="1227"/>
      <c r="W706" s="1227"/>
      <c r="X706" s="1228"/>
      <c r="Y706" s="1253"/>
      <c r="Z706" s="1254"/>
      <c r="AA706" s="1254"/>
      <c r="AB706" s="1255"/>
      <c r="AC706" s="1226">
        <f t="shared" si="47"/>
        <v>0</v>
      </c>
      <c r="AD706" s="1227"/>
      <c r="AE706" s="1227"/>
      <c r="AF706" s="1227"/>
      <c r="AG706" s="1228"/>
      <c r="AH706" s="1257"/>
      <c r="AI706" s="1258"/>
      <c r="AJ706" s="1258"/>
      <c r="AK706" s="1258"/>
      <c r="AL706" s="1259"/>
      <c r="AM706" s="1223" t="str">
        <f t="shared" si="55"/>
        <v/>
      </c>
      <c r="AN706" s="1224"/>
      <c r="AO706" s="1225"/>
      <c r="AV706" s="43" t="str">
        <f t="shared" si="48"/>
        <v>N/A</v>
      </c>
      <c r="AX706" s="41"/>
      <c r="AY706" s="446">
        <f t="shared" si="49"/>
        <v>0</v>
      </c>
      <c r="AZ706" s="452">
        <f t="shared" si="50"/>
        <v>0</v>
      </c>
      <c r="BA706" s="453">
        <f t="shared" si="51"/>
        <v>0</v>
      </c>
      <c r="BB706" s="41"/>
      <c r="BC706" s="41"/>
      <c r="BD706" s="41"/>
      <c r="BE706" s="850">
        <f t="shared" si="52"/>
        <v>0</v>
      </c>
      <c r="BF706" s="854" t="str">
        <f t="shared" si="53"/>
        <v/>
      </c>
      <c r="BG706" s="855" t="str">
        <f t="shared" si="54"/>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5"/>
      <c r="C707" s="1336"/>
      <c r="D707" s="1336"/>
      <c r="E707" s="1336"/>
      <c r="F707" s="1337"/>
      <c r="G707" s="1263"/>
      <c r="H707" s="1264"/>
      <c r="I707" s="1264"/>
      <c r="J707" s="1265"/>
      <c r="K707" s="1250"/>
      <c r="L707" s="1251"/>
      <c r="M707" s="1251"/>
      <c r="N707" s="1252"/>
      <c r="O707" s="1253"/>
      <c r="P707" s="1254"/>
      <c r="Q707" s="1254"/>
      <c r="R707" s="1254"/>
      <c r="S707" s="1255"/>
      <c r="T707" s="1226">
        <f t="shared" si="46"/>
        <v>0</v>
      </c>
      <c r="U707" s="1227"/>
      <c r="V707" s="1227"/>
      <c r="W707" s="1227"/>
      <c r="X707" s="1228"/>
      <c r="Y707" s="1253"/>
      <c r="Z707" s="1254"/>
      <c r="AA707" s="1254"/>
      <c r="AB707" s="1255"/>
      <c r="AC707" s="1226">
        <f t="shared" si="47"/>
        <v>0</v>
      </c>
      <c r="AD707" s="1227"/>
      <c r="AE707" s="1227"/>
      <c r="AF707" s="1227"/>
      <c r="AG707" s="1228"/>
      <c r="AH707" s="1257"/>
      <c r="AI707" s="1258"/>
      <c r="AJ707" s="1258"/>
      <c r="AK707" s="1258"/>
      <c r="AL707" s="1259"/>
      <c r="AM707" s="1223" t="str">
        <f t="shared" si="55"/>
        <v/>
      </c>
      <c r="AN707" s="1224"/>
      <c r="AO707" s="1225"/>
      <c r="AV707" s="43" t="str">
        <f t="shared" si="48"/>
        <v>N/A</v>
      </c>
      <c r="AX707" s="41"/>
      <c r="AY707" s="446">
        <f t="shared" si="49"/>
        <v>0</v>
      </c>
      <c r="AZ707" s="452">
        <f t="shared" si="50"/>
        <v>0</v>
      </c>
      <c r="BA707" s="453">
        <f t="shared" si="51"/>
        <v>0</v>
      </c>
      <c r="BB707" s="41"/>
      <c r="BC707" s="41"/>
      <c r="BD707" s="41"/>
      <c r="BE707" s="850">
        <f t="shared" si="52"/>
        <v>0</v>
      </c>
      <c r="BF707" s="854" t="str">
        <f t="shared" si="53"/>
        <v/>
      </c>
      <c r="BG707" s="855" t="str">
        <f t="shared" si="54"/>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5"/>
      <c r="C708" s="1336"/>
      <c r="D708" s="1336"/>
      <c r="E708" s="1336"/>
      <c r="F708" s="1337"/>
      <c r="G708" s="1263"/>
      <c r="H708" s="1264"/>
      <c r="I708" s="1264"/>
      <c r="J708" s="1265"/>
      <c r="K708" s="1250"/>
      <c r="L708" s="1251"/>
      <c r="M708" s="1251"/>
      <c r="N708" s="1252"/>
      <c r="O708" s="1253"/>
      <c r="P708" s="1254"/>
      <c r="Q708" s="1254"/>
      <c r="R708" s="1254"/>
      <c r="S708" s="1255"/>
      <c r="T708" s="1226">
        <f t="shared" si="46"/>
        <v>0</v>
      </c>
      <c r="U708" s="1227"/>
      <c r="V708" s="1227"/>
      <c r="W708" s="1227"/>
      <c r="X708" s="1228"/>
      <c r="Y708" s="1253"/>
      <c r="Z708" s="1254"/>
      <c r="AA708" s="1254"/>
      <c r="AB708" s="1255"/>
      <c r="AC708" s="1226">
        <f t="shared" si="47"/>
        <v>0</v>
      </c>
      <c r="AD708" s="1227"/>
      <c r="AE708" s="1227"/>
      <c r="AF708" s="1227"/>
      <c r="AG708" s="1228"/>
      <c r="AH708" s="1257"/>
      <c r="AI708" s="1258"/>
      <c r="AJ708" s="1258"/>
      <c r="AK708" s="1258"/>
      <c r="AL708" s="1259"/>
      <c r="AM708" s="1223" t="str">
        <f t="shared" si="55"/>
        <v/>
      </c>
      <c r="AN708" s="1224"/>
      <c r="AO708" s="1225"/>
      <c r="AV708" s="43" t="str">
        <f t="shared" si="48"/>
        <v>N/A</v>
      </c>
      <c r="AX708" s="41"/>
      <c r="AY708" s="446">
        <f t="shared" si="49"/>
        <v>0</v>
      </c>
      <c r="AZ708" s="452">
        <f t="shared" si="50"/>
        <v>0</v>
      </c>
      <c r="BA708" s="453">
        <f t="shared" si="51"/>
        <v>0</v>
      </c>
      <c r="BB708" s="41"/>
      <c r="BC708" s="41"/>
      <c r="BD708" s="41"/>
      <c r="BE708" s="850">
        <f t="shared" si="52"/>
        <v>0</v>
      </c>
      <c r="BF708" s="854" t="str">
        <f t="shared" si="53"/>
        <v/>
      </c>
      <c r="BG708" s="855" t="str">
        <f t="shared" si="54"/>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5"/>
      <c r="C709" s="1336"/>
      <c r="D709" s="1336"/>
      <c r="E709" s="1336"/>
      <c r="F709" s="1337"/>
      <c r="G709" s="1263"/>
      <c r="H709" s="1264"/>
      <c r="I709" s="1264"/>
      <c r="J709" s="1265"/>
      <c r="K709" s="1250"/>
      <c r="L709" s="1251"/>
      <c r="M709" s="1251"/>
      <c r="N709" s="1252"/>
      <c r="O709" s="1253"/>
      <c r="P709" s="1254"/>
      <c r="Q709" s="1254"/>
      <c r="R709" s="1254"/>
      <c r="S709" s="1255"/>
      <c r="T709" s="1226">
        <f t="shared" si="46"/>
        <v>0</v>
      </c>
      <c r="U709" s="1227"/>
      <c r="V709" s="1227"/>
      <c r="W709" s="1227"/>
      <c r="X709" s="1228"/>
      <c r="Y709" s="1253"/>
      <c r="Z709" s="1254"/>
      <c r="AA709" s="1254"/>
      <c r="AB709" s="1255"/>
      <c r="AC709" s="1226">
        <f t="shared" si="47"/>
        <v>0</v>
      </c>
      <c r="AD709" s="1227"/>
      <c r="AE709" s="1227"/>
      <c r="AF709" s="1227"/>
      <c r="AG709" s="1228"/>
      <c r="AH709" s="1257"/>
      <c r="AI709" s="1258"/>
      <c r="AJ709" s="1258"/>
      <c r="AK709" s="1258"/>
      <c r="AL709" s="1259"/>
      <c r="AM709" s="1223" t="str">
        <f t="shared" si="55"/>
        <v/>
      </c>
      <c r="AN709" s="1224"/>
      <c r="AO709" s="1225"/>
      <c r="AV709" s="43" t="str">
        <f t="shared" si="48"/>
        <v>N/A</v>
      </c>
      <c r="AX709" s="41"/>
      <c r="AY709" s="446">
        <f t="shared" si="49"/>
        <v>0</v>
      </c>
      <c r="AZ709" s="452">
        <f t="shared" si="50"/>
        <v>0</v>
      </c>
      <c r="BA709" s="453">
        <f t="shared" si="51"/>
        <v>0</v>
      </c>
      <c r="BB709" s="41"/>
      <c r="BC709" s="41"/>
      <c r="BD709" s="41"/>
      <c r="BE709" s="850">
        <f t="shared" si="52"/>
        <v>0</v>
      </c>
      <c r="BF709" s="854" t="str">
        <f t="shared" si="53"/>
        <v/>
      </c>
      <c r="BG709" s="855" t="str">
        <f t="shared" si="54"/>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5"/>
      <c r="C710" s="1336"/>
      <c r="D710" s="1336"/>
      <c r="E710" s="1336"/>
      <c r="F710" s="1337"/>
      <c r="G710" s="1263"/>
      <c r="H710" s="1264"/>
      <c r="I710" s="1264"/>
      <c r="J710" s="1265"/>
      <c r="K710" s="1250"/>
      <c r="L710" s="1251"/>
      <c r="M710" s="1251"/>
      <c r="N710" s="1252"/>
      <c r="O710" s="1253"/>
      <c r="P710" s="1254"/>
      <c r="Q710" s="1254"/>
      <c r="R710" s="1254"/>
      <c r="S710" s="1255"/>
      <c r="T710" s="1226">
        <f t="shared" si="46"/>
        <v>0</v>
      </c>
      <c r="U710" s="1227"/>
      <c r="V710" s="1227"/>
      <c r="W710" s="1227"/>
      <c r="X710" s="1228"/>
      <c r="Y710" s="1253"/>
      <c r="Z710" s="1254"/>
      <c r="AA710" s="1254"/>
      <c r="AB710" s="1255"/>
      <c r="AC710" s="1226">
        <f t="shared" si="47"/>
        <v>0</v>
      </c>
      <c r="AD710" s="1227"/>
      <c r="AE710" s="1227"/>
      <c r="AF710" s="1227"/>
      <c r="AG710" s="1228"/>
      <c r="AH710" s="1257"/>
      <c r="AI710" s="1258"/>
      <c r="AJ710" s="1258"/>
      <c r="AK710" s="1258"/>
      <c r="AL710" s="1259"/>
      <c r="AM710" s="1223" t="str">
        <f t="shared" si="55"/>
        <v/>
      </c>
      <c r="AN710" s="1224"/>
      <c r="AO710" s="1225"/>
      <c r="AV710" s="43" t="str">
        <f t="shared" si="48"/>
        <v>N/A</v>
      </c>
      <c r="AX710" s="41"/>
      <c r="AY710" s="446">
        <f t="shared" si="49"/>
        <v>0</v>
      </c>
      <c r="AZ710" s="452">
        <f t="shared" si="50"/>
        <v>0</v>
      </c>
      <c r="BA710" s="453">
        <f t="shared" si="51"/>
        <v>0</v>
      </c>
      <c r="BB710" s="41"/>
      <c r="BC710" s="41"/>
      <c r="BD710" s="41"/>
      <c r="BE710" s="850">
        <f t="shared" si="52"/>
        <v>0</v>
      </c>
      <c r="BF710" s="854" t="str">
        <f t="shared" si="53"/>
        <v/>
      </c>
      <c r="BG710" s="855" t="str">
        <f t="shared" si="54"/>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5"/>
      <c r="C711" s="1336"/>
      <c r="D711" s="1336"/>
      <c r="E711" s="1336"/>
      <c r="F711" s="1337"/>
      <c r="G711" s="1263"/>
      <c r="H711" s="1264"/>
      <c r="I711" s="1264"/>
      <c r="J711" s="1265"/>
      <c r="K711" s="1250"/>
      <c r="L711" s="1251"/>
      <c r="M711" s="1251"/>
      <c r="N711" s="1252"/>
      <c r="O711" s="1253"/>
      <c r="P711" s="1254"/>
      <c r="Q711" s="1254"/>
      <c r="R711" s="1254"/>
      <c r="S711" s="1255"/>
      <c r="T711" s="1226">
        <f t="shared" si="46"/>
        <v>0</v>
      </c>
      <c r="U711" s="1227"/>
      <c r="V711" s="1227"/>
      <c r="W711" s="1227"/>
      <c r="X711" s="1228"/>
      <c r="Y711" s="1253"/>
      <c r="Z711" s="1254"/>
      <c r="AA711" s="1254"/>
      <c r="AB711" s="1255"/>
      <c r="AC711" s="1226">
        <f t="shared" si="47"/>
        <v>0</v>
      </c>
      <c r="AD711" s="1227"/>
      <c r="AE711" s="1227"/>
      <c r="AF711" s="1227"/>
      <c r="AG711" s="1228"/>
      <c r="AH711" s="1257"/>
      <c r="AI711" s="1258"/>
      <c r="AJ711" s="1258"/>
      <c r="AK711" s="1258"/>
      <c r="AL711" s="1259"/>
      <c r="AM711" s="1223" t="str">
        <f t="shared" si="55"/>
        <v/>
      </c>
      <c r="AN711" s="1224"/>
      <c r="AO711" s="1225"/>
      <c r="AV711" s="43" t="str">
        <f t="shared" si="48"/>
        <v>N/A</v>
      </c>
      <c r="AX711" s="41"/>
      <c r="AY711" s="446">
        <f t="shared" si="49"/>
        <v>0</v>
      </c>
      <c r="AZ711" s="452">
        <f t="shared" si="50"/>
        <v>0</v>
      </c>
      <c r="BA711" s="453">
        <f t="shared" si="51"/>
        <v>0</v>
      </c>
      <c r="BB711" s="41"/>
      <c r="BC711" s="41"/>
      <c r="BD711" s="41"/>
      <c r="BE711" s="850">
        <f t="shared" si="52"/>
        <v>0</v>
      </c>
      <c r="BF711" s="854" t="str">
        <f t="shared" si="53"/>
        <v/>
      </c>
      <c r="BG711" s="855" t="str">
        <f t="shared" si="54"/>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5"/>
      <c r="C712" s="1336"/>
      <c r="D712" s="1336"/>
      <c r="E712" s="1336"/>
      <c r="F712" s="1337"/>
      <c r="G712" s="1263"/>
      <c r="H712" s="1264"/>
      <c r="I712" s="1264"/>
      <c r="J712" s="1265"/>
      <c r="K712" s="1250"/>
      <c r="L712" s="1251"/>
      <c r="M712" s="1251"/>
      <c r="N712" s="1252"/>
      <c r="O712" s="1253"/>
      <c r="P712" s="1254"/>
      <c r="Q712" s="1254"/>
      <c r="R712" s="1254"/>
      <c r="S712" s="1255"/>
      <c r="T712" s="1226">
        <f t="shared" si="46"/>
        <v>0</v>
      </c>
      <c r="U712" s="1227"/>
      <c r="V712" s="1227"/>
      <c r="W712" s="1227"/>
      <c r="X712" s="1228"/>
      <c r="Y712" s="1253"/>
      <c r="Z712" s="1254"/>
      <c r="AA712" s="1254"/>
      <c r="AB712" s="1255"/>
      <c r="AC712" s="1226">
        <f t="shared" si="47"/>
        <v>0</v>
      </c>
      <c r="AD712" s="1227"/>
      <c r="AE712" s="1227"/>
      <c r="AF712" s="1227"/>
      <c r="AG712" s="1228"/>
      <c r="AH712" s="1257"/>
      <c r="AI712" s="1258"/>
      <c r="AJ712" s="1258"/>
      <c r="AK712" s="1258"/>
      <c r="AL712" s="1259"/>
      <c r="AM712" s="1223" t="str">
        <f t="shared" si="55"/>
        <v/>
      </c>
      <c r="AN712" s="1224"/>
      <c r="AO712" s="1225"/>
      <c r="AV712" s="43" t="str">
        <f t="shared" si="48"/>
        <v>N/A</v>
      </c>
      <c r="AX712" s="41"/>
      <c r="AY712" s="446">
        <f t="shared" si="49"/>
        <v>0</v>
      </c>
      <c r="AZ712" s="452">
        <f t="shared" si="50"/>
        <v>0</v>
      </c>
      <c r="BA712" s="453">
        <f t="shared" si="51"/>
        <v>0</v>
      </c>
      <c r="BB712" s="43"/>
      <c r="BC712" s="43"/>
      <c r="BD712" s="43"/>
      <c r="BE712" s="850">
        <f t="shared" si="52"/>
        <v>0</v>
      </c>
      <c r="BF712" s="854" t="str">
        <f t="shared" si="53"/>
        <v/>
      </c>
      <c r="BG712" s="855" t="str">
        <f t="shared" si="54"/>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5"/>
      <c r="C713" s="1336"/>
      <c r="D713" s="1336"/>
      <c r="E713" s="1336"/>
      <c r="F713" s="1337"/>
      <c r="G713" s="1263"/>
      <c r="H713" s="1264"/>
      <c r="I713" s="1264"/>
      <c r="J713" s="1265"/>
      <c r="K713" s="1250"/>
      <c r="L713" s="1251"/>
      <c r="M713" s="1251"/>
      <c r="N713" s="1252"/>
      <c r="O713" s="1253"/>
      <c r="P713" s="1254"/>
      <c r="Q713" s="1254"/>
      <c r="R713" s="1254"/>
      <c r="S713" s="1255"/>
      <c r="T713" s="1226">
        <f t="shared" si="46"/>
        <v>0</v>
      </c>
      <c r="U713" s="1227"/>
      <c r="V713" s="1227"/>
      <c r="W713" s="1227"/>
      <c r="X713" s="1228"/>
      <c r="Y713" s="1253"/>
      <c r="Z713" s="1254"/>
      <c r="AA713" s="1254"/>
      <c r="AB713" s="1255"/>
      <c r="AC713" s="1226">
        <f t="shared" si="47"/>
        <v>0</v>
      </c>
      <c r="AD713" s="1227"/>
      <c r="AE713" s="1227"/>
      <c r="AF713" s="1227"/>
      <c r="AG713" s="1228"/>
      <c r="AH713" s="1257"/>
      <c r="AI713" s="1258"/>
      <c r="AJ713" s="1258"/>
      <c r="AK713" s="1258"/>
      <c r="AL713" s="1259"/>
      <c r="AM713" s="1223" t="str">
        <f t="shared" si="55"/>
        <v/>
      </c>
      <c r="AN713" s="1224"/>
      <c r="AO713" s="1225"/>
      <c r="AV713" s="43" t="str">
        <f t="shared" si="48"/>
        <v>N/A</v>
      </c>
      <c r="AX713" s="41"/>
      <c r="AY713" s="446">
        <f t="shared" si="49"/>
        <v>0</v>
      </c>
      <c r="AZ713" s="452">
        <f t="shared" si="50"/>
        <v>0</v>
      </c>
      <c r="BA713" s="453">
        <f t="shared" si="51"/>
        <v>0</v>
      </c>
      <c r="BB713" s="43"/>
      <c r="BC713" s="43"/>
      <c r="BD713" s="43"/>
      <c r="BE713" s="850">
        <f t="shared" si="52"/>
        <v>0</v>
      </c>
      <c r="BF713" s="854" t="str">
        <f t="shared" si="53"/>
        <v/>
      </c>
      <c r="BG713" s="855" t="str">
        <f t="shared" si="54"/>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5"/>
      <c r="C714" s="1336"/>
      <c r="D714" s="1336"/>
      <c r="E714" s="1336"/>
      <c r="F714" s="1337"/>
      <c r="G714" s="1263"/>
      <c r="H714" s="1264"/>
      <c r="I714" s="1264"/>
      <c r="J714" s="1265"/>
      <c r="K714" s="1250"/>
      <c r="L714" s="1251"/>
      <c r="M714" s="1251"/>
      <c r="N714" s="1252"/>
      <c r="O714" s="1253"/>
      <c r="P714" s="1254"/>
      <c r="Q714" s="1254"/>
      <c r="R714" s="1254"/>
      <c r="S714" s="1255"/>
      <c r="T714" s="1226">
        <f t="shared" si="46"/>
        <v>0</v>
      </c>
      <c r="U714" s="1227"/>
      <c r="V714" s="1227"/>
      <c r="W714" s="1227"/>
      <c r="X714" s="1228"/>
      <c r="Y714" s="1253"/>
      <c r="Z714" s="1254"/>
      <c r="AA714" s="1254"/>
      <c r="AB714" s="1255"/>
      <c r="AC714" s="1226">
        <f t="shared" si="47"/>
        <v>0</v>
      </c>
      <c r="AD714" s="1227"/>
      <c r="AE714" s="1227"/>
      <c r="AF714" s="1227"/>
      <c r="AG714" s="1228"/>
      <c r="AH714" s="1257"/>
      <c r="AI714" s="1258"/>
      <c r="AJ714" s="1258"/>
      <c r="AK714" s="1258"/>
      <c r="AL714" s="1259"/>
      <c r="AM714" s="1223" t="str">
        <f t="shared" si="55"/>
        <v/>
      </c>
      <c r="AN714" s="1224"/>
      <c r="AO714" s="1225"/>
      <c r="AV714" s="43" t="str">
        <f t="shared" si="48"/>
        <v>N/A</v>
      </c>
      <c r="AX714" s="41"/>
      <c r="AY714" s="446">
        <f t="shared" si="49"/>
        <v>0</v>
      </c>
      <c r="AZ714" s="452">
        <f t="shared" si="50"/>
        <v>0</v>
      </c>
      <c r="BA714" s="453">
        <f t="shared" si="51"/>
        <v>0</v>
      </c>
      <c r="BB714" s="43"/>
      <c r="BC714" s="43"/>
      <c r="BD714" s="43"/>
      <c r="BE714" s="850">
        <f t="shared" si="52"/>
        <v>0</v>
      </c>
      <c r="BF714" s="854" t="str">
        <f t="shared" si="53"/>
        <v/>
      </c>
      <c r="BG714" s="855" t="str">
        <f t="shared" si="54"/>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5"/>
      <c r="C715" s="1336"/>
      <c r="D715" s="1336"/>
      <c r="E715" s="1336"/>
      <c r="F715" s="1337"/>
      <c r="G715" s="1263"/>
      <c r="H715" s="1264"/>
      <c r="I715" s="1264"/>
      <c r="J715" s="1265"/>
      <c r="K715" s="1250"/>
      <c r="L715" s="1251"/>
      <c r="M715" s="1251"/>
      <c r="N715" s="1252"/>
      <c r="O715" s="1253"/>
      <c r="P715" s="1254"/>
      <c r="Q715" s="1254"/>
      <c r="R715" s="1254"/>
      <c r="S715" s="1255"/>
      <c r="T715" s="1226">
        <f t="shared" si="46"/>
        <v>0</v>
      </c>
      <c r="U715" s="1227"/>
      <c r="V715" s="1227"/>
      <c r="W715" s="1227"/>
      <c r="X715" s="1228"/>
      <c r="Y715" s="1253"/>
      <c r="Z715" s="1254"/>
      <c r="AA715" s="1254"/>
      <c r="AB715" s="1255"/>
      <c r="AC715" s="1226">
        <f t="shared" si="47"/>
        <v>0</v>
      </c>
      <c r="AD715" s="1227"/>
      <c r="AE715" s="1227"/>
      <c r="AF715" s="1227"/>
      <c r="AG715" s="1228"/>
      <c r="AH715" s="1257"/>
      <c r="AI715" s="1258"/>
      <c r="AJ715" s="1258"/>
      <c r="AK715" s="1258"/>
      <c r="AL715" s="1259"/>
      <c r="AM715" s="1223" t="str">
        <f t="shared" si="55"/>
        <v/>
      </c>
      <c r="AN715" s="1224"/>
      <c r="AO715" s="1225"/>
      <c r="AV715" s="43" t="str">
        <f t="shared" si="48"/>
        <v>N/A</v>
      </c>
      <c r="AX715" s="41"/>
      <c r="AY715" s="446">
        <f t="shared" si="49"/>
        <v>0</v>
      </c>
      <c r="AZ715" s="452">
        <f t="shared" si="50"/>
        <v>0</v>
      </c>
      <c r="BA715" s="453">
        <f t="shared" si="51"/>
        <v>0</v>
      </c>
      <c r="BB715" s="43"/>
      <c r="BC715" s="43"/>
      <c r="BD715" s="43"/>
      <c r="BE715" s="850">
        <f t="shared" si="52"/>
        <v>0</v>
      </c>
      <c r="BF715" s="854" t="str">
        <f t="shared" si="53"/>
        <v/>
      </c>
      <c r="BG715" s="855" t="str">
        <f t="shared" si="54"/>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5"/>
      <c r="C716" s="1336"/>
      <c r="D716" s="1336"/>
      <c r="E716" s="1336"/>
      <c r="F716" s="1337"/>
      <c r="G716" s="1263"/>
      <c r="H716" s="1264"/>
      <c r="I716" s="1264"/>
      <c r="J716" s="1265"/>
      <c r="K716" s="1250"/>
      <c r="L716" s="1251"/>
      <c r="M716" s="1251"/>
      <c r="N716" s="1252"/>
      <c r="O716" s="1253"/>
      <c r="P716" s="1254"/>
      <c r="Q716" s="1254"/>
      <c r="R716" s="1254"/>
      <c r="S716" s="1255"/>
      <c r="T716" s="1226">
        <f t="shared" si="46"/>
        <v>0</v>
      </c>
      <c r="U716" s="1227"/>
      <c r="V716" s="1227"/>
      <c r="W716" s="1227"/>
      <c r="X716" s="1228"/>
      <c r="Y716" s="1253"/>
      <c r="Z716" s="1254"/>
      <c r="AA716" s="1254"/>
      <c r="AB716" s="1255"/>
      <c r="AC716" s="1226">
        <f t="shared" si="47"/>
        <v>0</v>
      </c>
      <c r="AD716" s="1227"/>
      <c r="AE716" s="1227"/>
      <c r="AF716" s="1227"/>
      <c r="AG716" s="1228"/>
      <c r="AH716" s="1257"/>
      <c r="AI716" s="1258"/>
      <c r="AJ716" s="1258"/>
      <c r="AK716" s="1258"/>
      <c r="AL716" s="1259"/>
      <c r="AM716" s="1223" t="str">
        <f t="shared" si="55"/>
        <v/>
      </c>
      <c r="AN716" s="1224"/>
      <c r="AO716" s="1225"/>
      <c r="AV716" s="43" t="str">
        <f t="shared" si="48"/>
        <v>N/A</v>
      </c>
      <c r="AX716" s="41"/>
      <c r="AY716" s="446">
        <f t="shared" si="49"/>
        <v>0</v>
      </c>
      <c r="AZ716" s="452">
        <f t="shared" si="50"/>
        <v>0</v>
      </c>
      <c r="BA716" s="453">
        <f t="shared" si="51"/>
        <v>0</v>
      </c>
      <c r="BB716" s="43"/>
      <c r="BC716" s="43"/>
      <c r="BD716" s="43"/>
      <c r="BE716" s="850">
        <f t="shared" si="52"/>
        <v>0</v>
      </c>
      <c r="BF716" s="854" t="str">
        <f t="shared" si="53"/>
        <v/>
      </c>
      <c r="BG716" s="855" t="str">
        <f t="shared" si="54"/>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5"/>
      <c r="C717" s="1336"/>
      <c r="D717" s="1336"/>
      <c r="E717" s="1336"/>
      <c r="F717" s="1337"/>
      <c r="G717" s="1263"/>
      <c r="H717" s="1264"/>
      <c r="I717" s="1264"/>
      <c r="J717" s="1265"/>
      <c r="K717" s="1250"/>
      <c r="L717" s="1251"/>
      <c r="M717" s="1251"/>
      <c r="N717" s="1252"/>
      <c r="O717" s="1253"/>
      <c r="P717" s="1254"/>
      <c r="Q717" s="1254"/>
      <c r="R717" s="1254"/>
      <c r="S717" s="1255"/>
      <c r="T717" s="1226">
        <f t="shared" si="46"/>
        <v>0</v>
      </c>
      <c r="U717" s="1227"/>
      <c r="V717" s="1227"/>
      <c r="W717" s="1227"/>
      <c r="X717" s="1228"/>
      <c r="Y717" s="1253"/>
      <c r="Z717" s="1254"/>
      <c r="AA717" s="1254"/>
      <c r="AB717" s="1255"/>
      <c r="AC717" s="1226">
        <f t="shared" si="47"/>
        <v>0</v>
      </c>
      <c r="AD717" s="1227"/>
      <c r="AE717" s="1227"/>
      <c r="AF717" s="1227"/>
      <c r="AG717" s="1228"/>
      <c r="AH717" s="1257"/>
      <c r="AI717" s="1258"/>
      <c r="AJ717" s="1258"/>
      <c r="AK717" s="1258"/>
      <c r="AL717" s="1259"/>
      <c r="AM717" s="1223" t="str">
        <f t="shared" si="55"/>
        <v/>
      </c>
      <c r="AN717" s="1224"/>
      <c r="AO717" s="1225"/>
      <c r="AV717" s="43" t="str">
        <f t="shared" si="48"/>
        <v>N/A</v>
      </c>
      <c r="AX717" s="41"/>
      <c r="AY717" s="446">
        <f t="shared" si="49"/>
        <v>0</v>
      </c>
      <c r="AZ717" s="452">
        <f t="shared" si="50"/>
        <v>0</v>
      </c>
      <c r="BA717" s="453">
        <f t="shared" si="51"/>
        <v>0</v>
      </c>
      <c r="BB717" s="41"/>
      <c r="BC717" s="41"/>
      <c r="BD717" s="41"/>
      <c r="BE717" s="850">
        <f t="shared" si="52"/>
        <v>0</v>
      </c>
      <c r="BF717" s="854" t="str">
        <f t="shared" si="53"/>
        <v/>
      </c>
      <c r="BG717" s="855" t="str">
        <f t="shared" si="54"/>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5"/>
      <c r="C718" s="1336"/>
      <c r="D718" s="1336"/>
      <c r="E718" s="1336"/>
      <c r="F718" s="1337"/>
      <c r="G718" s="1263"/>
      <c r="H718" s="1264"/>
      <c r="I718" s="1264"/>
      <c r="J718" s="1265"/>
      <c r="K718" s="1250"/>
      <c r="L718" s="1251"/>
      <c r="M718" s="1251"/>
      <c r="N718" s="1252"/>
      <c r="O718" s="1253"/>
      <c r="P718" s="1254"/>
      <c r="Q718" s="1254"/>
      <c r="R718" s="1254"/>
      <c r="S718" s="1255"/>
      <c r="T718" s="1226">
        <f t="shared" si="46"/>
        <v>0</v>
      </c>
      <c r="U718" s="1227"/>
      <c r="V718" s="1227"/>
      <c r="W718" s="1227"/>
      <c r="X718" s="1228"/>
      <c r="Y718" s="1253"/>
      <c r="Z718" s="1254"/>
      <c r="AA718" s="1254"/>
      <c r="AB718" s="1255"/>
      <c r="AC718" s="1226">
        <f t="shared" si="47"/>
        <v>0</v>
      </c>
      <c r="AD718" s="1227"/>
      <c r="AE718" s="1227"/>
      <c r="AF718" s="1227"/>
      <c r="AG718" s="1228"/>
      <c r="AH718" s="1257"/>
      <c r="AI718" s="1258"/>
      <c r="AJ718" s="1258"/>
      <c r="AK718" s="1258"/>
      <c r="AL718" s="1259"/>
      <c r="AM718" s="1223" t="str">
        <f t="shared" si="55"/>
        <v/>
      </c>
      <c r="AN718" s="1224"/>
      <c r="AO718" s="1225"/>
      <c r="AV718" s="43" t="str">
        <f t="shared" si="48"/>
        <v>N/A</v>
      </c>
      <c r="AX718" s="41"/>
      <c r="AY718" s="446">
        <f t="shared" si="49"/>
        <v>0</v>
      </c>
      <c r="AZ718" s="452">
        <f t="shared" si="50"/>
        <v>0</v>
      </c>
      <c r="BA718" s="453">
        <f t="shared" si="51"/>
        <v>0</v>
      </c>
      <c r="BB718" s="41"/>
      <c r="BC718" s="41"/>
      <c r="BD718" s="41"/>
      <c r="BE718" s="850">
        <f t="shared" si="52"/>
        <v>0</v>
      </c>
      <c r="BF718" s="854" t="str">
        <f t="shared" si="53"/>
        <v/>
      </c>
      <c r="BG718" s="855" t="str">
        <f t="shared" si="54"/>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5"/>
      <c r="C719" s="1336"/>
      <c r="D719" s="1336"/>
      <c r="E719" s="1336"/>
      <c r="F719" s="1337"/>
      <c r="G719" s="1263"/>
      <c r="H719" s="1264"/>
      <c r="I719" s="1264"/>
      <c r="J719" s="1265"/>
      <c r="K719" s="1250"/>
      <c r="L719" s="1251"/>
      <c r="M719" s="1251"/>
      <c r="N719" s="1252"/>
      <c r="O719" s="1253"/>
      <c r="P719" s="1254"/>
      <c r="Q719" s="1254"/>
      <c r="R719" s="1254"/>
      <c r="S719" s="1255"/>
      <c r="T719" s="1226">
        <f t="shared" ref="T719:T728" si="56">G719*O719</f>
        <v>0</v>
      </c>
      <c r="U719" s="1227"/>
      <c r="V719" s="1227"/>
      <c r="W719" s="1227"/>
      <c r="X719" s="1228"/>
      <c r="Y719" s="1253"/>
      <c r="Z719" s="1254"/>
      <c r="AA719" s="1254"/>
      <c r="AB719" s="1255"/>
      <c r="AC719" s="1226">
        <f t="shared" ref="AC719:AC728" si="57">O719+Y719</f>
        <v>0</v>
      </c>
      <c r="AD719" s="1227"/>
      <c r="AE719" s="1227"/>
      <c r="AF719" s="1227"/>
      <c r="AG719" s="1228"/>
      <c r="AH719" s="1257"/>
      <c r="AI719" s="1258"/>
      <c r="AJ719" s="1258"/>
      <c r="AK719" s="1258"/>
      <c r="AL719" s="1259"/>
      <c r="AM719" s="1223" t="str">
        <f t="shared" ref="AM719:AM728" si="58">IF($AH719&gt;0,($AC719/$AV719), "")</f>
        <v/>
      </c>
      <c r="AN719" s="1224"/>
      <c r="AO719" s="1225"/>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0">
        <f t="shared" ref="BE719:BE728" si="62">G719</f>
        <v>0</v>
      </c>
      <c r="BF719" s="854" t="str">
        <f t="shared" ref="BF719:BF728" si="63">IF(BE719=0,"",BE719/$BE$730)</f>
        <v/>
      </c>
      <c r="BG719" s="855" t="str">
        <f t="shared" ref="BG719:BG728" si="64">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5"/>
      <c r="C720" s="1336"/>
      <c r="D720" s="1336"/>
      <c r="E720" s="1336"/>
      <c r="F720" s="1337"/>
      <c r="G720" s="1263"/>
      <c r="H720" s="1264"/>
      <c r="I720" s="1264"/>
      <c r="J720" s="1265"/>
      <c r="K720" s="1250"/>
      <c r="L720" s="1251"/>
      <c r="M720" s="1251"/>
      <c r="N720" s="1252"/>
      <c r="O720" s="1253"/>
      <c r="P720" s="1254"/>
      <c r="Q720" s="1254"/>
      <c r="R720" s="1254"/>
      <c r="S720" s="1255"/>
      <c r="T720" s="1226">
        <f t="shared" si="56"/>
        <v>0</v>
      </c>
      <c r="U720" s="1227"/>
      <c r="V720" s="1227"/>
      <c r="W720" s="1227"/>
      <c r="X720" s="1228"/>
      <c r="Y720" s="1253"/>
      <c r="Z720" s="1254"/>
      <c r="AA720" s="1254"/>
      <c r="AB720" s="1255"/>
      <c r="AC720" s="1226">
        <f t="shared" si="57"/>
        <v>0</v>
      </c>
      <c r="AD720" s="1227"/>
      <c r="AE720" s="1227"/>
      <c r="AF720" s="1227"/>
      <c r="AG720" s="1228"/>
      <c r="AH720" s="1257"/>
      <c r="AI720" s="1258"/>
      <c r="AJ720" s="1258"/>
      <c r="AK720" s="1258"/>
      <c r="AL720" s="1259"/>
      <c r="AM720" s="1223" t="str">
        <f t="shared" si="58"/>
        <v/>
      </c>
      <c r="AN720" s="1224"/>
      <c r="AO720" s="1225"/>
      <c r="AV720" s="43" t="str">
        <f t="shared" si="48"/>
        <v>N/A</v>
      </c>
      <c r="AY720" s="446">
        <f t="shared" si="59"/>
        <v>0</v>
      </c>
      <c r="AZ720" s="452">
        <f t="shared" si="60"/>
        <v>0</v>
      </c>
      <c r="BA720" s="453">
        <f t="shared" si="61"/>
        <v>0</v>
      </c>
      <c r="BB720" s="41"/>
      <c r="BC720" s="41"/>
      <c r="BD720" s="41"/>
      <c r="BE720" s="850">
        <f t="shared" si="62"/>
        <v>0</v>
      </c>
      <c r="BF720" s="854" t="str">
        <f t="shared" si="63"/>
        <v/>
      </c>
      <c r="BG720" s="855" t="str">
        <f t="shared" si="64"/>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5"/>
      <c r="C721" s="1336"/>
      <c r="D721" s="1336"/>
      <c r="E721" s="1336"/>
      <c r="F721" s="1337"/>
      <c r="G721" s="1263"/>
      <c r="H721" s="1264"/>
      <c r="I721" s="1264"/>
      <c r="J721" s="1265"/>
      <c r="K721" s="1250"/>
      <c r="L721" s="1251"/>
      <c r="M721" s="1251"/>
      <c r="N721" s="1252"/>
      <c r="O721" s="1253"/>
      <c r="P721" s="1254"/>
      <c r="Q721" s="1254"/>
      <c r="R721" s="1254"/>
      <c r="S721" s="1255"/>
      <c r="T721" s="1226">
        <f t="shared" si="56"/>
        <v>0</v>
      </c>
      <c r="U721" s="1227"/>
      <c r="V721" s="1227"/>
      <c r="W721" s="1227"/>
      <c r="X721" s="1228"/>
      <c r="Y721" s="1253"/>
      <c r="Z721" s="1254"/>
      <c r="AA721" s="1254"/>
      <c r="AB721" s="1255"/>
      <c r="AC721" s="1226">
        <f t="shared" si="57"/>
        <v>0</v>
      </c>
      <c r="AD721" s="1227"/>
      <c r="AE721" s="1227"/>
      <c r="AF721" s="1227"/>
      <c r="AG721" s="1228"/>
      <c r="AH721" s="1257"/>
      <c r="AI721" s="1258"/>
      <c r="AJ721" s="1258"/>
      <c r="AK721" s="1258"/>
      <c r="AL721" s="1259"/>
      <c r="AM721" s="1223" t="str">
        <f t="shared" si="58"/>
        <v/>
      </c>
      <c r="AN721" s="1224"/>
      <c r="AO721" s="1225"/>
      <c r="AV721" s="43" t="str">
        <f t="shared" si="48"/>
        <v>N/A</v>
      </c>
      <c r="AY721" s="446">
        <f t="shared" si="59"/>
        <v>0</v>
      </c>
      <c r="AZ721" s="452">
        <f t="shared" si="60"/>
        <v>0</v>
      </c>
      <c r="BA721" s="453">
        <f t="shared" si="61"/>
        <v>0</v>
      </c>
      <c r="BB721" s="41"/>
      <c r="BC721" s="41"/>
      <c r="BD721" s="41"/>
      <c r="BE721" s="850">
        <f t="shared" si="62"/>
        <v>0</v>
      </c>
      <c r="BF721" s="854" t="str">
        <f t="shared" si="63"/>
        <v/>
      </c>
      <c r="BG721" s="855" t="str">
        <f t="shared" si="64"/>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5"/>
      <c r="C722" s="1336"/>
      <c r="D722" s="1336"/>
      <c r="E722" s="1336"/>
      <c r="F722" s="1337"/>
      <c r="G722" s="1263"/>
      <c r="H722" s="1264"/>
      <c r="I722" s="1264"/>
      <c r="J722" s="1265"/>
      <c r="K722" s="1250"/>
      <c r="L722" s="1251"/>
      <c r="M722" s="1251"/>
      <c r="N722" s="1252"/>
      <c r="O722" s="1253"/>
      <c r="P722" s="1254"/>
      <c r="Q722" s="1254"/>
      <c r="R722" s="1254"/>
      <c r="S722" s="1255"/>
      <c r="T722" s="1226">
        <f t="shared" si="56"/>
        <v>0</v>
      </c>
      <c r="U722" s="1227"/>
      <c r="V722" s="1227"/>
      <c r="W722" s="1227"/>
      <c r="X722" s="1228"/>
      <c r="Y722" s="1253"/>
      <c r="Z722" s="1254"/>
      <c r="AA722" s="1254"/>
      <c r="AB722" s="1255"/>
      <c r="AC722" s="1226">
        <f t="shared" si="57"/>
        <v>0</v>
      </c>
      <c r="AD722" s="1227"/>
      <c r="AE722" s="1227"/>
      <c r="AF722" s="1227"/>
      <c r="AG722" s="1228"/>
      <c r="AH722" s="1257"/>
      <c r="AI722" s="1258"/>
      <c r="AJ722" s="1258"/>
      <c r="AK722" s="1258"/>
      <c r="AL722" s="1259"/>
      <c r="AM722" s="1223" t="str">
        <f t="shared" si="58"/>
        <v/>
      </c>
      <c r="AN722" s="1224"/>
      <c r="AO722" s="1225"/>
      <c r="AV722" s="43" t="str">
        <f t="shared" si="48"/>
        <v>N/A</v>
      </c>
      <c r="AY722" s="446">
        <f t="shared" si="59"/>
        <v>0</v>
      </c>
      <c r="AZ722" s="452">
        <f t="shared" si="60"/>
        <v>0</v>
      </c>
      <c r="BA722" s="453">
        <f t="shared" si="61"/>
        <v>0</v>
      </c>
      <c r="BB722" s="41"/>
      <c r="BC722" s="41"/>
      <c r="BD722" s="41"/>
      <c r="BE722" s="850">
        <f t="shared" si="62"/>
        <v>0</v>
      </c>
      <c r="BF722" s="854" t="str">
        <f t="shared" si="63"/>
        <v/>
      </c>
      <c r="BG722" s="855" t="str">
        <f t="shared" si="64"/>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5"/>
      <c r="C723" s="1336"/>
      <c r="D723" s="1336"/>
      <c r="E723" s="1336"/>
      <c r="F723" s="1337"/>
      <c r="G723" s="1263"/>
      <c r="H723" s="1264"/>
      <c r="I723" s="1264"/>
      <c r="J723" s="1265"/>
      <c r="K723" s="1250"/>
      <c r="L723" s="1251"/>
      <c r="M723" s="1251"/>
      <c r="N723" s="1252"/>
      <c r="O723" s="1253"/>
      <c r="P723" s="1254"/>
      <c r="Q723" s="1254"/>
      <c r="R723" s="1254"/>
      <c r="S723" s="1255"/>
      <c r="T723" s="1226">
        <f t="shared" si="56"/>
        <v>0</v>
      </c>
      <c r="U723" s="1227"/>
      <c r="V723" s="1227"/>
      <c r="W723" s="1227"/>
      <c r="X723" s="1228"/>
      <c r="Y723" s="1253"/>
      <c r="Z723" s="1254"/>
      <c r="AA723" s="1254"/>
      <c r="AB723" s="1255"/>
      <c r="AC723" s="1226">
        <f t="shared" si="57"/>
        <v>0</v>
      </c>
      <c r="AD723" s="1227"/>
      <c r="AE723" s="1227"/>
      <c r="AF723" s="1227"/>
      <c r="AG723" s="1228"/>
      <c r="AH723" s="1257"/>
      <c r="AI723" s="1258"/>
      <c r="AJ723" s="1258"/>
      <c r="AK723" s="1258"/>
      <c r="AL723" s="1259"/>
      <c r="AM723" s="1223" t="str">
        <f t="shared" si="58"/>
        <v/>
      </c>
      <c r="AN723" s="1224"/>
      <c r="AO723" s="1225"/>
      <c r="AV723" s="43" t="str">
        <f t="shared" si="48"/>
        <v>N/A</v>
      </c>
      <c r="AY723" s="446">
        <f t="shared" si="59"/>
        <v>0</v>
      </c>
      <c r="AZ723" s="452">
        <f t="shared" si="60"/>
        <v>0</v>
      </c>
      <c r="BA723" s="453">
        <f t="shared" si="61"/>
        <v>0</v>
      </c>
      <c r="BB723" s="41"/>
      <c r="BC723" s="41"/>
      <c r="BD723" s="41"/>
      <c r="BE723" s="850">
        <f t="shared" si="62"/>
        <v>0</v>
      </c>
      <c r="BF723" s="854" t="str">
        <f t="shared" si="63"/>
        <v/>
      </c>
      <c r="BG723" s="855" t="str">
        <f t="shared" si="64"/>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5"/>
      <c r="C724" s="1336"/>
      <c r="D724" s="1336"/>
      <c r="E724" s="1336"/>
      <c r="F724" s="1337"/>
      <c r="G724" s="1263"/>
      <c r="H724" s="1264"/>
      <c r="I724" s="1264"/>
      <c r="J724" s="1265"/>
      <c r="K724" s="1250"/>
      <c r="L724" s="1251"/>
      <c r="M724" s="1251"/>
      <c r="N724" s="1252"/>
      <c r="O724" s="1253"/>
      <c r="P724" s="1254"/>
      <c r="Q724" s="1254"/>
      <c r="R724" s="1254"/>
      <c r="S724" s="1255"/>
      <c r="T724" s="1226">
        <f t="shared" si="56"/>
        <v>0</v>
      </c>
      <c r="U724" s="1227"/>
      <c r="V724" s="1227"/>
      <c r="W724" s="1227"/>
      <c r="X724" s="1228"/>
      <c r="Y724" s="1253"/>
      <c r="Z724" s="1254"/>
      <c r="AA724" s="1254"/>
      <c r="AB724" s="1255"/>
      <c r="AC724" s="1226">
        <f t="shared" si="57"/>
        <v>0</v>
      </c>
      <c r="AD724" s="1227"/>
      <c r="AE724" s="1227"/>
      <c r="AF724" s="1227"/>
      <c r="AG724" s="1228"/>
      <c r="AH724" s="1257"/>
      <c r="AI724" s="1258"/>
      <c r="AJ724" s="1258"/>
      <c r="AK724" s="1258"/>
      <c r="AL724" s="1259"/>
      <c r="AM724" s="1223" t="str">
        <f t="shared" si="58"/>
        <v/>
      </c>
      <c r="AN724" s="1224"/>
      <c r="AO724" s="1225"/>
      <c r="AV724" s="43" t="str">
        <f t="shared" si="48"/>
        <v>N/A</v>
      </c>
      <c r="AY724" s="446">
        <f t="shared" si="59"/>
        <v>0</v>
      </c>
      <c r="AZ724" s="452">
        <f t="shared" si="60"/>
        <v>0</v>
      </c>
      <c r="BA724" s="453">
        <f t="shared" si="61"/>
        <v>0</v>
      </c>
      <c r="BB724" s="41"/>
      <c r="BC724" s="41"/>
      <c r="BD724" s="41"/>
      <c r="BE724" s="850">
        <f t="shared" si="62"/>
        <v>0</v>
      </c>
      <c r="BF724" s="854" t="str">
        <f t="shared" si="63"/>
        <v/>
      </c>
      <c r="BG724" s="855" t="str">
        <f t="shared" si="64"/>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5"/>
      <c r="C725" s="1336"/>
      <c r="D725" s="1336"/>
      <c r="E725" s="1336"/>
      <c r="F725" s="1337"/>
      <c r="G725" s="1263"/>
      <c r="H725" s="1264"/>
      <c r="I725" s="1264"/>
      <c r="J725" s="1265"/>
      <c r="K725" s="1250"/>
      <c r="L725" s="1251"/>
      <c r="M725" s="1251"/>
      <c r="N725" s="1252"/>
      <c r="O725" s="1253"/>
      <c r="P725" s="1254"/>
      <c r="Q725" s="1254"/>
      <c r="R725" s="1254"/>
      <c r="S725" s="1255"/>
      <c r="T725" s="1226">
        <f t="shared" si="56"/>
        <v>0</v>
      </c>
      <c r="U725" s="1227"/>
      <c r="V725" s="1227"/>
      <c r="W725" s="1227"/>
      <c r="X725" s="1228"/>
      <c r="Y725" s="1253"/>
      <c r="Z725" s="1254"/>
      <c r="AA725" s="1254"/>
      <c r="AB725" s="1255"/>
      <c r="AC725" s="1226">
        <f t="shared" si="57"/>
        <v>0</v>
      </c>
      <c r="AD725" s="1227"/>
      <c r="AE725" s="1227"/>
      <c r="AF725" s="1227"/>
      <c r="AG725" s="1228"/>
      <c r="AH725" s="1257"/>
      <c r="AI725" s="1258"/>
      <c r="AJ725" s="1258"/>
      <c r="AK725" s="1258"/>
      <c r="AL725" s="1259"/>
      <c r="AM725" s="1223" t="str">
        <f t="shared" si="58"/>
        <v/>
      </c>
      <c r="AN725" s="1224"/>
      <c r="AO725" s="1225"/>
      <c r="AV725" s="43" t="str">
        <f t="shared" si="48"/>
        <v>N/A</v>
      </c>
      <c r="AY725" s="446">
        <f t="shared" si="59"/>
        <v>0</v>
      </c>
      <c r="AZ725" s="452">
        <f t="shared" si="60"/>
        <v>0</v>
      </c>
      <c r="BA725" s="453">
        <f t="shared" si="61"/>
        <v>0</v>
      </c>
      <c r="BB725" s="41"/>
      <c r="BC725" s="41"/>
      <c r="BD725" s="41"/>
      <c r="BE725" s="850">
        <f t="shared" si="62"/>
        <v>0</v>
      </c>
      <c r="BF725" s="854" t="str">
        <f t="shared" si="63"/>
        <v/>
      </c>
      <c r="BG725" s="855" t="str">
        <f t="shared" si="64"/>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5"/>
      <c r="C726" s="1336"/>
      <c r="D726" s="1336"/>
      <c r="E726" s="1336"/>
      <c r="F726" s="1337"/>
      <c r="G726" s="1263"/>
      <c r="H726" s="1264"/>
      <c r="I726" s="1264"/>
      <c r="J726" s="1265"/>
      <c r="K726" s="1250"/>
      <c r="L726" s="1251"/>
      <c r="M726" s="1251"/>
      <c r="N726" s="1252"/>
      <c r="O726" s="1253"/>
      <c r="P726" s="1254"/>
      <c r="Q726" s="1254"/>
      <c r="R726" s="1254"/>
      <c r="S726" s="1255"/>
      <c r="T726" s="1226">
        <f t="shared" si="56"/>
        <v>0</v>
      </c>
      <c r="U726" s="1227"/>
      <c r="V726" s="1227"/>
      <c r="W726" s="1227"/>
      <c r="X726" s="1228"/>
      <c r="Y726" s="1253"/>
      <c r="Z726" s="1254"/>
      <c r="AA726" s="1254"/>
      <c r="AB726" s="1255"/>
      <c r="AC726" s="1226">
        <f t="shared" si="57"/>
        <v>0</v>
      </c>
      <c r="AD726" s="1227"/>
      <c r="AE726" s="1227"/>
      <c r="AF726" s="1227"/>
      <c r="AG726" s="1228"/>
      <c r="AH726" s="1257"/>
      <c r="AI726" s="1258"/>
      <c r="AJ726" s="1258"/>
      <c r="AK726" s="1258"/>
      <c r="AL726" s="1259"/>
      <c r="AM726" s="1223" t="str">
        <f t="shared" si="58"/>
        <v/>
      </c>
      <c r="AN726" s="1224"/>
      <c r="AO726" s="1225"/>
      <c r="AV726" s="43" t="str">
        <f t="shared" si="48"/>
        <v>N/A</v>
      </c>
      <c r="AY726" s="446">
        <f t="shared" si="59"/>
        <v>0</v>
      </c>
      <c r="AZ726" s="452">
        <f t="shared" si="60"/>
        <v>0</v>
      </c>
      <c r="BA726" s="453">
        <f t="shared" si="61"/>
        <v>0</v>
      </c>
      <c r="BB726" s="41"/>
      <c r="BC726" s="41"/>
      <c r="BD726" s="41"/>
      <c r="BE726" s="850">
        <f t="shared" si="62"/>
        <v>0</v>
      </c>
      <c r="BF726" s="854" t="str">
        <f t="shared" si="63"/>
        <v/>
      </c>
      <c r="BG726" s="855" t="str">
        <f t="shared" si="64"/>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5"/>
      <c r="C727" s="1336"/>
      <c r="D727" s="1336"/>
      <c r="E727" s="1336"/>
      <c r="F727" s="1337"/>
      <c r="G727" s="1263"/>
      <c r="H727" s="1264"/>
      <c r="I727" s="1264"/>
      <c r="J727" s="1265"/>
      <c r="K727" s="1250"/>
      <c r="L727" s="1251"/>
      <c r="M727" s="1251"/>
      <c r="N727" s="1252"/>
      <c r="O727" s="1253"/>
      <c r="P727" s="1254"/>
      <c r="Q727" s="1254"/>
      <c r="R727" s="1254"/>
      <c r="S727" s="1255"/>
      <c r="T727" s="1226">
        <f t="shared" si="56"/>
        <v>0</v>
      </c>
      <c r="U727" s="1227"/>
      <c r="V727" s="1227"/>
      <c r="W727" s="1227"/>
      <c r="X727" s="1228"/>
      <c r="Y727" s="1253"/>
      <c r="Z727" s="1254"/>
      <c r="AA727" s="1254"/>
      <c r="AB727" s="1255"/>
      <c r="AC727" s="1226">
        <f t="shared" si="57"/>
        <v>0</v>
      </c>
      <c r="AD727" s="1227"/>
      <c r="AE727" s="1227"/>
      <c r="AF727" s="1227"/>
      <c r="AG727" s="1228"/>
      <c r="AH727" s="1257"/>
      <c r="AI727" s="1258"/>
      <c r="AJ727" s="1258"/>
      <c r="AK727" s="1258"/>
      <c r="AL727" s="1259"/>
      <c r="AM727" s="1223" t="str">
        <f t="shared" si="58"/>
        <v/>
      </c>
      <c r="AN727" s="1224"/>
      <c r="AO727" s="1225"/>
      <c r="AV727" s="43" t="str">
        <f t="shared" si="48"/>
        <v>N/A</v>
      </c>
      <c r="AY727" s="446">
        <f t="shared" si="59"/>
        <v>0</v>
      </c>
      <c r="AZ727" s="452">
        <f t="shared" si="60"/>
        <v>0</v>
      </c>
      <c r="BA727" s="453">
        <f t="shared" si="61"/>
        <v>0</v>
      </c>
      <c r="BB727" s="41"/>
      <c r="BC727" s="41"/>
      <c r="BD727" s="41"/>
      <c r="BE727" s="850">
        <f t="shared" si="62"/>
        <v>0</v>
      </c>
      <c r="BF727" s="854" t="str">
        <f t="shared" si="63"/>
        <v/>
      </c>
      <c r="BG727" s="855" t="str">
        <f t="shared" si="64"/>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5"/>
      <c r="C728" s="1336"/>
      <c r="D728" s="1336"/>
      <c r="E728" s="1336"/>
      <c r="F728" s="1337"/>
      <c r="G728" s="1263"/>
      <c r="H728" s="1264"/>
      <c r="I728" s="1264"/>
      <c r="J728" s="1265"/>
      <c r="K728" s="1250"/>
      <c r="L728" s="1251"/>
      <c r="M728" s="1251"/>
      <c r="N728" s="1252"/>
      <c r="O728" s="1253"/>
      <c r="P728" s="1254"/>
      <c r="Q728" s="1254"/>
      <c r="R728" s="1254"/>
      <c r="S728" s="1255"/>
      <c r="T728" s="1226">
        <f t="shared" si="56"/>
        <v>0</v>
      </c>
      <c r="U728" s="1227"/>
      <c r="V728" s="1227"/>
      <c r="W728" s="1227"/>
      <c r="X728" s="1228"/>
      <c r="Y728" s="1253"/>
      <c r="Z728" s="1254"/>
      <c r="AA728" s="1254"/>
      <c r="AB728" s="1255"/>
      <c r="AC728" s="1226">
        <f t="shared" si="57"/>
        <v>0</v>
      </c>
      <c r="AD728" s="1227"/>
      <c r="AE728" s="1227"/>
      <c r="AF728" s="1227"/>
      <c r="AG728" s="1228"/>
      <c r="AH728" s="1257"/>
      <c r="AI728" s="1258"/>
      <c r="AJ728" s="1258"/>
      <c r="AK728" s="1258"/>
      <c r="AL728" s="1259"/>
      <c r="AM728" s="1223" t="str">
        <f t="shared" si="58"/>
        <v/>
      </c>
      <c r="AN728" s="1224"/>
      <c r="AO728" s="1225"/>
      <c r="AV728" s="43" t="str">
        <f t="shared" si="48"/>
        <v>N/A</v>
      </c>
      <c r="AY728" s="446">
        <f t="shared" si="59"/>
        <v>0</v>
      </c>
      <c r="AZ728" s="452">
        <f>IF($AY$730=0,"",AY728/$AY$730)</f>
        <v>0</v>
      </c>
      <c r="BA728" s="453">
        <f t="shared" si="61"/>
        <v>0</v>
      </c>
      <c r="BB728" s="41"/>
      <c r="BC728" s="41"/>
      <c r="BD728" s="41"/>
      <c r="BE728" s="850">
        <f t="shared" si="62"/>
        <v>0</v>
      </c>
      <c r="BF728" s="854" t="str">
        <f t="shared" si="63"/>
        <v/>
      </c>
      <c r="BG728" s="855" t="str">
        <f t="shared" si="64"/>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5"/>
      <c r="C729" s="1336"/>
      <c r="D729" s="1336"/>
      <c r="E729" s="1336"/>
      <c r="F729" s="1337"/>
      <c r="G729" s="1263"/>
      <c r="H729" s="1264"/>
      <c r="I729" s="1264"/>
      <c r="J729" s="1265"/>
      <c r="K729" s="1250"/>
      <c r="L729" s="1251"/>
      <c r="M729" s="1251"/>
      <c r="N729" s="1252"/>
      <c r="O729" s="1253"/>
      <c r="P729" s="1254"/>
      <c r="Q729" s="1254"/>
      <c r="R729" s="1254"/>
      <c r="S729" s="1255"/>
      <c r="T729" s="1226">
        <f t="shared" si="46"/>
        <v>0</v>
      </c>
      <c r="U729" s="1227"/>
      <c r="V729" s="1227"/>
      <c r="W729" s="1227"/>
      <c r="X729" s="1228"/>
      <c r="Y729" s="1253"/>
      <c r="Z729" s="1254"/>
      <c r="AA729" s="1254"/>
      <c r="AB729" s="1255"/>
      <c r="AC729" s="1226">
        <f t="shared" si="47"/>
        <v>0</v>
      </c>
      <c r="AD729" s="1227"/>
      <c r="AE729" s="1227"/>
      <c r="AF729" s="1227"/>
      <c r="AG729" s="1228"/>
      <c r="AH729" s="1257"/>
      <c r="AI729" s="1258"/>
      <c r="AJ729" s="1258"/>
      <c r="AK729" s="1258"/>
      <c r="AL729" s="1259"/>
      <c r="AM729" s="1223" t="str">
        <f>IF($AH729&gt;0,($AC729/$AV729), "")</f>
        <v/>
      </c>
      <c r="AN729" s="1224"/>
      <c r="AO729" s="1225"/>
      <c r="AV729" s="43" t="str">
        <f t="shared" si="48"/>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4" t="s">
        <v>876</v>
      </c>
      <c r="C730" s="1185"/>
      <c r="D730" s="1185"/>
      <c r="E730" s="1185"/>
      <c r="F730" s="1186"/>
      <c r="G730" s="1503">
        <f>SUM(G695:J729)</f>
        <v>36</v>
      </c>
      <c r="H730" s="1504"/>
      <c r="I730" s="1504"/>
      <c r="J730" s="1505"/>
      <c r="O730" s="430" t="s">
        <v>875</v>
      </c>
      <c r="P730" s="168"/>
      <c r="Q730" s="168"/>
      <c r="R730" s="168"/>
      <c r="S730" s="841"/>
      <c r="T730" s="1226">
        <f>SUM(T695:X729)</f>
        <v>71131</v>
      </c>
      <c r="U730" s="1227"/>
      <c r="V730" s="1227"/>
      <c r="W730" s="1227"/>
      <c r="X730" s="1228"/>
      <c r="AC730" s="842" t="s">
        <v>1130</v>
      </c>
      <c r="AD730" s="843"/>
      <c r="AE730" s="843"/>
      <c r="AF730" s="843"/>
      <c r="AG730" s="844"/>
      <c r="AH730" s="1229">
        <f>BA730</f>
        <v>0.47499999999999998</v>
      </c>
      <c r="AI730" s="1230"/>
      <c r="AJ730" s="1230"/>
      <c r="AK730" s="1230"/>
      <c r="AL730" s="1231"/>
      <c r="AM730" s="1229">
        <f>IFERROR(BG730,0)</f>
        <v>0.47499432912501993</v>
      </c>
      <c r="AN730" s="1230"/>
      <c r="AO730" s="1231"/>
      <c r="AX730" s="62" t="s">
        <v>874</v>
      </c>
      <c r="AY730" s="454">
        <f>SUM(AY695:AY729)</f>
        <v>36</v>
      </c>
      <c r="AZ730" s="455">
        <f>SUM(AZ695:AZ729)</f>
        <v>1</v>
      </c>
      <c r="BA730" s="455">
        <f>SUM(BA695:BA729)</f>
        <v>0.47499999999999998</v>
      </c>
      <c r="BB730" s="41"/>
      <c r="BC730" s="41"/>
      <c r="BD730" s="41"/>
      <c r="BE730" s="851">
        <f>SUM(BE695:BE729)</f>
        <v>36</v>
      </c>
      <c r="BF730" s="852">
        <f>SUM(BF695:BF729)</f>
        <v>1</v>
      </c>
      <c r="BG730" s="852">
        <f>SUM(BG695:BG729)</f>
        <v>0.47499432912501993</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1" t="s">
        <v>2049</v>
      </c>
      <c r="D731" s="1471"/>
      <c r="E731" s="1471"/>
      <c r="F731" s="1471"/>
      <c r="G731" s="1471"/>
      <c r="H731" s="1471"/>
      <c r="I731" s="1471"/>
      <c r="J731" s="1471"/>
      <c r="K731" s="1471"/>
      <c r="L731" s="1471"/>
      <c r="M731" s="1471"/>
      <c r="N731" s="1471"/>
      <c r="O731" s="1471"/>
      <c r="P731" s="1471"/>
      <c r="Q731" s="1471"/>
      <c r="R731" s="1471"/>
      <c r="S731" s="1471"/>
      <c r="T731" s="1471"/>
      <c r="U731" s="1471"/>
      <c r="V731" s="1471"/>
      <c r="W731" s="1471"/>
      <c r="X731" s="1471"/>
      <c r="Y731" s="1471"/>
      <c r="Z731" s="1471"/>
      <c r="AA731" s="1471"/>
      <c r="AB731" s="1471"/>
      <c r="AC731" s="1471"/>
      <c r="AD731" s="1471"/>
      <c r="AE731" s="1471"/>
      <c r="AF731" s="1471"/>
      <c r="AG731" s="1471"/>
      <c r="AH731" s="1471"/>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1"/>
      <c r="D732" s="1471"/>
      <c r="E732" s="1471"/>
      <c r="F732" s="1471"/>
      <c r="G732" s="1471"/>
      <c r="H732" s="1471"/>
      <c r="I732" s="1471"/>
      <c r="J732" s="1471"/>
      <c r="K732" s="1471"/>
      <c r="L732" s="1471"/>
      <c r="M732" s="1471"/>
      <c r="N732" s="1471"/>
      <c r="O732" s="1471"/>
      <c r="P732" s="1471"/>
      <c r="Q732" s="1471"/>
      <c r="R732" s="1471"/>
      <c r="S732" s="1471"/>
      <c r="T732" s="1471"/>
      <c r="U732" s="1471"/>
      <c r="V732" s="1471"/>
      <c r="W732" s="1471"/>
      <c r="X732" s="1471"/>
      <c r="Y732" s="1471"/>
      <c r="Z732" s="1471"/>
      <c r="AA732" s="1471"/>
      <c r="AB732" s="1471"/>
      <c r="AC732" s="1471"/>
      <c r="AD732" s="1471"/>
      <c r="AE732" s="1471"/>
      <c r="AF732" s="1471"/>
      <c r="AG732" s="1471"/>
      <c r="AH732" s="1471"/>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2050</v>
      </c>
      <c r="D733" s="921"/>
      <c r="E733" s="921"/>
      <c r="F733" s="921"/>
      <c r="G733" s="922"/>
      <c r="H733" s="922"/>
      <c r="I733" s="922"/>
      <c r="J733" s="922"/>
      <c r="K733" s="921"/>
      <c r="L733" s="921"/>
      <c r="M733" s="921"/>
      <c r="N733" s="921"/>
      <c r="O733" s="1534">
        <f>CQ628</f>
        <v>63</v>
      </c>
      <c r="P733" s="1534"/>
      <c r="Q733" s="1534"/>
      <c r="R733" s="1534"/>
      <c r="S733" s="923"/>
      <c r="T733" s="923"/>
      <c r="U733" s="270" t="s">
        <v>2051</v>
      </c>
      <c r="V733" s="921"/>
      <c r="W733" s="921"/>
      <c r="X733" s="921"/>
      <c r="Y733" s="922"/>
      <c r="Z733" s="922"/>
      <c r="AA733" s="922"/>
      <c r="AB733" s="922"/>
      <c r="AC733" s="921"/>
      <c r="AD733" s="921"/>
      <c r="AE733" s="921"/>
      <c r="AF733" s="921"/>
      <c r="AG733" s="1500">
        <v>0</v>
      </c>
      <c r="AH733" s="1500"/>
      <c r="AI733" s="1500"/>
      <c r="AJ733" s="1500"/>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2048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123</v>
      </c>
      <c r="AA736" s="1256"/>
      <c r="AB736" s="1256"/>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2047</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1509</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1" t="s">
        <v>53</v>
      </c>
      <c r="K748" s="1242"/>
      <c r="L748" s="1242"/>
      <c r="M748" s="1242"/>
      <c r="N748" s="1243"/>
      <c r="O748" s="1507" t="s">
        <v>255</v>
      </c>
      <c r="P748" s="1507"/>
      <c r="Q748" s="1507"/>
      <c r="R748" s="1507"/>
      <c r="S748" s="1507"/>
      <c r="T748" s="1232" t="s">
        <v>1983</v>
      </c>
      <c r="U748" s="1233"/>
      <c r="V748" s="1233"/>
      <c r="W748" s="1234"/>
      <c r="X748" s="1241" t="s">
        <v>588</v>
      </c>
      <c r="Y748" s="1242"/>
      <c r="Z748" s="1242"/>
      <c r="AA748" s="1242"/>
      <c r="AB748" s="1243"/>
      <c r="AC748" s="1241" t="s">
        <v>256</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4"/>
      <c r="K749" s="1245"/>
      <c r="L749" s="1245"/>
      <c r="M749" s="1245"/>
      <c r="N749" s="1246"/>
      <c r="O749" s="1507"/>
      <c r="P749" s="1507"/>
      <c r="Q749" s="1507"/>
      <c r="R749" s="1507"/>
      <c r="S749" s="1507"/>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4"/>
      <c r="K750" s="1245"/>
      <c r="L750" s="1245"/>
      <c r="M750" s="1245"/>
      <c r="N750" s="1246"/>
      <c r="O750" s="1507"/>
      <c r="P750" s="1507"/>
      <c r="Q750" s="1507"/>
      <c r="R750" s="1507"/>
      <c r="S750" s="1507"/>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47"/>
      <c r="K751" s="1248"/>
      <c r="L751" s="1248"/>
      <c r="M751" s="1248"/>
      <c r="N751" s="1249"/>
      <c r="O751" s="1507"/>
      <c r="P751" s="1507"/>
      <c r="Q751" s="1507"/>
      <c r="R751" s="1507"/>
      <c r="S751" s="1507"/>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335" t="s">
        <v>780</v>
      </c>
      <c r="K752" s="1336"/>
      <c r="L752" s="1336"/>
      <c r="M752" s="1336"/>
      <c r="N752" s="1337"/>
      <c r="O752" s="1386">
        <v>1</v>
      </c>
      <c r="P752" s="1386"/>
      <c r="Q752" s="1386"/>
      <c r="R752" s="1386"/>
      <c r="S752" s="1386"/>
      <c r="T752" s="1250">
        <v>1080</v>
      </c>
      <c r="U752" s="1251"/>
      <c r="V752" s="1251"/>
      <c r="W752" s="1252"/>
      <c r="X752" s="1253">
        <v>0</v>
      </c>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5"/>
      <c r="K753" s="1336"/>
      <c r="L753" s="1336"/>
      <c r="M753" s="1336"/>
      <c r="N753" s="1337"/>
      <c r="O753" s="1386"/>
      <c r="P753" s="1386"/>
      <c r="Q753" s="1386"/>
      <c r="R753" s="1386"/>
      <c r="S753" s="1386"/>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5"/>
      <c r="K754" s="1336"/>
      <c r="L754" s="1336"/>
      <c r="M754" s="1336"/>
      <c r="N754" s="1337"/>
      <c r="O754" s="1386"/>
      <c r="P754" s="1386"/>
      <c r="Q754" s="1386"/>
      <c r="R754" s="1386"/>
      <c r="S754" s="1386"/>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5"/>
      <c r="K755" s="1336"/>
      <c r="L755" s="1336"/>
      <c r="M755" s="1336"/>
      <c r="N755" s="1337"/>
      <c r="O755" s="1386"/>
      <c r="P755" s="1386"/>
      <c r="Q755" s="1386"/>
      <c r="R755" s="1386"/>
      <c r="S755" s="1386"/>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4" t="s">
        <v>876</v>
      </c>
      <c r="K756" s="1185"/>
      <c r="L756" s="1185"/>
      <c r="M756" s="1185"/>
      <c r="N756" s="1186"/>
      <c r="O756" s="1273">
        <f>SUM(O752:S755)</f>
        <v>1</v>
      </c>
      <c r="P756" s="1274"/>
      <c r="Q756" s="1274"/>
      <c r="R756" s="1274"/>
      <c r="S756" s="1275"/>
      <c r="X756" s="1184" t="s">
        <v>875</v>
      </c>
      <c r="Y756" s="1185"/>
      <c r="Z756" s="1185"/>
      <c r="AA756" s="1185"/>
      <c r="AB756" s="1186"/>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3" t="s">
        <v>481</v>
      </c>
      <c r="K758" s="1103"/>
      <c r="L758" s="62"/>
      <c r="M758" s="420" t="s">
        <v>1256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1" t="s">
        <v>53</v>
      </c>
      <c r="K762" s="1242"/>
      <c r="L762" s="1242"/>
      <c r="M762" s="1242"/>
      <c r="N762" s="1243"/>
      <c r="O762" s="1507" t="s">
        <v>255</v>
      </c>
      <c r="P762" s="1507"/>
      <c r="Q762" s="1507"/>
      <c r="R762" s="1507"/>
      <c r="S762" s="1507"/>
      <c r="T762" s="1232" t="s">
        <v>1983</v>
      </c>
      <c r="U762" s="1233"/>
      <c r="V762" s="1233"/>
      <c r="W762" s="1234"/>
      <c r="X762" s="1241" t="s">
        <v>588</v>
      </c>
      <c r="Y762" s="1242"/>
      <c r="Z762" s="1242"/>
      <c r="AA762" s="1242"/>
      <c r="AB762" s="1243"/>
      <c r="AC762" s="1241" t="s">
        <v>256</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4"/>
      <c r="K763" s="1245"/>
      <c r="L763" s="1245"/>
      <c r="M763" s="1245"/>
      <c r="N763" s="1246"/>
      <c r="O763" s="1507"/>
      <c r="P763" s="1507"/>
      <c r="Q763" s="1507"/>
      <c r="R763" s="1507"/>
      <c r="S763" s="1507"/>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4"/>
      <c r="K764" s="1245"/>
      <c r="L764" s="1245"/>
      <c r="M764" s="1245"/>
      <c r="N764" s="1246"/>
      <c r="O764" s="1507"/>
      <c r="P764" s="1507"/>
      <c r="Q764" s="1507"/>
      <c r="R764" s="1507"/>
      <c r="S764" s="1507"/>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7"/>
      <c r="K765" s="1248"/>
      <c r="L765" s="1248"/>
      <c r="M765" s="1248"/>
      <c r="N765" s="1249"/>
      <c r="O765" s="1507"/>
      <c r="P765" s="1507"/>
      <c r="Q765" s="1507"/>
      <c r="R765" s="1507"/>
      <c r="S765" s="1507"/>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5"/>
      <c r="K766" s="1336"/>
      <c r="L766" s="1336"/>
      <c r="M766" s="1336"/>
      <c r="N766" s="1337"/>
      <c r="O766" s="1386"/>
      <c r="P766" s="1386"/>
      <c r="Q766" s="1386"/>
      <c r="R766" s="1386"/>
      <c r="S766" s="1386"/>
      <c r="T766" s="1250"/>
      <c r="U766" s="1251"/>
      <c r="V766" s="1251"/>
      <c r="W766" s="1252"/>
      <c r="X766" s="1253"/>
      <c r="Y766" s="1254"/>
      <c r="Z766" s="1254"/>
      <c r="AA766" s="1254"/>
      <c r="AB766" s="1255"/>
      <c r="AC766" s="1226">
        <f t="shared" ref="AC766:AC775" si="65">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5"/>
      <c r="K767" s="1336"/>
      <c r="L767" s="1336"/>
      <c r="M767" s="1336"/>
      <c r="N767" s="1337"/>
      <c r="O767" s="1386"/>
      <c r="P767" s="1386"/>
      <c r="Q767" s="1386"/>
      <c r="R767" s="1386"/>
      <c r="S767" s="1386"/>
      <c r="T767" s="1250"/>
      <c r="U767" s="1251"/>
      <c r="V767" s="1251"/>
      <c r="W767" s="1252"/>
      <c r="X767" s="1253"/>
      <c r="Y767" s="1254"/>
      <c r="Z767" s="1254"/>
      <c r="AA767" s="1254"/>
      <c r="AB767" s="1255"/>
      <c r="AC767" s="1226">
        <f t="shared" si="65"/>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5"/>
      <c r="K768" s="1336"/>
      <c r="L768" s="1336"/>
      <c r="M768" s="1336"/>
      <c r="N768" s="1337"/>
      <c r="O768" s="1386"/>
      <c r="P768" s="1386"/>
      <c r="Q768" s="1386"/>
      <c r="R768" s="1386"/>
      <c r="S768" s="1386"/>
      <c r="T768" s="1250"/>
      <c r="U768" s="1251"/>
      <c r="V768" s="1251"/>
      <c r="W768" s="1252"/>
      <c r="X768" s="1253"/>
      <c r="Y768" s="1254"/>
      <c r="Z768" s="1254"/>
      <c r="AA768" s="1254"/>
      <c r="AB768" s="1255"/>
      <c r="AC768" s="1226">
        <f t="shared" si="65"/>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5"/>
      <c r="K769" s="1336"/>
      <c r="L769" s="1336"/>
      <c r="M769" s="1336"/>
      <c r="N769" s="1337"/>
      <c r="O769" s="1386"/>
      <c r="P769" s="1386"/>
      <c r="Q769" s="1386"/>
      <c r="R769" s="1386"/>
      <c r="S769" s="1386"/>
      <c r="T769" s="1250"/>
      <c r="U769" s="1251"/>
      <c r="V769" s="1251"/>
      <c r="W769" s="1252"/>
      <c r="X769" s="1253"/>
      <c r="Y769" s="1254"/>
      <c r="Z769" s="1254"/>
      <c r="AA769" s="1254"/>
      <c r="AB769" s="1255"/>
      <c r="AC769" s="1226">
        <f t="shared" si="65"/>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5"/>
      <c r="K770" s="1336"/>
      <c r="L770" s="1336"/>
      <c r="M770" s="1336"/>
      <c r="N770" s="1337"/>
      <c r="O770" s="1386"/>
      <c r="P770" s="1386"/>
      <c r="Q770" s="1386"/>
      <c r="R770" s="1386"/>
      <c r="S770" s="1386"/>
      <c r="T770" s="1250"/>
      <c r="U770" s="1251"/>
      <c r="V770" s="1251"/>
      <c r="W770" s="1252"/>
      <c r="X770" s="1253"/>
      <c r="Y770" s="1254"/>
      <c r="Z770" s="1254"/>
      <c r="AA770" s="1254"/>
      <c r="AB770" s="1255"/>
      <c r="AC770" s="1226">
        <f t="shared" si="65"/>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5"/>
      <c r="K771" s="1336"/>
      <c r="L771" s="1336"/>
      <c r="M771" s="1336"/>
      <c r="N771" s="1337"/>
      <c r="O771" s="1386"/>
      <c r="P771" s="1386"/>
      <c r="Q771" s="1386"/>
      <c r="R771" s="1386"/>
      <c r="S771" s="1386"/>
      <c r="T771" s="1250"/>
      <c r="U771" s="1251"/>
      <c r="V771" s="1251"/>
      <c r="W771" s="1252"/>
      <c r="X771" s="1253"/>
      <c r="Y771" s="1254"/>
      <c r="Z771" s="1254"/>
      <c r="AA771" s="1254"/>
      <c r="AB771" s="1255"/>
      <c r="AC771" s="1226">
        <f t="shared" si="65"/>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5"/>
      <c r="K772" s="1336"/>
      <c r="L772" s="1336"/>
      <c r="M772" s="1336"/>
      <c r="N772" s="1337"/>
      <c r="O772" s="1386"/>
      <c r="P772" s="1386"/>
      <c r="Q772" s="1386"/>
      <c r="R772" s="1386"/>
      <c r="S772" s="1386"/>
      <c r="T772" s="1250"/>
      <c r="U772" s="1251"/>
      <c r="V772" s="1251"/>
      <c r="W772" s="1252"/>
      <c r="X772" s="1253"/>
      <c r="Y772" s="1254"/>
      <c r="Z772" s="1254"/>
      <c r="AA772" s="1254"/>
      <c r="AB772" s="1255"/>
      <c r="AC772" s="1226">
        <f t="shared" si="65"/>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5"/>
      <c r="K773" s="1336"/>
      <c r="L773" s="1336"/>
      <c r="M773" s="1336"/>
      <c r="N773" s="1337"/>
      <c r="O773" s="1386"/>
      <c r="P773" s="1386"/>
      <c r="Q773" s="1386"/>
      <c r="R773" s="1386"/>
      <c r="S773" s="1386"/>
      <c r="T773" s="1250"/>
      <c r="U773" s="1251"/>
      <c r="V773" s="1251"/>
      <c r="W773" s="1252"/>
      <c r="X773" s="1253"/>
      <c r="Y773" s="1254"/>
      <c r="Z773" s="1254"/>
      <c r="AA773" s="1254"/>
      <c r="AB773" s="1255"/>
      <c r="AC773" s="1226">
        <f t="shared" si="65"/>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5"/>
      <c r="K774" s="1336"/>
      <c r="L774" s="1336"/>
      <c r="M774" s="1336"/>
      <c r="N774" s="1337"/>
      <c r="O774" s="1386"/>
      <c r="P774" s="1386"/>
      <c r="Q774" s="1386"/>
      <c r="R774" s="1386"/>
      <c r="S774" s="1386"/>
      <c r="T774" s="1250"/>
      <c r="U774" s="1251"/>
      <c r="V774" s="1251"/>
      <c r="W774" s="1252"/>
      <c r="X774" s="1253"/>
      <c r="Y774" s="1254"/>
      <c r="Z774" s="1254"/>
      <c r="AA774" s="1254"/>
      <c r="AB774" s="1255"/>
      <c r="AC774" s="1226">
        <f t="shared" si="65"/>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5"/>
      <c r="K775" s="1336"/>
      <c r="L775" s="1336"/>
      <c r="M775" s="1336"/>
      <c r="N775" s="1337"/>
      <c r="O775" s="1386"/>
      <c r="P775" s="1386"/>
      <c r="Q775" s="1386"/>
      <c r="R775" s="1386"/>
      <c r="S775" s="1386"/>
      <c r="T775" s="1250"/>
      <c r="U775" s="1251"/>
      <c r="V775" s="1251"/>
      <c r="W775" s="1252"/>
      <c r="X775" s="1253"/>
      <c r="Y775" s="1254"/>
      <c r="Z775" s="1254"/>
      <c r="AA775" s="1254"/>
      <c r="AB775" s="1255"/>
      <c r="AC775" s="1226">
        <f t="shared" si="65"/>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4" t="s">
        <v>876</v>
      </c>
      <c r="K776" s="1185"/>
      <c r="L776" s="1185"/>
      <c r="M776" s="1185"/>
      <c r="N776" s="1186"/>
      <c r="O776" s="1534">
        <f>SUM(O766:S775)</f>
        <v>0</v>
      </c>
      <c r="P776" s="1534"/>
      <c r="Q776" s="1534"/>
      <c r="R776" s="1534"/>
      <c r="S776" s="1534"/>
      <c r="X776" s="430" t="s">
        <v>875</v>
      </c>
      <c r="Y776" s="168"/>
      <c r="Z776" s="168"/>
      <c r="AA776" s="168"/>
      <c r="AB776" s="841"/>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7">
        <f>T730+AC756+AC776</f>
        <v>71131</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7">
        <f>(T730+AC756+AC776)*12</f>
        <v>853572</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501">
        <v>18</v>
      </c>
      <c r="AA785" s="1384"/>
      <c r="AB785" s="1384"/>
      <c r="AC785" s="1384"/>
      <c r="AD785" s="1384"/>
      <c r="AE785" s="138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3">
        <v>20</v>
      </c>
      <c r="AA786" s="1384"/>
      <c r="AB786" s="1384"/>
      <c r="AC786" s="1384"/>
      <c r="AD786" s="1384"/>
      <c r="AE786" s="138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80">
        <f>DATE(2025,3,31)+365*20</f>
        <v>53047</v>
      </c>
      <c r="AA787" s="1381"/>
      <c r="AB787" s="1381"/>
      <c r="AC787" s="1381"/>
      <c r="AD787" s="1381"/>
      <c r="AE787" s="13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8">
        <f>'Subsidy Contract Calculation'!I40</f>
        <v>370872</v>
      </c>
      <c r="AA788" s="1509"/>
      <c r="AB788" s="1509"/>
      <c r="AC788" s="1509"/>
      <c r="AD788" s="1509"/>
      <c r="AE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1">
        <v>2200</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1">
        <v>0</v>
      </c>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1">
        <v>0</v>
      </c>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079" t="s">
        <v>123</v>
      </c>
      <c r="Q795" s="1206"/>
      <c r="R795" s="1206"/>
      <c r="S795" s="1206"/>
      <c r="T795" s="1206"/>
      <c r="U795" s="1206"/>
      <c r="V795" s="1206"/>
      <c r="W795" s="1206"/>
      <c r="X795" s="1206"/>
      <c r="Y795" s="1207"/>
      <c r="Z795" s="1201">
        <v>0</v>
      </c>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5">
        <f>SUM(Z792:AE795)</f>
        <v>2200</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5">
        <f>Z796+Y780+Z788</f>
        <v>1226644</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3" t="s">
        <v>877</v>
      </c>
      <c r="N802" s="1553"/>
      <c r="O802" s="1553"/>
      <c r="P802" s="1554"/>
      <c r="Q802" s="1502" t="s">
        <v>262</v>
      </c>
      <c r="R802" s="1502"/>
      <c r="S802" s="1502"/>
      <c r="T802" s="1502"/>
      <c r="U802" s="1502" t="s">
        <v>263</v>
      </c>
      <c r="V802" s="1502"/>
      <c r="W802" s="1502"/>
      <c r="X802" s="1502"/>
      <c r="Y802" s="1502" t="s">
        <v>264</v>
      </c>
      <c r="Z802" s="1502"/>
      <c r="AA802" s="1502"/>
      <c r="AB802" s="1502"/>
      <c r="AC802" s="1502" t="s">
        <v>31</v>
      </c>
      <c r="AD802" s="1502"/>
      <c r="AE802" s="1502"/>
      <c r="AF802" s="1502"/>
      <c r="AG802" s="1506" t="s">
        <v>562</v>
      </c>
      <c r="AH802" s="1506"/>
      <c r="AI802" s="1506"/>
      <c r="AJ802" s="15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7"/>
      <c r="N803" s="1547"/>
      <c r="O803" s="1547"/>
      <c r="P803" s="1548"/>
      <c r="Q803" s="1502"/>
      <c r="R803" s="1502"/>
      <c r="S803" s="1502"/>
      <c r="T803" s="1502"/>
      <c r="U803" s="1502"/>
      <c r="V803" s="1502"/>
      <c r="W803" s="1502"/>
      <c r="X803" s="1502"/>
      <c r="Y803" s="1502"/>
      <c r="Z803" s="1502"/>
      <c r="AA803" s="1502"/>
      <c r="AB803" s="1502"/>
      <c r="AC803" s="1502"/>
      <c r="AD803" s="1502"/>
      <c r="AE803" s="1502"/>
      <c r="AF803" s="1502"/>
      <c r="AG803" s="1506"/>
      <c r="AH803" s="1506"/>
      <c r="AI803" s="1506"/>
      <c r="AJ803" s="15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8" t="s">
        <v>693</v>
      </c>
      <c r="D804" s="1262"/>
      <c r="E804" s="1262"/>
      <c r="F804" s="1262"/>
      <c r="G804" s="1262"/>
      <c r="H804" s="1262"/>
      <c r="I804" s="54"/>
      <c r="J804" s="54"/>
      <c r="K804" s="54"/>
      <c r="L804" s="55"/>
      <c r="M804" s="1066"/>
      <c r="N804" s="1066"/>
      <c r="O804" s="1066"/>
      <c r="P804" s="1066"/>
      <c r="Q804" s="1066">
        <v>32</v>
      </c>
      <c r="R804" s="1066"/>
      <c r="S804" s="1066"/>
      <c r="T804" s="1066"/>
      <c r="U804" s="1066">
        <v>41</v>
      </c>
      <c r="V804" s="1066"/>
      <c r="W804" s="1066"/>
      <c r="X804" s="1066"/>
      <c r="Y804" s="1066">
        <v>50</v>
      </c>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2" t="s">
        <v>694</v>
      </c>
      <c r="D805" s="1341"/>
      <c r="E805" s="1341"/>
      <c r="F805" s="1341"/>
      <c r="G805" s="1341"/>
      <c r="H805" s="1341"/>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2" t="s">
        <v>70</v>
      </c>
      <c r="D806" s="1341"/>
      <c r="E806" s="1341"/>
      <c r="F806" s="1341"/>
      <c r="G806" s="1341"/>
      <c r="H806" s="1341"/>
      <c r="I806" s="66"/>
      <c r="J806" s="66"/>
      <c r="K806" s="66"/>
      <c r="L806" s="67"/>
      <c r="M806" s="1066"/>
      <c r="N806" s="1066"/>
      <c r="O806" s="1066"/>
      <c r="P806" s="1066"/>
      <c r="Q806" s="1066">
        <v>13</v>
      </c>
      <c r="R806" s="1066"/>
      <c r="S806" s="1066"/>
      <c r="T806" s="1066"/>
      <c r="U806" s="1066">
        <v>19</v>
      </c>
      <c r="V806" s="1066"/>
      <c r="W806" s="1066"/>
      <c r="X806" s="1066"/>
      <c r="Y806" s="1066">
        <v>25</v>
      </c>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2" t="s">
        <v>177</v>
      </c>
      <c r="D807" s="1341"/>
      <c r="E807" s="1341"/>
      <c r="F807" s="1341"/>
      <c r="G807" s="1341"/>
      <c r="H807" s="1341"/>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2" t="s">
        <v>789</v>
      </c>
      <c r="D808" s="1341"/>
      <c r="E808" s="1341"/>
      <c r="F808" s="1341"/>
      <c r="G808" s="1341"/>
      <c r="H808" s="1341"/>
      <c r="I808" s="66"/>
      <c r="J808" s="66"/>
      <c r="K808" s="66"/>
      <c r="L808" s="67"/>
      <c r="M808" s="1066"/>
      <c r="N808" s="1066"/>
      <c r="O808" s="1066"/>
      <c r="P808" s="1066"/>
      <c r="Q808" s="1066">
        <v>44</v>
      </c>
      <c r="R808" s="1066"/>
      <c r="S808" s="1066"/>
      <c r="T808" s="1066"/>
      <c r="U808" s="1066">
        <v>65</v>
      </c>
      <c r="V808" s="1066"/>
      <c r="W808" s="1066"/>
      <c r="X808" s="1066"/>
      <c r="Y808" s="1066">
        <v>90</v>
      </c>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942</v>
      </c>
      <c r="D809" s="1341"/>
      <c r="E809" s="1341"/>
      <c r="F809" s="1341"/>
      <c r="G809" s="1341"/>
      <c r="H809" s="1341"/>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079" t="s">
        <v>2414</v>
      </c>
      <c r="G810" s="1206"/>
      <c r="H810" s="1206"/>
      <c r="I810" s="1206"/>
      <c r="J810" s="1206"/>
      <c r="K810" s="1206"/>
      <c r="L810" s="1206"/>
      <c r="M810" s="1066"/>
      <c r="N810" s="1066"/>
      <c r="O810" s="1066"/>
      <c r="P810" s="1066"/>
      <c r="Q810" s="1066">
        <v>6</v>
      </c>
      <c r="R810" s="1066"/>
      <c r="S810" s="1066"/>
      <c r="T810" s="1066"/>
      <c r="U810" s="1066">
        <v>8</v>
      </c>
      <c r="V810" s="1066"/>
      <c r="W810" s="1066"/>
      <c r="X810" s="1066"/>
      <c r="Y810" s="1066">
        <v>11</v>
      </c>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4" t="s">
        <v>875</v>
      </c>
      <c r="D811" s="1185"/>
      <c r="E811" s="1185"/>
      <c r="F811" s="1185"/>
      <c r="G811" s="1185"/>
      <c r="H811" s="1185"/>
      <c r="I811" s="1185"/>
      <c r="J811" s="1185"/>
      <c r="K811" s="1185"/>
      <c r="L811" s="1186"/>
      <c r="M811" s="1204">
        <f>SUM(M804:P810)</f>
        <v>0</v>
      </c>
      <c r="N811" s="1204"/>
      <c r="O811" s="1204"/>
      <c r="P811" s="1204"/>
      <c r="Q811" s="1204">
        <f>SUM(Q804:T810)</f>
        <v>95</v>
      </c>
      <c r="R811" s="1204"/>
      <c r="S811" s="1204"/>
      <c r="T811" s="1204"/>
      <c r="U811" s="1204">
        <f>SUM(U804:X810)</f>
        <v>133</v>
      </c>
      <c r="V811" s="1204"/>
      <c r="W811" s="1204"/>
      <c r="X811" s="1204"/>
      <c r="Y811" s="1204">
        <f>SUM(Y804:AB810)</f>
        <v>176</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8" t="s">
        <v>2415</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2298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5" t="s">
        <v>367</v>
      </c>
      <c r="BB819" s="15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4">
        <v>4200</v>
      </c>
      <c r="X821" s="1214"/>
      <c r="Y821" s="1214"/>
      <c r="Z821" s="1214"/>
      <c r="AA821" s="1214"/>
      <c r="AB821" s="1214"/>
      <c r="AC821" s="1214"/>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4">
        <v>6500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4">
        <v>15000</v>
      </c>
      <c r="X823" s="1214"/>
      <c r="Y823" s="1214"/>
      <c r="Z823" s="1214"/>
      <c r="AA823" s="1214"/>
      <c r="AB823" s="1214"/>
      <c r="AC823" s="1214"/>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4">
        <v>25000</v>
      </c>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205" t="s">
        <v>2416</v>
      </c>
      <c r="N825" s="1206"/>
      <c r="O825" s="1206"/>
      <c r="P825" s="1206"/>
      <c r="Q825" s="1206"/>
      <c r="R825" s="1206"/>
      <c r="S825" s="1206"/>
      <c r="T825" s="1206"/>
      <c r="U825" s="1206"/>
      <c r="V825" s="1207"/>
      <c r="W825" s="1214">
        <f>15000+1500</f>
        <v>16500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2" t="str">
        <f>T189</f>
        <v>San Mateo</v>
      </c>
      <c r="BP825" s="1523"/>
      <c r="BQ825" s="1523"/>
      <c r="BR825" s="1523"/>
      <c r="BS825" s="1523"/>
      <c r="BT825" s="1523"/>
      <c r="BU825" s="15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5">
        <f>SUM(W821:AC825)</f>
        <v>67200</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4" t="s">
        <v>468</v>
      </c>
      <c r="K828" s="1185"/>
      <c r="L828" s="1185"/>
      <c r="M828" s="1185"/>
      <c r="N828" s="1185"/>
      <c r="O828" s="1185"/>
      <c r="P828" s="1185"/>
      <c r="Q828" s="1185"/>
      <c r="R828" s="1185"/>
      <c r="S828" s="1185"/>
      <c r="T828" s="1185"/>
      <c r="U828" s="1185"/>
      <c r="V828" s="1186"/>
      <c r="W828" s="1201">
        <v>34188</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2296</v>
      </c>
      <c r="BE829" s="40"/>
      <c r="BF829" s="40"/>
      <c r="BG829" s="40"/>
      <c r="BH829" s="21"/>
      <c r="BI829" s="39" t="s">
        <v>2297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4">
        <v>0</v>
      </c>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4">
        <v>0</v>
      </c>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4">
        <v>19500</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4">
        <v>35772</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55272</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8">
        <f>99840*55%</f>
        <v>54912.000000000007</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1923</v>
      </c>
      <c r="K837" s="9"/>
      <c r="L837" s="9"/>
      <c r="M837" s="9"/>
      <c r="N837" s="9"/>
      <c r="O837" s="9"/>
      <c r="P837" s="9"/>
      <c r="Q837" s="9"/>
      <c r="R837" s="9"/>
      <c r="S837" s="9"/>
      <c r="T837" s="1063">
        <v>1</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08">
        <f>99840*45%</f>
        <v>44928</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1924</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205" t="s">
        <v>2417</v>
      </c>
      <c r="N840" s="1206"/>
      <c r="O840" s="1206"/>
      <c r="P840" s="1206"/>
      <c r="Q840" s="1206"/>
      <c r="R840" s="1206"/>
      <c r="S840" s="1206"/>
      <c r="T840" s="1206"/>
      <c r="U840" s="1206"/>
      <c r="V840" s="1207"/>
      <c r="W840" s="1208">
        <v>43066</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6">
        <f>SUM(W836:AC840)</f>
        <v>142906</v>
      </c>
      <c r="X841" s="1557"/>
      <c r="Y841" s="1557"/>
      <c r="Z841" s="1557"/>
      <c r="AA841" s="1557"/>
      <c r="AB841" s="1557"/>
      <c r="AC841" s="1558"/>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25848</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4">
        <v>3500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4">
        <v>15672</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4">
        <v>16613</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4">
        <v>6000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4">
        <v>16850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4">
        <v>13000</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205" t="s">
        <v>2418</v>
      </c>
      <c r="N850" s="1206"/>
      <c r="O850" s="1206"/>
      <c r="P850" s="1206"/>
      <c r="Q850" s="1206"/>
      <c r="R850" s="1206"/>
      <c r="S850" s="1206"/>
      <c r="T850" s="1206"/>
      <c r="U850" s="1206"/>
      <c r="V850" s="1207"/>
      <c r="W850" s="1214">
        <v>3500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75135</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1857</v>
      </c>
      <c r="D853"/>
      <c r="E853"/>
      <c r="F853"/>
      <c r="G853"/>
      <c r="H853"/>
      <c r="I853"/>
      <c r="J853" s="8" t="s">
        <v>282</v>
      </c>
      <c r="K853" s="9"/>
      <c r="L853" s="9"/>
      <c r="M853" s="1205" t="s">
        <v>2419</v>
      </c>
      <c r="N853" s="1206"/>
      <c r="O853" s="1206"/>
      <c r="P853" s="1206"/>
      <c r="Q853" s="1206"/>
      <c r="R853" s="1206"/>
      <c r="S853" s="1206"/>
      <c r="T853" s="1206"/>
      <c r="U853" s="1206"/>
      <c r="V853" s="1207"/>
      <c r="W853" s="1201">
        <v>800</v>
      </c>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1858</v>
      </c>
      <c r="D854"/>
      <c r="E854"/>
      <c r="F854"/>
      <c r="G854"/>
      <c r="H854"/>
      <c r="I854"/>
      <c r="J854" s="8" t="s">
        <v>282</v>
      </c>
      <c r="K854" s="9"/>
      <c r="L854" s="9"/>
      <c r="M854" s="1205" t="s">
        <v>561</v>
      </c>
      <c r="N854" s="1206"/>
      <c r="O854" s="1206"/>
      <c r="P854" s="1206"/>
      <c r="Q854" s="1206"/>
      <c r="R854" s="1206"/>
      <c r="S854" s="1206"/>
      <c r="T854" s="1206"/>
      <c r="U854" s="1206"/>
      <c r="V854" s="1207"/>
      <c r="W854" s="1201"/>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05" t="s">
        <v>561</v>
      </c>
      <c r="N855" s="1206"/>
      <c r="O855" s="1206"/>
      <c r="P855" s="1206"/>
      <c r="Q855" s="1206"/>
      <c r="R855" s="1206"/>
      <c r="S855" s="1206"/>
      <c r="T855" s="1206"/>
      <c r="U855" s="1206"/>
      <c r="V855" s="1207"/>
      <c r="W855" s="1201"/>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05" t="s">
        <v>561</v>
      </c>
      <c r="N856" s="1206"/>
      <c r="O856" s="1206"/>
      <c r="P856" s="1206"/>
      <c r="Q856" s="1206"/>
      <c r="R856" s="1206"/>
      <c r="S856" s="1206"/>
      <c r="T856" s="1206"/>
      <c r="U856" s="1206"/>
      <c r="V856" s="1207"/>
      <c r="W856" s="1201"/>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05" t="s">
        <v>561</v>
      </c>
      <c r="N857" s="1206"/>
      <c r="O857" s="1206"/>
      <c r="P857" s="1206"/>
      <c r="Q857" s="1206"/>
      <c r="R857" s="1206"/>
      <c r="S857" s="1206"/>
      <c r="T857" s="1206"/>
      <c r="U857" s="1206"/>
      <c r="V857" s="1207"/>
      <c r="W857" s="1201"/>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5">
        <f>SUM(W853:AC857)</f>
        <v>800</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401349</v>
      </c>
      <c r="AD862" s="1196"/>
      <c r="AE862" s="1196"/>
      <c r="AF862" s="1196"/>
      <c r="AG862" s="1196"/>
      <c r="AH862" s="1197"/>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0">
        <f>O776+O756+G730</f>
        <v>37</v>
      </c>
      <c r="AD863" s="1191"/>
      <c r="AE863" s="1191"/>
      <c r="AF863" s="1191"/>
      <c r="AG863" s="1191"/>
      <c r="AH863" s="1192"/>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7" t="s">
        <v>345</v>
      </c>
      <c r="F864" s="1498"/>
      <c r="G864" s="1498"/>
      <c r="H864" s="1498"/>
      <c r="I864" s="1498"/>
      <c r="J864" s="1498"/>
      <c r="K864" s="1498"/>
      <c r="L864" s="1498"/>
      <c r="M864" s="1498"/>
      <c r="N864" s="1498"/>
      <c r="O864" s="1498"/>
      <c r="P864" s="1498"/>
      <c r="Q864" s="1498"/>
      <c r="R864" s="1498"/>
      <c r="S864" s="1498"/>
      <c r="T864" s="1498"/>
      <c r="U864" s="1498"/>
      <c r="V864" s="1498"/>
      <c r="W864" s="1498"/>
      <c r="X864" s="1498"/>
      <c r="Y864" s="1498"/>
      <c r="Z864" s="1498"/>
      <c r="AA864" s="1498"/>
      <c r="AB864" s="1499"/>
      <c r="AC864" s="1215">
        <f>IF(ISERROR((ROUNDDOWN(AC862/AC863,0))),0,(ROUNDDOWN(AC862/AC863,0)))</f>
        <v>10847</v>
      </c>
      <c r="AD864" s="1216"/>
      <c r="AE864" s="1216"/>
      <c r="AF864" s="1216"/>
      <c r="AG864" s="1216"/>
      <c r="AH864" s="1216"/>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2">
        <f>540088/2</f>
        <v>270044</v>
      </c>
      <c r="AD865" s="1222"/>
      <c r="AE865" s="1222"/>
      <c r="AF865" s="1222"/>
      <c r="AG865" s="1222"/>
      <c r="AH865" s="122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1670</v>
      </c>
      <c r="AC866" s="1203">
        <v>0</v>
      </c>
      <c r="AD866" s="1214"/>
      <c r="AE866" s="1214"/>
      <c r="AF866" s="1214"/>
      <c r="AG866" s="1214"/>
      <c r="AH866" s="1214"/>
      <c r="AI866"/>
      <c r="AJ866"/>
      <c r="AK866"/>
      <c r="AL866"/>
      <c r="AM866" s="38"/>
      <c r="AN866" s="38"/>
      <c r="AV866" s="1496"/>
      <c r="AW866" s="1496"/>
      <c r="AX866" s="1496"/>
      <c r="AY866" s="149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1">
        <v>83700</v>
      </c>
      <c r="AD867" s="1202"/>
      <c r="AE867" s="1202"/>
      <c r="AF867" s="1202"/>
      <c r="AG867" s="1202"/>
      <c r="AH867" s="1203"/>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1">
        <f>250*37</f>
        <v>9250</v>
      </c>
      <c r="AD868" s="1202"/>
      <c r="AE868" s="1202"/>
      <c r="AF868" s="1202"/>
      <c r="AG868" s="1202"/>
      <c r="AH868" s="1203"/>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1926</v>
      </c>
      <c r="AC869" s="1201">
        <f>250*37</f>
        <v>9250</v>
      </c>
      <c r="AD869" s="1202"/>
      <c r="AE869" s="1202"/>
      <c r="AF869" s="1202"/>
      <c r="AG869" s="1202"/>
      <c r="AH869" s="1203"/>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1">
        <v>10473</v>
      </c>
      <c r="AD870" s="1202"/>
      <c r="AE870" s="1202"/>
      <c r="AF870" s="1202"/>
      <c r="AG870" s="1202"/>
      <c r="AH870" s="1203"/>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1925</v>
      </c>
      <c r="AC871" s="1455"/>
      <c r="AD871" s="1214"/>
      <c r="AE871" s="1214"/>
      <c r="AF871" s="1214"/>
      <c r="AG871" s="1214"/>
      <c r="AH871" s="1214"/>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8" t="s">
        <v>1200</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214"/>
      <c r="AD872" s="1214"/>
      <c r="AE872" s="1214"/>
      <c r="AF872" s="1214"/>
      <c r="AG872" s="1214"/>
      <c r="AH872" s="1214"/>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8" t="s">
        <v>1200</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214"/>
      <c r="AD873" s="1214"/>
      <c r="AE873" s="1214"/>
      <c r="AF873" s="1214"/>
      <c r="AG873" s="1214"/>
      <c r="AH873" s="1214"/>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9"/>
      <c r="AO875" s="1549"/>
      <c r="AP875" s="1496"/>
      <c r="AQ875" s="1496"/>
      <c r="AR875" s="1496"/>
      <c r="AS875" s="149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6"/>
      <c r="AQ876" s="1496"/>
      <c r="AR876" s="1496"/>
      <c r="AS876" s="149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1">
        <v>0</v>
      </c>
      <c r="AA877" s="1202"/>
      <c r="AB877" s="1202"/>
      <c r="AC877" s="1202"/>
      <c r="AD877" s="1202"/>
      <c r="AE877" s="1203"/>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1">
        <v>0</v>
      </c>
      <c r="AA878" s="1202"/>
      <c r="AB878" s="1202"/>
      <c r="AC878" s="1202"/>
      <c r="AD878" s="1202"/>
      <c r="AE878" s="1203"/>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1">
        <v>0</v>
      </c>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127</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0" t="s">
        <v>960</v>
      </c>
      <c r="G892" s="1551"/>
      <c r="H892" s="1551"/>
      <c r="I892" s="1551"/>
      <c r="J892" s="1551"/>
      <c r="K892" s="1551"/>
      <c r="L892" s="1551"/>
      <c r="M892" s="1551"/>
      <c r="N892" s="1551"/>
      <c r="O892" s="1551"/>
      <c r="P892" s="1551"/>
      <c r="Q892" s="1551"/>
      <c r="R892" s="1551"/>
      <c r="S892" s="1551"/>
      <c r="T892" s="1552"/>
      <c r="U892" s="1555" t="s">
        <v>344</v>
      </c>
      <c r="V892" s="1553"/>
      <c r="W892" s="1553"/>
      <c r="X892" s="1553"/>
      <c r="Y892" s="1553"/>
      <c r="Z892" s="155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3" t="s">
        <v>1038</v>
      </c>
      <c r="G893" s="1544"/>
      <c r="H893" s="1544"/>
      <c r="I893" s="1544"/>
      <c r="J893" s="1544"/>
      <c r="K893" s="1544"/>
      <c r="L893" s="1544"/>
      <c r="M893" s="1544"/>
      <c r="N893" s="1544"/>
      <c r="O893" s="1544"/>
      <c r="P893" s="1544"/>
      <c r="Q893" s="1544"/>
      <c r="R893" s="1544"/>
      <c r="S893" s="1544"/>
      <c r="T893" s="1545"/>
      <c r="U893" s="1543"/>
      <c r="V893" s="1544"/>
      <c r="W893" s="1544"/>
      <c r="X893" s="1544"/>
      <c r="Y893" s="1544"/>
      <c r="Z893" s="154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6"/>
      <c r="G894" s="1547"/>
      <c r="H894" s="1547"/>
      <c r="I894" s="1547"/>
      <c r="J894" s="1547"/>
      <c r="K894" s="1547"/>
      <c r="L894" s="1547"/>
      <c r="M894" s="1547"/>
      <c r="N894" s="1547"/>
      <c r="O894" s="1547"/>
      <c r="P894" s="1547"/>
      <c r="Q894" s="1547"/>
      <c r="R894" s="1547"/>
      <c r="S894" s="1547"/>
      <c r="T894" s="1548"/>
      <c r="U894" s="1546"/>
      <c r="V894" s="1547"/>
      <c r="W894" s="1547"/>
      <c r="X894" s="1547"/>
      <c r="Y894" s="1547"/>
      <c r="Z894" s="1547"/>
      <c r="AA894" s="198"/>
      <c r="AB894" s="1193" t="s">
        <v>55</v>
      </c>
      <c r="AC894" s="1193"/>
      <c r="AD894" s="1193"/>
      <c r="AE894" s="119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157</v>
      </c>
      <c r="G895" s="1055"/>
      <c r="H895" s="1055"/>
      <c r="I895" s="1055"/>
      <c r="J895" s="1055"/>
      <c r="K895" s="1055"/>
      <c r="L895" s="1055"/>
      <c r="M895" s="1055"/>
      <c r="N895" s="1055"/>
      <c r="O895" s="1055"/>
      <c r="P895" s="1055"/>
      <c r="Q895" s="1055"/>
      <c r="R895" s="1055"/>
      <c r="S895" s="1055"/>
      <c r="T895" s="1056"/>
      <c r="U895" s="1057" t="s">
        <v>123</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159</v>
      </c>
      <c r="G896" s="1055"/>
      <c r="H896" s="1055"/>
      <c r="I896" s="1055"/>
      <c r="J896" s="1055"/>
      <c r="K896" s="1055"/>
      <c r="L896" s="1055"/>
      <c r="M896" s="1055"/>
      <c r="N896" s="1055"/>
      <c r="O896" s="1055"/>
      <c r="P896" s="1055"/>
      <c r="Q896" s="1055"/>
      <c r="R896" s="1055"/>
      <c r="S896" s="1055"/>
      <c r="T896" s="1056"/>
      <c r="U896" s="1057" t="s">
        <v>123</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945</v>
      </c>
      <c r="G897" s="1074"/>
      <c r="H897" s="1074"/>
      <c r="I897" s="1074"/>
      <c r="J897" s="1074"/>
      <c r="K897" s="1074"/>
      <c r="L897" s="1074"/>
      <c r="M897" s="1074"/>
      <c r="N897" s="1074"/>
      <c r="O897" s="1074"/>
      <c r="P897" s="1074"/>
      <c r="Q897" s="1074"/>
      <c r="R897" s="1074"/>
      <c r="S897" s="1074"/>
      <c r="T897" s="1075"/>
      <c r="U897" s="1057" t="s">
        <v>123</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946</v>
      </c>
      <c r="G898" s="1074"/>
      <c r="H898" s="1074"/>
      <c r="I898" s="1074"/>
      <c r="J898" s="1074"/>
      <c r="K898" s="1074"/>
      <c r="L898" s="1074"/>
      <c r="M898" s="1074"/>
      <c r="N898" s="1074"/>
      <c r="O898" s="1074"/>
      <c r="P898" s="1074"/>
      <c r="Q898" s="1074"/>
      <c r="R898" s="1074"/>
      <c r="S898" s="1074"/>
      <c r="T898" s="1075"/>
      <c r="U898" s="1057" t="s">
        <v>123</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947</v>
      </c>
      <c r="G899" s="1074"/>
      <c r="H899" s="1074"/>
      <c r="I899" s="1074"/>
      <c r="J899" s="1074"/>
      <c r="K899" s="1074"/>
      <c r="L899" s="1074"/>
      <c r="M899" s="1074"/>
      <c r="N899" s="1074"/>
      <c r="O899" s="1074"/>
      <c r="P899" s="1074"/>
      <c r="Q899" s="1074"/>
      <c r="R899" s="1074"/>
      <c r="S899" s="1074"/>
      <c r="T899" s="1075"/>
      <c r="U899" s="1057" t="s">
        <v>123</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158</v>
      </c>
      <c r="G900" s="1055"/>
      <c r="H900" s="1055"/>
      <c r="I900" s="1055"/>
      <c r="J900" s="1055"/>
      <c r="K900" s="1055"/>
      <c r="L900" s="1055"/>
      <c r="M900" s="1055"/>
      <c r="N900" s="1055"/>
      <c r="O900" s="1055"/>
      <c r="P900" s="1055"/>
      <c r="Q900" s="1055"/>
      <c r="R900" s="1055"/>
      <c r="S900" s="1055"/>
      <c r="T900" s="1056"/>
      <c r="U900" s="1057" t="s">
        <v>123</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2275</v>
      </c>
      <c r="G901" s="1055"/>
      <c r="H901" s="1055"/>
      <c r="I901" s="1055"/>
      <c r="J901" s="1055"/>
      <c r="K901" s="1055"/>
      <c r="L901" s="1055"/>
      <c r="M901" s="1055"/>
      <c r="N901" s="1055"/>
      <c r="O901" s="1055"/>
      <c r="P901" s="1055"/>
      <c r="Q901" s="1055"/>
      <c r="R901" s="1055"/>
      <c r="S901" s="1055"/>
      <c r="T901" s="1056"/>
      <c r="U901" s="1057" t="s">
        <v>123</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160</v>
      </c>
      <c r="G902" s="1055"/>
      <c r="H902" s="1055"/>
      <c r="I902" s="1055"/>
      <c r="J902" s="1055"/>
      <c r="K902" s="1055"/>
      <c r="L902" s="1055"/>
      <c r="M902" s="1055"/>
      <c r="N902" s="1055"/>
      <c r="O902" s="1055"/>
      <c r="P902" s="1055"/>
      <c r="Q902" s="1055"/>
      <c r="R902" s="1055"/>
      <c r="S902" s="1055"/>
      <c r="T902" s="1056"/>
      <c r="U902" s="1057" t="s">
        <v>123</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2272</v>
      </c>
      <c r="G903" s="1055"/>
      <c r="H903" s="1055"/>
      <c r="I903" s="1055"/>
      <c r="J903" s="1055"/>
      <c r="K903" s="1055"/>
      <c r="L903" s="1055"/>
      <c r="M903" s="1055"/>
      <c r="N903" s="1055"/>
      <c r="O903" s="1055"/>
      <c r="P903" s="1055"/>
      <c r="Q903" s="1055"/>
      <c r="R903" s="1055"/>
      <c r="S903" s="1055"/>
      <c r="T903" s="1056"/>
      <c r="U903" s="1057" t="s">
        <v>123</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2273</v>
      </c>
      <c r="G904" s="1055"/>
      <c r="H904" s="1055"/>
      <c r="I904" s="1055"/>
      <c r="J904" s="1055"/>
      <c r="K904" s="1055"/>
      <c r="L904" s="1055"/>
      <c r="M904" s="1055"/>
      <c r="N904" s="1055"/>
      <c r="O904" s="1055"/>
      <c r="P904" s="1055"/>
      <c r="Q904" s="1055"/>
      <c r="R904" s="1055"/>
      <c r="S904" s="1055"/>
      <c r="T904" s="1056"/>
      <c r="U904" s="1057" t="s">
        <v>123</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2274</v>
      </c>
      <c r="G905" s="1055"/>
      <c r="H905" s="1055"/>
      <c r="I905" s="1055"/>
      <c r="J905" s="1055"/>
      <c r="K905" s="1055"/>
      <c r="L905" s="1055"/>
      <c r="M905" s="1055"/>
      <c r="N905" s="1055"/>
      <c r="O905" s="1055"/>
      <c r="P905" s="1055"/>
      <c r="Q905" s="1055"/>
      <c r="R905" s="1055"/>
      <c r="S905" s="1055"/>
      <c r="T905" s="1056"/>
      <c r="U905" s="1057" t="s">
        <v>123</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2268</v>
      </c>
      <c r="G906" s="1055"/>
      <c r="H906" s="1055"/>
      <c r="I906" s="1055"/>
      <c r="J906" s="1055"/>
      <c r="K906" s="1055"/>
      <c r="L906" s="1055"/>
      <c r="M906" s="1055"/>
      <c r="N906" s="1055"/>
      <c r="O906" s="1055"/>
      <c r="P906" s="1055"/>
      <c r="Q906" s="1055"/>
      <c r="R906" s="1055"/>
      <c r="S906" s="1055"/>
      <c r="T906" s="1056"/>
      <c r="U906" s="1057" t="s">
        <v>123</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2265</v>
      </c>
      <c r="G907" s="1055"/>
      <c r="H907" s="1055"/>
      <c r="I907" s="1055"/>
      <c r="J907" s="1055"/>
      <c r="K907" s="1055"/>
      <c r="L907" s="1055"/>
      <c r="M907" s="1055"/>
      <c r="N907" s="1055"/>
      <c r="O907" s="1055"/>
      <c r="P907" s="1055"/>
      <c r="Q907" s="1055"/>
      <c r="R907" s="1055"/>
      <c r="S907" s="1055"/>
      <c r="T907" s="1056"/>
      <c r="U907" s="1057" t="s">
        <v>123</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156</v>
      </c>
      <c r="G908" s="1071"/>
      <c r="H908" s="1071"/>
      <c r="I908" s="1071"/>
      <c r="J908" s="1071"/>
      <c r="K908" s="1071"/>
      <c r="L908" s="1071"/>
      <c r="M908" s="1071"/>
      <c r="N908" s="1071"/>
      <c r="O908" s="1071"/>
      <c r="P908" s="1071"/>
      <c r="Q908" s="1071"/>
      <c r="R908" s="1071"/>
      <c r="S908" s="1071"/>
      <c r="T908" s="1072"/>
      <c r="U908" s="1057" t="s">
        <v>123</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1895</v>
      </c>
      <c r="G909" s="1055"/>
      <c r="H909" s="1055"/>
      <c r="I909" s="1055"/>
      <c r="J909" s="1055"/>
      <c r="K909" s="1055"/>
      <c r="L909" s="1055"/>
      <c r="M909" s="1055"/>
      <c r="N909" s="1055"/>
      <c r="O909" s="1055"/>
      <c r="P909" s="1055"/>
      <c r="Q909" s="1055"/>
      <c r="R909" s="1055"/>
      <c r="S909" s="1055"/>
      <c r="T909" s="1056"/>
      <c r="U909" s="1057" t="s">
        <v>123</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1007</v>
      </c>
      <c r="G910" s="1074"/>
      <c r="H910" s="1074"/>
      <c r="I910" s="1074"/>
      <c r="J910" s="1074"/>
      <c r="K910" s="1074"/>
      <c r="L910" s="1074"/>
      <c r="M910" s="1074"/>
      <c r="N910" s="1074"/>
      <c r="O910" s="1074"/>
      <c r="P910" s="1074"/>
      <c r="Q910" s="1074"/>
      <c r="R910" s="1074"/>
      <c r="S910" s="1074"/>
      <c r="T910" s="1075"/>
      <c r="U910" s="1057" t="s">
        <v>123</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2276</v>
      </c>
      <c r="G911" s="1068"/>
      <c r="H911" s="1068"/>
      <c r="I911" s="1068"/>
      <c r="J911" s="1068"/>
      <c r="K911" s="1068"/>
      <c r="L911" s="1068"/>
      <c r="M911" s="1068"/>
      <c r="N911" s="1068"/>
      <c r="O911" s="1068"/>
      <c r="P911" s="1068"/>
      <c r="Q911" s="1068"/>
      <c r="R911" s="1068"/>
      <c r="S911" s="1068"/>
      <c r="T911" s="1069"/>
      <c r="U911" s="1057" t="s">
        <v>123</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2278</v>
      </c>
      <c r="G912" s="1068"/>
      <c r="H912" s="1068"/>
      <c r="I912" s="1068"/>
      <c r="J912" s="1068"/>
      <c r="K912" s="1068"/>
      <c r="L912" s="1068"/>
      <c r="M912" s="1068"/>
      <c r="N912" s="1068"/>
      <c r="O912" s="1068"/>
      <c r="P912" s="1068"/>
      <c r="Q912" s="1068"/>
      <c r="R912" s="1068"/>
      <c r="S912" s="1068"/>
      <c r="T912" s="1069"/>
      <c r="U912" s="1057" t="s">
        <v>123</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2266</v>
      </c>
      <c r="G913" s="1055"/>
      <c r="H913" s="1055"/>
      <c r="I913" s="1055"/>
      <c r="J913" s="1055"/>
      <c r="K913" s="1055"/>
      <c r="L913" s="1055"/>
      <c r="M913" s="1055"/>
      <c r="N913" s="1055"/>
      <c r="O913" s="1055"/>
      <c r="P913" s="1055"/>
      <c r="Q913" s="1055"/>
      <c r="R913" s="1055"/>
      <c r="S913" s="1055"/>
      <c r="T913" s="1056"/>
      <c r="U913" s="1082" t="s">
        <v>123</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2270</v>
      </c>
      <c r="G914" s="1055"/>
      <c r="H914" s="1055"/>
      <c r="I914" s="1055"/>
      <c r="J914" s="1055"/>
      <c r="K914" s="1055"/>
      <c r="L914" s="1055"/>
      <c r="M914" s="1055"/>
      <c r="N914" s="1055"/>
      <c r="O914" s="1055"/>
      <c r="P914" s="1055"/>
      <c r="Q914" s="1055"/>
      <c r="R914" s="1055"/>
      <c r="S914" s="1055"/>
      <c r="T914" s="1056"/>
      <c r="U914" s="1082" t="s">
        <v>123</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2267</v>
      </c>
      <c r="G915" s="1055"/>
      <c r="H915" s="1055"/>
      <c r="I915" s="1055"/>
      <c r="J915" s="1055"/>
      <c r="K915" s="1055"/>
      <c r="L915" s="1055"/>
      <c r="M915" s="1055"/>
      <c r="N915" s="1055"/>
      <c r="O915" s="1055"/>
      <c r="P915" s="1055"/>
      <c r="Q915" s="1055"/>
      <c r="R915" s="1055"/>
      <c r="S915" s="1055"/>
      <c r="T915" s="1056"/>
      <c r="U915" s="1082" t="s">
        <v>123</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1893</v>
      </c>
      <c r="G916" s="1068"/>
      <c r="H916" s="1068"/>
      <c r="I916" s="1068"/>
      <c r="J916" s="1068"/>
      <c r="K916" s="1068"/>
      <c r="L916" s="1068"/>
      <c r="M916" s="1068"/>
      <c r="N916" s="1068"/>
      <c r="O916" s="1068"/>
      <c r="P916" s="1068"/>
      <c r="Q916" s="1068"/>
      <c r="R916" s="1068"/>
      <c r="S916" s="1068"/>
      <c r="T916" s="1069"/>
      <c r="U916" s="1057" t="s">
        <v>123</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2279</v>
      </c>
      <c r="G917" s="1068"/>
      <c r="H917" s="1068"/>
      <c r="I917" s="1068"/>
      <c r="J917" s="1068"/>
      <c r="K917" s="1068"/>
      <c r="L917" s="1068"/>
      <c r="M917" s="1068"/>
      <c r="N917" s="1068"/>
      <c r="O917" s="1068"/>
      <c r="P917" s="1068"/>
      <c r="Q917" s="1068"/>
      <c r="R917" s="1068"/>
      <c r="S917" s="1068"/>
      <c r="T917" s="1069"/>
      <c r="U917" s="1057" t="s">
        <v>107</v>
      </c>
      <c r="V917" s="1058"/>
      <c r="W917" s="1058"/>
      <c r="X917" s="1058"/>
      <c r="Y917" s="1058"/>
      <c r="Z917" s="1059"/>
      <c r="AA917" s="1060">
        <v>540000</v>
      </c>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1894</v>
      </c>
      <c r="G918" s="1068"/>
      <c r="H918" s="1068"/>
      <c r="I918" s="1068"/>
      <c r="J918" s="1068"/>
      <c r="K918" s="1068"/>
      <c r="L918" s="1068"/>
      <c r="M918" s="1068"/>
      <c r="N918" s="1068"/>
      <c r="O918" s="1068"/>
      <c r="P918" s="1068"/>
      <c r="Q918" s="1068"/>
      <c r="R918" s="1068"/>
      <c r="S918" s="1068"/>
      <c r="T918" s="1069"/>
      <c r="U918" s="1057" t="s">
        <v>123</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155</v>
      </c>
      <c r="G919" s="1068"/>
      <c r="H919" s="1068"/>
      <c r="I919" s="1068"/>
      <c r="J919" s="1068"/>
      <c r="K919" s="1068"/>
      <c r="L919" s="1068"/>
      <c r="M919" s="1068"/>
      <c r="N919" s="1068"/>
      <c r="O919" s="1068"/>
      <c r="P919" s="1068"/>
      <c r="Q919" s="1068"/>
      <c r="R919" s="1068"/>
      <c r="S919" s="1068"/>
      <c r="T919" s="1069"/>
      <c r="U919" s="1057" t="s">
        <v>123</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2277</v>
      </c>
      <c r="G920" s="1068"/>
      <c r="H920" s="1068"/>
      <c r="I920" s="1068"/>
      <c r="J920" s="1068"/>
      <c r="K920" s="1068"/>
      <c r="L920" s="1068"/>
      <c r="M920" s="1068"/>
      <c r="N920" s="1068"/>
      <c r="O920" s="1068"/>
      <c r="P920" s="1068"/>
      <c r="Q920" s="1068"/>
      <c r="R920" s="1068"/>
      <c r="S920" s="1068"/>
      <c r="T920" s="1069"/>
      <c r="U920" s="1057" t="s">
        <v>123</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5" t="s">
        <v>481</v>
      </c>
      <c r="Q921" s="1058"/>
      <c r="R921" s="1058"/>
      <c r="S921" s="1058"/>
      <c r="T921" s="1059"/>
      <c r="U921" s="1057" t="s">
        <v>123</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2269</v>
      </c>
      <c r="G922" s="1055"/>
      <c r="H922" s="1056"/>
      <c r="I922" s="1079" t="s">
        <v>561</v>
      </c>
      <c r="J922" s="1080"/>
      <c r="K922" s="1080"/>
      <c r="L922" s="1080"/>
      <c r="M922" s="1080"/>
      <c r="N922" s="1080"/>
      <c r="O922" s="1080"/>
      <c r="P922" s="1080"/>
      <c r="Q922" s="1080"/>
      <c r="R922" s="1080"/>
      <c r="S922" s="1080"/>
      <c r="T922" s="1081"/>
      <c r="U922" s="1057" t="s">
        <v>123</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372</v>
      </c>
      <c r="G923" s="1055"/>
      <c r="H923" s="1056"/>
      <c r="I923" s="1079" t="s">
        <v>561</v>
      </c>
      <c r="J923" s="1080"/>
      <c r="K923" s="1080"/>
      <c r="L923" s="1080"/>
      <c r="M923" s="1080"/>
      <c r="N923" s="1080"/>
      <c r="O923" s="1080"/>
      <c r="P923" s="1080"/>
      <c r="Q923" s="1080"/>
      <c r="R923" s="1080"/>
      <c r="S923" s="1080"/>
      <c r="T923" s="1081"/>
      <c r="U923" s="1057" t="s">
        <v>123</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825</v>
      </c>
      <c r="G924" s="1055"/>
      <c r="H924" s="1056"/>
      <c r="I924" s="1079" t="s">
        <v>2441</v>
      </c>
      <c r="J924" s="1080"/>
      <c r="K924" s="1080"/>
      <c r="L924" s="1080"/>
      <c r="M924" s="1080"/>
      <c r="N924" s="1080"/>
      <c r="O924" s="1080"/>
      <c r="P924" s="1080"/>
      <c r="Q924" s="1080"/>
      <c r="R924" s="1080"/>
      <c r="S924" s="1080"/>
      <c r="T924" s="1081"/>
      <c r="U924" s="1057" t="s">
        <v>107</v>
      </c>
      <c r="V924" s="1058"/>
      <c r="W924" s="1058"/>
      <c r="X924" s="1058"/>
      <c r="Y924" s="1058"/>
      <c r="Z924" s="1059"/>
      <c r="AA924" s="1060">
        <f>500000+1400000+7000000</f>
        <v>8900000</v>
      </c>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282</v>
      </c>
      <c r="G925" s="1055"/>
      <c r="H925" s="1056"/>
      <c r="I925" s="1079" t="s">
        <v>2319</v>
      </c>
      <c r="J925" s="1080"/>
      <c r="K925" s="1080"/>
      <c r="L925" s="1080"/>
      <c r="M925" s="1080"/>
      <c r="N925" s="1080"/>
      <c r="O925" s="1080"/>
      <c r="P925" s="1080"/>
      <c r="Q925" s="1080"/>
      <c r="R925" s="1080"/>
      <c r="S925" s="1080"/>
      <c r="T925" s="1081"/>
      <c r="U925" s="1057" t="s">
        <v>107</v>
      </c>
      <c r="V925" s="1058"/>
      <c r="W925" s="1058"/>
      <c r="X925" s="1058"/>
      <c r="Y925" s="1058"/>
      <c r="Z925" s="1059"/>
      <c r="AA925" s="1060">
        <f>4000000+1000000</f>
        <v>5000000</v>
      </c>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282</v>
      </c>
      <c r="G926" s="1055"/>
      <c r="H926" s="1056"/>
      <c r="I926" s="1079" t="s">
        <v>2485</v>
      </c>
      <c r="J926" s="1080"/>
      <c r="K926" s="1080"/>
      <c r="L926" s="1080"/>
      <c r="M926" s="1080"/>
      <c r="N926" s="1080"/>
      <c r="O926" s="1080"/>
      <c r="P926" s="1080"/>
      <c r="Q926" s="1080"/>
      <c r="R926" s="1080"/>
      <c r="S926" s="1080"/>
      <c r="T926" s="1081"/>
      <c r="U926" s="1057" t="s">
        <v>107</v>
      </c>
      <c r="V926" s="1058"/>
      <c r="W926" s="1058"/>
      <c r="X926" s="1058"/>
      <c r="Y926" s="1058"/>
      <c r="Z926" s="1059"/>
      <c r="AA926" s="1060">
        <v>1994000</v>
      </c>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7">
        <v>44735</v>
      </c>
      <c r="M931" s="1188"/>
      <c r="N931" s="1188"/>
      <c r="O931" s="1188"/>
      <c r="P931" s="1188"/>
      <c r="Q931" s="1188"/>
      <c r="R931" s="1188"/>
      <c r="S931" s="1189"/>
      <c r="U931" s="72" t="s">
        <v>826</v>
      </c>
      <c r="V931" s="9"/>
      <c r="W931" s="9"/>
      <c r="X931" s="9"/>
      <c r="Y931" s="9"/>
      <c r="Z931" s="9"/>
      <c r="AA931" s="9"/>
      <c r="AB931" s="9"/>
      <c r="AC931" s="9"/>
      <c r="AD931" s="52"/>
      <c r="AE931" s="1187"/>
      <c r="AF931" s="1381"/>
      <c r="AG931" s="1381"/>
      <c r="AH931" s="1381"/>
      <c r="AI931" s="1381"/>
      <c r="AJ931" s="1381"/>
      <c r="AK931" s="138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5" t="s">
        <v>2420</v>
      </c>
      <c r="M932" s="1188"/>
      <c r="N932" s="1188"/>
      <c r="O932" s="1188"/>
      <c r="P932" s="1188"/>
      <c r="Q932" s="1188"/>
      <c r="R932" s="1188"/>
      <c r="S932" s="1189"/>
      <c r="U932" s="72" t="s">
        <v>827</v>
      </c>
      <c r="V932" s="9"/>
      <c r="W932" s="9"/>
      <c r="X932" s="9"/>
      <c r="Y932" s="9"/>
      <c r="Z932" s="9"/>
      <c r="AA932" s="9"/>
      <c r="AB932" s="9"/>
      <c r="AC932" s="9"/>
      <c r="AD932" s="52"/>
      <c r="AE932" s="1530"/>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1099</v>
      </c>
      <c r="D933" s="9"/>
      <c r="E933" s="9"/>
      <c r="L933" s="1392" t="s">
        <v>2421</v>
      </c>
      <c r="M933" s="1393"/>
      <c r="N933" s="1393"/>
      <c r="O933" s="1393"/>
      <c r="P933" s="1393"/>
      <c r="Q933" s="1393"/>
      <c r="R933" s="1393"/>
      <c r="S933" s="1394"/>
      <c r="U933" s="72" t="s">
        <v>1099</v>
      </c>
      <c r="V933" s="9"/>
      <c r="W933" s="9"/>
      <c r="AE933" s="1392" t="s">
        <v>78</v>
      </c>
      <c r="AF933" s="1393"/>
      <c r="AG933" s="1393"/>
      <c r="AH933" s="1393"/>
      <c r="AI933" s="1393"/>
      <c r="AJ933" s="1393"/>
      <c r="AK933" s="139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7">
        <v>0.48648648648648651</v>
      </c>
      <c r="M934" s="1528"/>
      <c r="N934" s="1528"/>
      <c r="O934" s="1528"/>
      <c r="P934" s="1528"/>
      <c r="Q934" s="1528"/>
      <c r="R934" s="1528"/>
      <c r="S934" s="1529"/>
      <c r="U934" s="72" t="s">
        <v>828</v>
      </c>
      <c r="V934" s="9"/>
      <c r="W934" s="9"/>
      <c r="X934" s="9"/>
      <c r="Y934" s="9"/>
      <c r="Z934" s="9"/>
      <c r="AA934" s="9"/>
      <c r="AB934" s="9"/>
      <c r="AC934" s="9"/>
      <c r="AD934" s="52"/>
      <c r="AE934" s="1527"/>
      <c r="AF934" s="1528"/>
      <c r="AG934" s="1528"/>
      <c r="AH934" s="1528"/>
      <c r="AI934" s="1528"/>
      <c r="AJ934" s="1528"/>
      <c r="AK934" s="152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5">
        <v>18</v>
      </c>
      <c r="M935" s="1536"/>
      <c r="N935" s="1536"/>
      <c r="O935" s="1536"/>
      <c r="P935" s="1536"/>
      <c r="Q935" s="1536"/>
      <c r="R935" s="1536"/>
      <c r="S935" s="1537"/>
      <c r="U935" s="72" t="s">
        <v>829</v>
      </c>
      <c r="V935" s="9"/>
      <c r="W935" s="9"/>
      <c r="X935" s="9"/>
      <c r="Y935" s="9"/>
      <c r="Z935" s="9"/>
      <c r="AA935" s="9"/>
      <c r="AB935" s="9"/>
      <c r="AC935" s="9"/>
      <c r="AD935" s="52"/>
      <c r="AE935" s="1501"/>
      <c r="AF935" s="1384"/>
      <c r="AG935" s="1384"/>
      <c r="AH935" s="1384"/>
      <c r="AI935" s="1384"/>
      <c r="AJ935" s="1384"/>
      <c r="AK935" s="138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1">
        <v>370872</v>
      </c>
      <c r="M936" s="1202"/>
      <c r="N936" s="1202"/>
      <c r="O936" s="1202"/>
      <c r="P936" s="1202"/>
      <c r="Q936" s="1202"/>
      <c r="R936" s="1202"/>
      <c r="S936" s="1203"/>
      <c r="U936" s="72" t="s">
        <v>830</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1">
        <f>L936*L938</f>
        <v>7417440</v>
      </c>
      <c r="M937" s="1202"/>
      <c r="N937" s="1202"/>
      <c r="O937" s="1202"/>
      <c r="P937" s="1202"/>
      <c r="Q937" s="1202"/>
      <c r="R937" s="1202"/>
      <c r="S937" s="1203"/>
      <c r="U937" s="72" t="s">
        <v>831</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1961</v>
      </c>
      <c r="D938" s="9"/>
      <c r="E938" s="9"/>
      <c r="F938" s="9"/>
      <c r="G938" s="9"/>
      <c r="H938" s="9"/>
      <c r="I938" s="9"/>
      <c r="J938" s="9"/>
      <c r="K938" s="9"/>
      <c r="L938" s="1535">
        <v>20</v>
      </c>
      <c r="M938" s="1536"/>
      <c r="N938" s="1536"/>
      <c r="O938" s="1536"/>
      <c r="P938" s="1536"/>
      <c r="Q938" s="1536"/>
      <c r="R938" s="1536"/>
      <c r="S938" s="1537"/>
      <c r="U938" s="214" t="s">
        <v>1961</v>
      </c>
      <c r="V938" s="9"/>
      <c r="W938" s="9"/>
      <c r="X938" s="9"/>
      <c r="Y938" s="9"/>
      <c r="Z938" s="9"/>
      <c r="AA938" s="9"/>
      <c r="AB938" s="9"/>
      <c r="AC938" s="9"/>
      <c r="AD938" s="52"/>
      <c r="AE938" s="1535"/>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53" t="s">
        <v>123</v>
      </c>
      <c r="N943" s="1454"/>
      <c r="O943" s="1454"/>
      <c r="P943" s="1454"/>
      <c r="Q943" s="1454"/>
      <c r="R943" s="1454"/>
      <c r="S943" s="1455"/>
      <c r="T943" s="72" t="s">
        <v>949</v>
      </c>
      <c r="U943" s="9"/>
      <c r="V943" s="9"/>
      <c r="W943" s="9"/>
      <c r="X943" s="9"/>
      <c r="Y943" s="9"/>
      <c r="Z943" s="52"/>
      <c r="AA943" s="1453" t="s">
        <v>123</v>
      </c>
      <c r="AB943" s="1454"/>
      <c r="AC943" s="1454"/>
      <c r="AD943" s="1454"/>
      <c r="AE943" s="1454"/>
      <c r="AF943" s="1454"/>
      <c r="AG943" s="145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53" t="s">
        <v>123</v>
      </c>
      <c r="N944" s="1454"/>
      <c r="O944" s="1454"/>
      <c r="P944" s="1454"/>
      <c r="Q944" s="1454"/>
      <c r="R944" s="1454"/>
      <c r="S944" s="1455"/>
      <c r="T944" s="72" t="s">
        <v>948</v>
      </c>
      <c r="U944" s="9"/>
      <c r="V944" s="9"/>
      <c r="W944" s="9"/>
      <c r="X944" s="9"/>
      <c r="Y944" s="9"/>
      <c r="Z944" s="52"/>
      <c r="AA944" s="1453" t="s">
        <v>123</v>
      </c>
      <c r="AB944" s="1454"/>
      <c r="AC944" s="1454"/>
      <c r="AD944" s="1454"/>
      <c r="AE944" s="1454"/>
      <c r="AF944" s="1454"/>
      <c r="AG944" s="145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1131</v>
      </c>
      <c r="G945" s="9"/>
      <c r="H945" s="9"/>
      <c r="I945" s="9"/>
      <c r="J945" s="9"/>
      <c r="K945" s="9"/>
      <c r="L945" s="52"/>
      <c r="M945" s="1327" t="s">
        <v>123</v>
      </c>
      <c r="N945" s="1260"/>
      <c r="O945" s="1260"/>
      <c r="P945" s="1260"/>
      <c r="Q945" s="1260"/>
      <c r="R945" s="1260"/>
      <c r="S945" s="1328"/>
      <c r="T945" s="8" t="s">
        <v>565</v>
      </c>
      <c r="U945" s="9"/>
      <c r="V945" s="9"/>
      <c r="W945" s="9"/>
      <c r="X945" s="9"/>
      <c r="Y945" s="9"/>
      <c r="Z945" s="52"/>
      <c r="AA945" s="1453" t="s">
        <v>123</v>
      </c>
      <c r="AB945" s="1454"/>
      <c r="AC945" s="1454"/>
      <c r="AD945" s="1454"/>
      <c r="AE945" s="1454"/>
      <c r="AF945" s="1454"/>
      <c r="AG945" s="145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53" t="s">
        <v>123</v>
      </c>
      <c r="N946" s="1454"/>
      <c r="O946" s="1454"/>
      <c r="P946" s="1454"/>
      <c r="Q946" s="1454"/>
      <c r="R946" s="1454"/>
      <c r="S946" s="1455"/>
      <c r="T946" s="8" t="s">
        <v>566</v>
      </c>
      <c r="U946" s="9"/>
      <c r="V946" s="9"/>
      <c r="W946" s="9"/>
      <c r="X946" s="9"/>
      <c r="Y946" s="9"/>
      <c r="Z946" s="52"/>
      <c r="AA946" s="1453" t="s">
        <v>123</v>
      </c>
      <c r="AB946" s="1454"/>
      <c r="AC946" s="1454"/>
      <c r="AD946" s="1454"/>
      <c r="AE946" s="1454"/>
      <c r="AF946" s="1454"/>
      <c r="AG946" s="145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3" t="s">
        <v>123</v>
      </c>
      <c r="N947" s="1454"/>
      <c r="O947" s="1454"/>
      <c r="P947" s="1454"/>
      <c r="Q947" s="1454"/>
      <c r="R947" s="1454"/>
      <c r="S947" s="1455"/>
      <c r="T947" s="8" t="s">
        <v>492</v>
      </c>
      <c r="U947" s="9"/>
      <c r="V947" s="9"/>
      <c r="W947" s="9"/>
      <c r="X947" s="9"/>
      <c r="Y947" s="9"/>
      <c r="Z947" s="52"/>
      <c r="AA947" s="1453" t="s">
        <v>123</v>
      </c>
      <c r="AB947" s="1454"/>
      <c r="AC947" s="1454"/>
      <c r="AD947" s="1454"/>
      <c r="AE947" s="1454"/>
      <c r="AF947" s="1454"/>
      <c r="AG947" s="14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1099</v>
      </c>
      <c r="G948" s="7"/>
      <c r="H948" s="7"/>
      <c r="I948" s="7"/>
      <c r="J948" s="7"/>
      <c r="K948" s="7"/>
      <c r="L948" s="64"/>
      <c r="M948" s="1392" t="s">
        <v>78</v>
      </c>
      <c r="N948" s="1393"/>
      <c r="O948" s="1393"/>
      <c r="P948" s="1393"/>
      <c r="Q948" s="1393"/>
      <c r="R948" s="1393"/>
      <c r="S948" s="1394"/>
      <c r="T948" s="1465"/>
      <c r="U948" s="1466"/>
      <c r="V948" s="1466"/>
      <c r="W948" s="1466"/>
      <c r="X948" s="1466"/>
      <c r="Y948" s="1466"/>
      <c r="Z948" s="1467"/>
      <c r="AA948" s="1453" t="s">
        <v>123</v>
      </c>
      <c r="AB948" s="1454"/>
      <c r="AC948" s="1454"/>
      <c r="AD948" s="1454"/>
      <c r="AE948" s="1454"/>
      <c r="AF948" s="1454"/>
      <c r="AG948" s="145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3" t="s">
        <v>123</v>
      </c>
      <c r="N949" s="1454"/>
      <c r="O949" s="1454"/>
      <c r="P949" s="1454"/>
      <c r="Q949" s="1454"/>
      <c r="R949" s="1454"/>
      <c r="S949" s="1455"/>
      <c r="T949" s="1465"/>
      <c r="U949" s="1466"/>
      <c r="V949" s="1466"/>
      <c r="W949" s="1466"/>
      <c r="X949" s="1466"/>
      <c r="Y949" s="1466"/>
      <c r="Z949" s="1467"/>
      <c r="AA949" s="1453" t="s">
        <v>123</v>
      </c>
      <c r="AB949" s="1454"/>
      <c r="AC949" s="1454"/>
      <c r="AD949" s="1454"/>
      <c r="AE949" s="1454"/>
      <c r="AF949" s="1454"/>
      <c r="AG949" s="145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7" t="s">
        <v>481</v>
      </c>
      <c r="P950" s="1328"/>
      <c r="Q950" s="146"/>
      <c r="R950" s="146"/>
      <c r="S950" s="147"/>
      <c r="T950" s="6" t="s">
        <v>282</v>
      </c>
      <c r="U950" s="7"/>
      <c r="V950" s="7"/>
      <c r="W950" s="1459" t="s">
        <v>561</v>
      </c>
      <c r="X950" s="1460"/>
      <c r="Y950" s="1460"/>
      <c r="Z950" s="1460"/>
      <c r="AA950" s="1460"/>
      <c r="AB950" s="1460"/>
      <c r="AC950" s="1460"/>
      <c r="AD950" s="1460"/>
      <c r="AE950" s="1460"/>
      <c r="AF950" s="1460"/>
      <c r="AG950" s="146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8" t="s">
        <v>225</v>
      </c>
      <c r="G951" s="1262"/>
      <c r="H951" s="1262"/>
      <c r="I951" s="1262"/>
      <c r="J951" s="1262"/>
      <c r="K951" s="1262"/>
      <c r="L951" s="1262"/>
      <c r="M951" s="1453"/>
      <c r="N951" s="1454"/>
      <c r="O951" s="1454"/>
      <c r="P951" s="1454"/>
      <c r="Q951" s="1454"/>
      <c r="R951" s="1454"/>
      <c r="S951" s="1455"/>
      <c r="T951" s="53"/>
      <c r="U951" s="54"/>
      <c r="V951" s="54"/>
      <c r="W951" s="54"/>
      <c r="X951" s="54"/>
      <c r="Y951" s="54"/>
      <c r="Z951" s="226" t="s">
        <v>226</v>
      </c>
      <c r="AA951" s="1462"/>
      <c r="AB951" s="1463"/>
      <c r="AC951" s="1463"/>
      <c r="AD951" s="1463"/>
      <c r="AE951" s="1463"/>
      <c r="AF951" s="1463"/>
      <c r="AG951" s="146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85" t="s">
        <v>128</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59"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6" t="s">
        <v>423</v>
      </c>
      <c r="E960" s="1457"/>
      <c r="F960" s="1457"/>
      <c r="G960" s="1457"/>
      <c r="H960" s="1457"/>
      <c r="I960" s="1457"/>
      <c r="J960" s="1457"/>
      <c r="K960" s="1457"/>
      <c r="L960" s="1457"/>
      <c r="M960" s="1457"/>
      <c r="N960" s="1457"/>
      <c r="O960" s="1457"/>
      <c r="P960" s="1457"/>
      <c r="Q960" s="1458"/>
      <c r="R960" s="1456" t="s">
        <v>424</v>
      </c>
      <c r="S960" s="1457"/>
      <c r="T960" s="1457"/>
      <c r="U960" s="1457"/>
      <c r="V960" s="1457"/>
      <c r="W960" s="1457"/>
      <c r="X960" s="1457"/>
      <c r="Y960" s="1457"/>
      <c r="Z960" s="1457"/>
      <c r="AA960" s="1458"/>
      <c r="AB960" s="1456" t="s">
        <v>425</v>
      </c>
      <c r="AC960" s="1457"/>
      <c r="AD960" s="1457"/>
      <c r="AE960" s="1457"/>
      <c r="AF960" s="1457"/>
      <c r="AG960" s="1457"/>
      <c r="AH960" s="1457"/>
      <c r="AI960" s="1458"/>
      <c r="AJ960" s="1456" t="s">
        <v>426</v>
      </c>
      <c r="AK960" s="1457"/>
      <c r="AL960" s="1457"/>
      <c r="AM960" s="1457"/>
      <c r="AN960" s="1457"/>
      <c r="AO960" s="1457"/>
      <c r="AP960" s="1457"/>
      <c r="AQ960" s="145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138" t="s">
        <v>418</v>
      </c>
      <c r="E961" s="1139"/>
      <c r="F961" s="1139"/>
      <c r="G961" s="1139"/>
      <c r="H961" s="1139"/>
      <c r="I961" s="1139"/>
      <c r="J961" s="1139"/>
      <c r="K961" s="1139"/>
      <c r="L961" s="1139"/>
      <c r="M961" s="1139"/>
      <c r="N961" s="1139"/>
      <c r="O961" s="1139"/>
      <c r="P961" s="1139"/>
      <c r="Q961" s="1140"/>
      <c r="R961" s="1141">
        <f>IF(ISNA(IF($BA$819="4%",(INDEX($BC$825:$BG$881,MATCH($BO$825,$BB$834:$BB$891,0),MATCH(D961,$BC$822:$BG$822,0))),(INDEX($BJ$834:$BN$891,MATCH($BO$825,$BI$834:$BI$891,0),MATCH(D961,$BJ$832:$BN$832,0))))),0,IF($BA$819="4%",(INDEX($BC$825:$BG$881,MATCH($BO$825,$BB$834:$BB$891,0),MATCH(D961,$BC$822:$BG$822,0))),(INDEX($BJ$834:$BN$891,MATCH($BO$825,$BI$834:$BI$891,0),MATCH(D961,$BJ$832:$BN$832,0)))))</f>
        <v>532060</v>
      </c>
      <c r="S961" s="1141"/>
      <c r="T961" s="1141"/>
      <c r="U961" s="1141"/>
      <c r="V961" s="1141"/>
      <c r="W961" s="1141"/>
      <c r="X961" s="1141"/>
      <c r="Y961" s="1141"/>
      <c r="Z961" s="1141"/>
      <c r="AA961" s="1141"/>
      <c r="AB961" s="1142">
        <f>BN651</f>
        <v>0</v>
      </c>
      <c r="AC961" s="1143"/>
      <c r="AD961" s="1143"/>
      <c r="AE961" s="1143"/>
      <c r="AF961" s="1143"/>
      <c r="AG961" s="1143"/>
      <c r="AH961" s="1143"/>
      <c r="AI961" s="1144"/>
      <c r="AJ961" s="1145">
        <f>IF(ISERROR((R961*AB961)),0,(R961*AB961))</f>
        <v>0</v>
      </c>
      <c r="AK961" s="1146"/>
      <c r="AL961" s="1146"/>
      <c r="AM961" s="1146"/>
      <c r="AN961" s="1146"/>
      <c r="AO961" s="1146"/>
      <c r="AP961" s="1146"/>
      <c r="AQ961" s="114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8" t="s">
        <v>441</v>
      </c>
      <c r="E962" s="1139"/>
      <c r="F962" s="1139"/>
      <c r="G962" s="1139"/>
      <c r="H962" s="1139"/>
      <c r="I962" s="1139"/>
      <c r="J962" s="1139"/>
      <c r="K962" s="1139"/>
      <c r="L962" s="1139"/>
      <c r="M962" s="1139"/>
      <c r="N962" s="1139"/>
      <c r="O962" s="1139"/>
      <c r="P962" s="1139"/>
      <c r="Q962" s="1140"/>
      <c r="R962" s="1141">
        <f>IF(ISNA(IF($BA$819="4%",(INDEX($BC$825:$BG$881,MATCH($BO$825,$BB$834:$BB$891,0),MATCH(D962,$BC$822:$BG$822,0))),(INDEX($BJ$834:$BN$891,MATCH($BO$825,$BI$834:$BI$891,0),MATCH(D962,$BJ$832:$BN$832,0))))),0,IF($BA$819="4%",(INDEX($BC$825:$BG$881,MATCH($BO$825,$BB$834:$BB$891,0),MATCH(D962,$BC$822:$BG$822,0))),(INDEX($BJ$834:$BN$891,MATCH($BO$825,$BI$834:$BI$891,0),MATCH(D962,$BJ$832:$BN$832,0)))))</f>
        <v>613460</v>
      </c>
      <c r="S962" s="1141"/>
      <c r="T962" s="1141"/>
      <c r="U962" s="1141"/>
      <c r="V962" s="1141"/>
      <c r="W962" s="1141"/>
      <c r="X962" s="1141"/>
      <c r="Y962" s="1141"/>
      <c r="Z962" s="1141"/>
      <c r="AA962" s="1141"/>
      <c r="AB962" s="1142">
        <f>BS651</f>
        <v>18</v>
      </c>
      <c r="AC962" s="1143"/>
      <c r="AD962" s="1143"/>
      <c r="AE962" s="1143"/>
      <c r="AF962" s="1143"/>
      <c r="AG962" s="1143"/>
      <c r="AH962" s="1143"/>
      <c r="AI962" s="1144"/>
      <c r="AJ962" s="1145">
        <f>IF(ISERROR((R962*AB962)),0,(R962*AB962))</f>
        <v>11042280</v>
      </c>
      <c r="AK962" s="1146"/>
      <c r="AL962" s="1146"/>
      <c r="AM962" s="1146"/>
      <c r="AN962" s="1146"/>
      <c r="AO962" s="1146"/>
      <c r="AP962" s="1146"/>
      <c r="AQ962" s="11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8" t="s">
        <v>779</v>
      </c>
      <c r="E963" s="1139"/>
      <c r="F963" s="1139"/>
      <c r="G963" s="1139"/>
      <c r="H963" s="1139"/>
      <c r="I963" s="1139"/>
      <c r="J963" s="1139"/>
      <c r="K963" s="1139"/>
      <c r="L963" s="1139"/>
      <c r="M963" s="1139"/>
      <c r="N963" s="1139"/>
      <c r="O963" s="1139"/>
      <c r="P963" s="1139"/>
      <c r="Q963" s="1140"/>
      <c r="R963" s="1141">
        <f>IF(ISNA(IF($BA$819="4%",(INDEX($BC$825:$BG$881,MATCH($BO$825,$BB$834:$BB$891,0),MATCH(D963,$BC$822:$BG$822,0))),(INDEX($BJ$834:$BN$891,MATCH($BO$825,$BI$834:$BI$891,0),MATCH(D963,$BJ$832:$BN$832,0))))),0,IF($BA$819="4%",(INDEX($BC$825:$BG$881,MATCH($BO$825,$BB$834:$BB$891,0),MATCH(D963,$BC$822:$BG$822,0))),(INDEX($BJ$834:$BN$891,MATCH($BO$825,$BI$834:$BI$891,0),MATCH(D963,$BJ$832:$BN$832,0)))))</f>
        <v>740000</v>
      </c>
      <c r="S963" s="1141"/>
      <c r="T963" s="1141"/>
      <c r="U963" s="1141"/>
      <c r="V963" s="1141"/>
      <c r="W963" s="1141"/>
      <c r="X963" s="1141"/>
      <c r="Y963" s="1141"/>
      <c r="Z963" s="1141"/>
      <c r="AA963" s="1141"/>
      <c r="AB963" s="1142">
        <f>BX651</f>
        <v>9</v>
      </c>
      <c r="AC963" s="1143"/>
      <c r="AD963" s="1143"/>
      <c r="AE963" s="1143"/>
      <c r="AF963" s="1143"/>
      <c r="AG963" s="1143"/>
      <c r="AH963" s="1143"/>
      <c r="AI963" s="1144"/>
      <c r="AJ963" s="1145">
        <f>IF(ISERROR((R963*AB963)),0,(R963*AB963))</f>
        <v>6660000</v>
      </c>
      <c r="AK963" s="1146"/>
      <c r="AL963" s="1146"/>
      <c r="AM963" s="1146"/>
      <c r="AN963" s="1146"/>
      <c r="AO963" s="1146"/>
      <c r="AP963" s="1146"/>
      <c r="AQ963" s="11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8" t="s">
        <v>780</v>
      </c>
      <c r="E964" s="1139"/>
      <c r="F964" s="1139"/>
      <c r="G964" s="1139"/>
      <c r="H964" s="1139"/>
      <c r="I964" s="1139"/>
      <c r="J964" s="1139"/>
      <c r="K964" s="1139"/>
      <c r="L964" s="1139"/>
      <c r="M964" s="1139"/>
      <c r="N964" s="1139"/>
      <c r="O964" s="1139"/>
      <c r="P964" s="1139"/>
      <c r="Q964" s="1140"/>
      <c r="R964" s="1141">
        <f>IF(ISNA(IF($BA$819="4%",(INDEX($BC$825:$BG$881,MATCH($BO$825,$BB$834:$BB$891,0),MATCH(D964,$BC$822:$BG$822,0))),(INDEX($BJ$834:$BN$891,MATCH($BO$825,$BI$834:$BI$891,0),MATCH(D964,$BJ$832:$BN$832,0))))),0,IF($BA$819="4%",(INDEX($BC$825:$BG$881,MATCH($BO$825,$BB$834:$BB$891,0),MATCH(D964,$BC$822:$BG$822,0))),(INDEX($BJ$834:$BN$891,MATCH($BO$825,$BI$834:$BI$891,0),MATCH(D964,$BJ$832:$BN$832,0)))))</f>
        <v>947200</v>
      </c>
      <c r="S964" s="1141"/>
      <c r="T964" s="1141"/>
      <c r="U964" s="1141"/>
      <c r="V964" s="1141"/>
      <c r="W964" s="1141"/>
      <c r="X964" s="1141"/>
      <c r="Y964" s="1141"/>
      <c r="Z964" s="1141"/>
      <c r="AA964" s="1141"/>
      <c r="AB964" s="1142">
        <f>CC651</f>
        <v>10</v>
      </c>
      <c r="AC964" s="1143"/>
      <c r="AD964" s="1143"/>
      <c r="AE964" s="1143"/>
      <c r="AF964" s="1143"/>
      <c r="AG964" s="1143"/>
      <c r="AH964" s="1143"/>
      <c r="AI964" s="1144"/>
      <c r="AJ964" s="1145">
        <f>IF(ISERROR((R964*AB964)),0,(R964*AB964))</f>
        <v>9472000</v>
      </c>
      <c r="AK964" s="1146"/>
      <c r="AL964" s="1146"/>
      <c r="AM964" s="1146"/>
      <c r="AN964" s="1146"/>
      <c r="AO964" s="1146"/>
      <c r="AP964" s="1146"/>
      <c r="AQ964" s="114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8" t="s">
        <v>790</v>
      </c>
      <c r="E965" s="1139"/>
      <c r="F965" s="1139"/>
      <c r="G965" s="1139"/>
      <c r="H965" s="1139"/>
      <c r="I965" s="1139"/>
      <c r="J965" s="1139"/>
      <c r="K965" s="1139"/>
      <c r="L965" s="1139"/>
      <c r="M965" s="1139"/>
      <c r="N965" s="1139"/>
      <c r="O965" s="1139"/>
      <c r="P965" s="1139"/>
      <c r="Q965" s="1140"/>
      <c r="R965" s="1141">
        <f>IF(ISNA(IF($BA$819="4%",(INDEX($BC$825:$BG$881,MATCH($BO$825,$BB$834:$BB$891,0),MATCH(D965,$BC$822:$BG$822,0))),(INDEX($BJ$834:$BN$891,MATCH($BO$825,$BI$834:$BI$891,0),MATCH(D965,$BJ$832:$BN$832,0))))),0,IF($BA$819="4%",(INDEX($BC$825:$BG$881,MATCH($BO$825,$BB$834:$BB$891,0),MATCH(D965,$BC$822:$BG$822,0))),(INDEX($BJ$834:$BN$891,MATCH($BO$825,$BI$834:$BI$891,0),MATCH(D965,$BJ$832:$BN$832,0)))))</f>
        <v>1055240</v>
      </c>
      <c r="S965" s="1141"/>
      <c r="T965" s="1141"/>
      <c r="U965" s="1141"/>
      <c r="V965" s="1141"/>
      <c r="W965" s="1141"/>
      <c r="X965" s="1141"/>
      <c r="Y965" s="1141"/>
      <c r="Z965" s="1141"/>
      <c r="AA965" s="1141"/>
      <c r="AB965" s="1142">
        <f>CM651+CH651</f>
        <v>0</v>
      </c>
      <c r="AC965" s="1143"/>
      <c r="AD965" s="1143"/>
      <c r="AE965" s="1143"/>
      <c r="AF965" s="1143"/>
      <c r="AG965" s="1143"/>
      <c r="AH965" s="1143"/>
      <c r="AI965" s="1144"/>
      <c r="AJ965" s="1145">
        <f>IF(ISERROR((R965*AB965)),0,(R965*AB965))</f>
        <v>0</v>
      </c>
      <c r="AK965" s="1146"/>
      <c r="AL965" s="1146"/>
      <c r="AM965" s="1146"/>
      <c r="AN965" s="1146"/>
      <c r="AO965" s="1146"/>
      <c r="AP965" s="1146"/>
      <c r="AQ965" s="114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5" t="s">
        <v>959</v>
      </c>
      <c r="C966" s="1156"/>
      <c r="D966" s="1156"/>
      <c r="E966" s="1156"/>
      <c r="F966" s="1156"/>
      <c r="G966" s="1156"/>
      <c r="H966" s="1156"/>
      <c r="I966" s="1156"/>
      <c r="J966" s="1156"/>
      <c r="K966" s="1156"/>
      <c r="L966" s="1156"/>
      <c r="M966" s="1156"/>
      <c r="N966" s="1156"/>
      <c r="O966" s="1156"/>
      <c r="P966" s="1156"/>
      <c r="Q966" s="1156"/>
      <c r="R966" s="1156"/>
      <c r="S966" s="1156"/>
      <c r="T966" s="1156"/>
      <c r="U966" s="1156"/>
      <c r="V966" s="1156"/>
      <c r="W966" s="1156"/>
      <c r="X966" s="1156"/>
      <c r="Y966" s="1156"/>
      <c r="Z966" s="1156"/>
      <c r="AA966" s="1157"/>
      <c r="AB966" s="1142">
        <f>SUM(AB961:AI965)</f>
        <v>37</v>
      </c>
      <c r="AC966" s="1143"/>
      <c r="AD966" s="1143"/>
      <c r="AE966" s="1143"/>
      <c r="AF966" s="1143"/>
      <c r="AG966" s="1143"/>
      <c r="AH966" s="1143"/>
      <c r="AI966" s="1144"/>
      <c r="AJ966" s="1145"/>
      <c r="AK966" s="1146"/>
      <c r="AL966" s="1146"/>
      <c r="AM966" s="1146"/>
      <c r="AN966" s="1146"/>
      <c r="AO966" s="1146"/>
      <c r="AP966" s="1146"/>
      <c r="AQ966" s="114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8" t="s">
        <v>746</v>
      </c>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c r="AA967" s="1469"/>
      <c r="AB967" s="1469"/>
      <c r="AC967" s="1469"/>
      <c r="AD967" s="1469"/>
      <c r="AE967" s="1469"/>
      <c r="AF967" s="1469"/>
      <c r="AG967" s="1469"/>
      <c r="AH967" s="1469"/>
      <c r="AI967" s="1470"/>
      <c r="AJ967" s="1145">
        <f>SUM(AJ961:AQ965)</f>
        <v>27174280</v>
      </c>
      <c r="AK967" s="1146"/>
      <c r="AL967" s="1146"/>
      <c r="AM967" s="1146"/>
      <c r="AN967" s="1146"/>
      <c r="AO967" s="1146"/>
      <c r="AP967" s="1146"/>
      <c r="AQ967" s="11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4"/>
      <c r="C968" s="1445"/>
      <c r="D968" s="1445"/>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1441" t="s">
        <v>478</v>
      </c>
      <c r="AG968" s="1442"/>
      <c r="AH968" s="1442"/>
      <c r="AI968" s="1443"/>
      <c r="AJ968" s="1444"/>
      <c r="AK968" s="1445"/>
      <c r="AL968" s="1445"/>
      <c r="AM968" s="1445"/>
      <c r="AN968" s="1445"/>
      <c r="AO968" s="1445"/>
      <c r="AP968" s="1445"/>
      <c r="AQ968" s="14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480</v>
      </c>
      <c r="D969" s="1148" t="s">
        <v>1880</v>
      </c>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c r="AB969" s="1149"/>
      <c r="AC969" s="1149"/>
      <c r="AD969" s="1149"/>
      <c r="AE969" s="1150"/>
      <c r="AF969" s="82"/>
      <c r="AG969" s="1153" t="s">
        <v>107</v>
      </c>
      <c r="AH969" s="1154"/>
      <c r="AI969" s="85"/>
      <c r="AJ969" s="1129">
        <f>ROUND(IF(AND(AG969="yes",D975&lt;&gt;""),AJ967*0.2,0),0)</f>
        <v>5434856</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110" t="s">
        <v>2263</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2"/>
      <c r="AK970" s="1133"/>
      <c r="AL970" s="1133"/>
      <c r="AM970" s="1133"/>
      <c r="AN970" s="1133"/>
      <c r="AO970" s="1133"/>
      <c r="AP970" s="1133"/>
      <c r="AQ970" s="11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2"/>
      <c r="AK971" s="1133"/>
      <c r="AL971" s="1133"/>
      <c r="AM971" s="1133"/>
      <c r="AN971" s="1133"/>
      <c r="AO971" s="1133"/>
      <c r="AP971" s="1133"/>
      <c r="AQ971" s="11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2"/>
      <c r="AK972" s="1133"/>
      <c r="AL972" s="1133"/>
      <c r="AM972" s="1133"/>
      <c r="AN972" s="1133"/>
      <c r="AO972" s="1133"/>
      <c r="AP972" s="1133"/>
      <c r="AQ972" s="11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2"/>
      <c r="AK973" s="1133"/>
      <c r="AL973" s="1133"/>
      <c r="AM973" s="1133"/>
      <c r="AN973" s="1133"/>
      <c r="AO973" s="1133"/>
      <c r="AP973" s="1133"/>
      <c r="AQ973" s="11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113" t="s">
        <v>2264</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2"/>
      <c r="AK974" s="1133"/>
      <c r="AL974" s="1133"/>
      <c r="AM974" s="1133"/>
      <c r="AN974" s="1133"/>
      <c r="AO974" s="1133"/>
      <c r="AP974" s="1133"/>
      <c r="AQ974" s="11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450" t="s">
        <v>2500</v>
      </c>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c r="AA975" s="1451"/>
      <c r="AB975" s="1451"/>
      <c r="AC975" s="1451"/>
      <c r="AD975" s="1451"/>
      <c r="AE975" s="1452"/>
      <c r="AF975" s="80"/>
      <c r="AG975" s="11"/>
      <c r="AH975" s="11"/>
      <c r="AI975" s="81"/>
      <c r="AJ975" s="1135"/>
      <c r="AK975" s="1136"/>
      <c r="AL975" s="1136"/>
      <c r="AM975" s="1136"/>
      <c r="AN975" s="1136"/>
      <c r="AO975" s="1136"/>
      <c r="AP975" s="1136"/>
      <c r="AQ975" s="11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172" t="s">
        <v>1987</v>
      </c>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82"/>
      <c r="AG976" s="1151" t="s">
        <v>481</v>
      </c>
      <c r="AH976" s="1152"/>
      <c r="AI976" s="85"/>
      <c r="AJ976" s="1129">
        <f>ROUND(IF(AG976="yes",AJ967*0.05,0),0)</f>
        <v>0</v>
      </c>
      <c r="AK976" s="1130"/>
      <c r="AL976" s="1130"/>
      <c r="AM976" s="1130"/>
      <c r="AN976" s="1130"/>
      <c r="AO976" s="1130"/>
      <c r="AP976" s="1130"/>
      <c r="AQ976" s="11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110" t="s">
        <v>1881</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2"/>
      <c r="AK977" s="1133"/>
      <c r="AL977" s="1133"/>
      <c r="AM977" s="1133"/>
      <c r="AN977" s="1133"/>
      <c r="AO977" s="1133"/>
      <c r="AP977" s="1133"/>
      <c r="AQ977" s="113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2"/>
      <c r="AK978" s="1133"/>
      <c r="AL978" s="1133"/>
      <c r="AM978" s="1133"/>
      <c r="AN978" s="1133"/>
      <c r="AO978" s="1133"/>
      <c r="AP978" s="1133"/>
      <c r="AQ978" s="113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2"/>
      <c r="AK979" s="1133"/>
      <c r="AL979" s="1133"/>
      <c r="AM979" s="1133"/>
      <c r="AN979" s="1133"/>
      <c r="AO979" s="1133"/>
      <c r="AP979" s="1133"/>
      <c r="AQ979" s="113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2"/>
      <c r="AK980" s="1133"/>
      <c r="AL980" s="1133"/>
      <c r="AM980" s="1133"/>
      <c r="AN980" s="1133"/>
      <c r="AO980" s="1133"/>
      <c r="AP980" s="1133"/>
      <c r="AQ980" s="113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5"/>
      <c r="AK981" s="1136"/>
      <c r="AL981" s="1136"/>
      <c r="AM981" s="1136"/>
      <c r="AN981" s="1136"/>
      <c r="AO981" s="1136"/>
      <c r="AP981" s="1136"/>
      <c r="AQ981" s="113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484</v>
      </c>
      <c r="D982" s="1172" t="s">
        <v>1988</v>
      </c>
      <c r="E982" s="1173"/>
      <c r="F982" s="1173"/>
      <c r="G982" s="1173"/>
      <c r="H982" s="1173"/>
      <c r="I982" s="1173"/>
      <c r="J982" s="1173"/>
      <c r="K982" s="1173"/>
      <c r="L982" s="1173"/>
      <c r="M982" s="1173"/>
      <c r="N982" s="1173"/>
      <c r="O982" s="1173"/>
      <c r="P982" s="1173"/>
      <c r="Q982" s="1173"/>
      <c r="R982" s="1173"/>
      <c r="S982" s="1173"/>
      <c r="T982" s="1173"/>
      <c r="U982" s="1173"/>
      <c r="V982" s="1173"/>
      <c r="W982" s="1173"/>
      <c r="X982" s="1173"/>
      <c r="Y982" s="1173"/>
      <c r="Z982" s="1173"/>
      <c r="AA982" s="1173"/>
      <c r="AB982" s="1173"/>
      <c r="AC982" s="1173"/>
      <c r="AD982" s="1173"/>
      <c r="AE982" s="1174"/>
      <c r="AF982" s="84"/>
      <c r="AG982" s="1151" t="s">
        <v>107</v>
      </c>
      <c r="AH982" s="1152"/>
      <c r="AI982" s="85"/>
      <c r="AJ982" s="1129">
        <f>ROUND(IF(AG982="yes",AJ967*0.1,0),0)</f>
        <v>2717428</v>
      </c>
      <c r="AK982" s="1130"/>
      <c r="AL982" s="1130"/>
      <c r="AM982" s="1130"/>
      <c r="AN982" s="1130"/>
      <c r="AO982" s="1130"/>
      <c r="AP982" s="1130"/>
      <c r="AQ982" s="113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5" t="s">
        <v>1989</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32"/>
      <c r="AK983" s="1133"/>
      <c r="AL983" s="1133"/>
      <c r="AM983" s="1133"/>
      <c r="AN983" s="1133"/>
      <c r="AO983" s="1133"/>
      <c r="AP983" s="1133"/>
      <c r="AQ983" s="113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32"/>
      <c r="AK984" s="1133"/>
      <c r="AL984" s="1133"/>
      <c r="AM984" s="1133"/>
      <c r="AN984" s="1133"/>
      <c r="AO984" s="1133"/>
      <c r="AP984" s="1133"/>
      <c r="AQ984" s="113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168"/>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0"/>
      <c r="AG985" s="11"/>
      <c r="AH985" s="11"/>
      <c r="AI985" s="81"/>
      <c r="AJ985" s="1135"/>
      <c r="AK985" s="1136"/>
      <c r="AL985" s="1136"/>
      <c r="AM985" s="1136"/>
      <c r="AN985" s="1136"/>
      <c r="AO985" s="1136"/>
      <c r="AP985" s="1136"/>
      <c r="AQ985" s="113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2" t="s">
        <v>1882</v>
      </c>
      <c r="E986" s="1173"/>
      <c r="F986" s="1173"/>
      <c r="G986" s="1173"/>
      <c r="H986" s="1173"/>
      <c r="I986" s="1173"/>
      <c r="J986" s="1173"/>
      <c r="K986" s="1173"/>
      <c r="L986" s="1173"/>
      <c r="M986" s="1173"/>
      <c r="N986" s="1173"/>
      <c r="O986" s="1173"/>
      <c r="P986" s="1173"/>
      <c r="Q986" s="1173"/>
      <c r="R986" s="1173"/>
      <c r="S986" s="1173"/>
      <c r="T986" s="1173"/>
      <c r="U986" s="1173"/>
      <c r="V986" s="1173"/>
      <c r="W986" s="1173"/>
      <c r="X986" s="1173"/>
      <c r="Y986" s="1173"/>
      <c r="Z986" s="1173"/>
      <c r="AA986" s="1173"/>
      <c r="AB986" s="1173"/>
      <c r="AC986" s="1173"/>
      <c r="AD986" s="1173"/>
      <c r="AE986" s="1174"/>
      <c r="AF986" s="82"/>
      <c r="AG986" s="1151" t="s">
        <v>481</v>
      </c>
      <c r="AH986" s="1152"/>
      <c r="AI986" s="85"/>
      <c r="AJ986" s="1129">
        <f>ROUND(IF(AG986="yes",AJ967*0.02,0),0)</f>
        <v>0</v>
      </c>
      <c r="AK986" s="1130"/>
      <c r="AL986" s="1130"/>
      <c r="AM986" s="1130"/>
      <c r="AN986" s="1130"/>
      <c r="AO986" s="1130"/>
      <c r="AP986" s="1130"/>
      <c r="AQ986" s="113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8" t="s">
        <v>1883</v>
      </c>
      <c r="E987" s="1169"/>
      <c r="F987" s="1169"/>
      <c r="G987" s="1169"/>
      <c r="H987" s="1169"/>
      <c r="I987" s="1169"/>
      <c r="J987" s="1169"/>
      <c r="K987" s="1169"/>
      <c r="L987" s="1169"/>
      <c r="M987" s="1169"/>
      <c r="N987" s="1169"/>
      <c r="O987" s="1169"/>
      <c r="P987" s="1169"/>
      <c r="Q987" s="1169"/>
      <c r="R987" s="1169"/>
      <c r="S987" s="1169"/>
      <c r="T987" s="1169"/>
      <c r="U987" s="1169"/>
      <c r="V987" s="1169"/>
      <c r="W987" s="1169"/>
      <c r="X987" s="1169"/>
      <c r="Y987" s="1169"/>
      <c r="Z987" s="1169"/>
      <c r="AA987" s="1169"/>
      <c r="AB987" s="1169"/>
      <c r="AC987" s="1169"/>
      <c r="AD987" s="1169"/>
      <c r="AE987" s="1170"/>
      <c r="AF987" s="80"/>
      <c r="AG987" s="11"/>
      <c r="AH987" s="11"/>
      <c r="AI987" s="81"/>
      <c r="AJ987" s="1135"/>
      <c r="AK987" s="1136"/>
      <c r="AL987" s="1136"/>
      <c r="AM987" s="1136"/>
      <c r="AN987" s="1136"/>
      <c r="AO987" s="1136"/>
      <c r="AP987" s="1136"/>
      <c r="AQ987" s="113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2" t="s">
        <v>1884</v>
      </c>
      <c r="E988" s="1173"/>
      <c r="F988" s="1173"/>
      <c r="G988" s="1173"/>
      <c r="H988" s="1173"/>
      <c r="I988" s="1173"/>
      <c r="J988" s="1173"/>
      <c r="K988" s="1173"/>
      <c r="L988" s="1173"/>
      <c r="M988" s="1173"/>
      <c r="N988" s="1173"/>
      <c r="O988" s="1173"/>
      <c r="P988" s="1173"/>
      <c r="Q988" s="1173"/>
      <c r="R988" s="1173"/>
      <c r="S988" s="1173"/>
      <c r="T988" s="1173"/>
      <c r="U988" s="1173"/>
      <c r="V988" s="1173"/>
      <c r="W988" s="1173"/>
      <c r="X988" s="1173"/>
      <c r="Y988" s="1173"/>
      <c r="Z988" s="1173"/>
      <c r="AA988" s="1173"/>
      <c r="AB988" s="1173"/>
      <c r="AC988" s="1173"/>
      <c r="AD988" s="1173"/>
      <c r="AE988" s="1174"/>
      <c r="AF988" s="82"/>
      <c r="AG988" s="1151" t="s">
        <v>481</v>
      </c>
      <c r="AH988" s="1152"/>
      <c r="AI988" s="82"/>
      <c r="AJ988" s="1129">
        <f>ROUND(IF(AG988="yes",AJ967*0.02,0),0)</f>
        <v>0</v>
      </c>
      <c r="AK988" s="1130"/>
      <c r="AL988" s="1130"/>
      <c r="AM988" s="1130"/>
      <c r="AN988" s="1130"/>
      <c r="AO988" s="1130"/>
      <c r="AP988" s="1130"/>
      <c r="AQ988" s="1131"/>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5" t="s">
        <v>1885</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86" t="str">
        <f>IF(AND(AG988="yes",AF215&lt;&gt;1),"The project may not be eligible for this boost","")</f>
        <v/>
      </c>
      <c r="AG989" s="1087"/>
      <c r="AH989" s="1087"/>
      <c r="AI989" s="1088"/>
      <c r="AJ989" s="1132"/>
      <c r="AK989" s="1133"/>
      <c r="AL989" s="1133"/>
      <c r="AM989" s="1133"/>
      <c r="AN989" s="1133"/>
      <c r="AO989" s="1133"/>
      <c r="AP989" s="1133"/>
      <c r="AQ989" s="1134"/>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168"/>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1089"/>
      <c r="AG990" s="1090"/>
      <c r="AH990" s="1090"/>
      <c r="AI990" s="1091"/>
      <c r="AJ990" s="1135"/>
      <c r="AK990" s="1136"/>
      <c r="AL990" s="1136"/>
      <c r="AM990" s="1136"/>
      <c r="AN990" s="1136"/>
      <c r="AO990" s="1136"/>
      <c r="AP990" s="1136"/>
      <c r="AQ990" s="1137"/>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8" t="s">
        <v>1886</v>
      </c>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c r="AB991" s="1149"/>
      <c r="AC991" s="1149"/>
      <c r="AD991" s="1149"/>
      <c r="AE991" s="1150"/>
      <c r="AF991" s="82"/>
      <c r="AG991" s="1151" t="s">
        <v>481</v>
      </c>
      <c r="AH991" s="1152"/>
      <c r="AI991" s="85"/>
      <c r="AJ991" s="1129">
        <f>IF(AG991="yes",AJ967*BA992,0)</f>
        <v>0</v>
      </c>
      <c r="AK991" s="1130"/>
      <c r="AL991" s="1130"/>
      <c r="AM991" s="1130"/>
      <c r="AN991" s="1130"/>
      <c r="AO991" s="1130"/>
      <c r="AP991" s="1130"/>
      <c r="AQ991" s="113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5" t="s">
        <v>1990</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16" t="str">
        <f>IF(AND(AG991="Yes",BA992=0),BA994,"")</f>
        <v/>
      </c>
      <c r="AG992" s="1117"/>
      <c r="AH992" s="1117"/>
      <c r="AI992" s="1118"/>
      <c r="AJ992" s="1132"/>
      <c r="AK992" s="1133"/>
      <c r="AL992" s="1133"/>
      <c r="AM992" s="1133"/>
      <c r="AN992" s="1133"/>
      <c r="AO992" s="1133"/>
      <c r="AP992" s="1133"/>
      <c r="AQ992" s="1134"/>
      <c r="AR992" s="43"/>
      <c r="AS992" s="43"/>
      <c r="AT992" s="43"/>
      <c r="AU992" s="43"/>
      <c r="AV992" s="43"/>
      <c r="AW992" s="43"/>
      <c r="AX992" s="43"/>
      <c r="AY992" s="43"/>
      <c r="AZ992" s="43"/>
      <c r="BA992" s="960">
        <f>IF(SUM(BA983:BA991)&lt;=0.1,SUM(BA983:BA991),0.1)</f>
        <v>0</v>
      </c>
      <c r="BB992" s="41" t="s">
        <v>2001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16"/>
      <c r="AG993" s="1117"/>
      <c r="AH993" s="1117"/>
      <c r="AI993" s="1118"/>
      <c r="AJ993" s="1132"/>
      <c r="AK993" s="1133"/>
      <c r="AL993" s="1133"/>
      <c r="AM993" s="1133"/>
      <c r="AN993" s="1133"/>
      <c r="AO993" s="1133"/>
      <c r="AP993" s="1133"/>
      <c r="AQ993" s="113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1119"/>
      <c r="AG994" s="1120"/>
      <c r="AH994" s="1120"/>
      <c r="AI994" s="1121"/>
      <c r="AJ994" s="1135"/>
      <c r="AK994" s="1136"/>
      <c r="AL994" s="1136"/>
      <c r="AM994" s="1136"/>
      <c r="AN994" s="1136"/>
      <c r="AO994" s="1136"/>
      <c r="AP994" s="1136"/>
      <c r="AQ994" s="113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5" t="s">
        <v>1887</v>
      </c>
      <c r="E995" s="1176"/>
      <c r="F995" s="1176"/>
      <c r="G995" s="1176"/>
      <c r="H995" s="1176"/>
      <c r="I995" s="1176"/>
      <c r="J995" s="1176"/>
      <c r="K995" s="1176"/>
      <c r="L995" s="1176"/>
      <c r="M995" s="1176"/>
      <c r="N995" s="1176"/>
      <c r="O995" s="1176"/>
      <c r="P995" s="1176"/>
      <c r="Q995" s="1176"/>
      <c r="R995" s="1176"/>
      <c r="S995" s="1176"/>
      <c r="T995" s="1176"/>
      <c r="U995" s="1176"/>
      <c r="V995" s="1176"/>
      <c r="W995" s="1176"/>
      <c r="X995" s="1176"/>
      <c r="Y995" s="1176"/>
      <c r="Z995" s="1176"/>
      <c r="AA995" s="1176"/>
      <c r="AB995" s="1176"/>
      <c r="AC995" s="1176"/>
      <c r="AD995" s="1176"/>
      <c r="AE995" s="1177"/>
      <c r="AF995" s="82"/>
      <c r="AG995" s="1151" t="s">
        <v>481</v>
      </c>
      <c r="AH995" s="1152"/>
      <c r="AI995" s="85"/>
      <c r="AJ995" s="1129">
        <f>ROUND(IF(AND(AG995="Yes",AF998&lt;&gt;"",J999&lt;&gt;"N/A"),MIN(AF998,(0.15*AJ967)),0),0)</f>
        <v>0</v>
      </c>
      <c r="AK995" s="1130"/>
      <c r="AL995" s="1130"/>
      <c r="AM995" s="1130"/>
      <c r="AN995" s="1130"/>
      <c r="AO995" s="1130"/>
      <c r="AP995" s="1130"/>
      <c r="AQ995" s="113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178"/>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1116" t="str">
        <f>IF(AG995="yes","Please Select Type and Enter Amount:","")</f>
        <v/>
      </c>
      <c r="AG996" s="1117"/>
      <c r="AH996" s="1117"/>
      <c r="AI996" s="1118"/>
      <c r="AJ996" s="1132"/>
      <c r="AK996" s="1133"/>
      <c r="AL996" s="1133"/>
      <c r="AM996" s="1133"/>
      <c r="AN996" s="1133"/>
      <c r="AO996" s="1133"/>
      <c r="AP996" s="1133"/>
      <c r="AQ996" s="113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165" t="s">
        <v>1888</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16"/>
      <c r="AG997" s="1117"/>
      <c r="AH997" s="1117"/>
      <c r="AI997" s="1118"/>
      <c r="AJ997" s="1132"/>
      <c r="AK997" s="1133"/>
      <c r="AL997" s="1133"/>
      <c r="AM997" s="1133"/>
      <c r="AN997" s="1133"/>
      <c r="AO997" s="1133"/>
      <c r="AP997" s="1133"/>
      <c r="AQ997" s="113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9"/>
      <c r="AG998" s="1539"/>
      <c r="AH998" s="1539"/>
      <c r="AI998" s="1539"/>
      <c r="AJ998" s="1132"/>
      <c r="AK998" s="1133"/>
      <c r="AL998" s="1133"/>
      <c r="AM998" s="1133"/>
      <c r="AN998" s="1133"/>
      <c r="AO998" s="1133"/>
      <c r="AP998" s="1133"/>
      <c r="AQ998" s="113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882</v>
      </c>
      <c r="E999" s="88"/>
      <c r="F999" s="88"/>
      <c r="G999" s="410"/>
      <c r="H999" s="410"/>
      <c r="I999" s="55"/>
      <c r="J999" s="1181" t="s">
        <v>123</v>
      </c>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539"/>
      <c r="AG999" s="1539"/>
      <c r="AH999" s="1539"/>
      <c r="AI999" s="1539"/>
      <c r="AJ999" s="1135"/>
      <c r="AK999" s="1136"/>
      <c r="AL999" s="1136"/>
      <c r="AM999" s="1136"/>
      <c r="AN999" s="1136"/>
      <c r="AO999" s="1136"/>
      <c r="AP999" s="1136"/>
      <c r="AQ999" s="113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2" t="s">
        <v>1889</v>
      </c>
      <c r="E1000" s="1173"/>
      <c r="F1000" s="1173"/>
      <c r="G1000" s="1173"/>
      <c r="H1000" s="1173"/>
      <c r="I1000" s="1173"/>
      <c r="J1000" s="1173"/>
      <c r="K1000" s="1173"/>
      <c r="L1000" s="1173"/>
      <c r="M1000" s="1173"/>
      <c r="N1000" s="1173"/>
      <c r="O1000" s="1173"/>
      <c r="P1000" s="1173"/>
      <c r="Q1000" s="1173"/>
      <c r="R1000" s="1173"/>
      <c r="S1000" s="1173"/>
      <c r="T1000" s="1173"/>
      <c r="U1000" s="1173"/>
      <c r="V1000" s="1173"/>
      <c r="W1000" s="1173"/>
      <c r="X1000" s="1173"/>
      <c r="Y1000" s="1173"/>
      <c r="Z1000" s="1173"/>
      <c r="AA1000" s="1173"/>
      <c r="AB1000" s="1173"/>
      <c r="AC1000" s="1173"/>
      <c r="AD1000" s="1173"/>
      <c r="AE1000" s="1174"/>
      <c r="AF1000" s="82"/>
      <c r="AG1000" s="1151" t="s">
        <v>107</v>
      </c>
      <c r="AH1000" s="1152"/>
      <c r="AI1000" s="85"/>
      <c r="AJ1000" s="1129">
        <f>ROUND(IF(AG1000="Yes",AF1002,0),0)</f>
        <v>1283087</v>
      </c>
      <c r="AK1000" s="1130"/>
      <c r="AL1000" s="1130"/>
      <c r="AM1000" s="1130"/>
      <c r="AN1000" s="1130"/>
      <c r="AO1000" s="1130"/>
      <c r="AP1000" s="1130"/>
      <c r="AQ1000" s="113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5" t="s">
        <v>1991</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40" t="str">
        <f>IF(AG1000="yes","Please Enter Amount:","")</f>
        <v>Please Enter Amount:</v>
      </c>
      <c r="AG1001" s="1541"/>
      <c r="AH1001" s="1541"/>
      <c r="AI1001" s="1542"/>
      <c r="AJ1001" s="1132"/>
      <c r="AK1001" s="1133"/>
      <c r="AL1001" s="1133"/>
      <c r="AM1001" s="1133"/>
      <c r="AN1001" s="1133"/>
      <c r="AO1001" s="1133"/>
      <c r="AP1001" s="1133"/>
      <c r="AQ1001" s="113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9">
        <v>1283087</v>
      </c>
      <c r="AG1002" s="1539"/>
      <c r="AH1002" s="1539"/>
      <c r="AI1002" s="1539"/>
      <c r="AJ1002" s="1132"/>
      <c r="AK1002" s="1133"/>
      <c r="AL1002" s="1133"/>
      <c r="AM1002" s="1133"/>
      <c r="AN1002" s="1133"/>
      <c r="AO1002" s="1133"/>
      <c r="AP1002" s="1133"/>
      <c r="AQ1002" s="113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539"/>
      <c r="AG1003" s="1539"/>
      <c r="AH1003" s="1539"/>
      <c r="AI1003" s="1539"/>
      <c r="AJ1003" s="1135"/>
      <c r="AK1003" s="1136"/>
      <c r="AL1003" s="1136"/>
      <c r="AM1003" s="1136"/>
      <c r="AN1003" s="1136"/>
      <c r="AO1003" s="1136"/>
      <c r="AP1003" s="1136"/>
      <c r="AQ1003" s="1137"/>
      <c r="AT1003" s="43"/>
      <c r="AU1003" s="43"/>
      <c r="AV1003" s="43"/>
      <c r="AW1003" s="43"/>
      <c r="AX1003" s="38"/>
      <c r="AY1003" s="38"/>
      <c r="AZ1003" s="21"/>
      <c r="BA1003" s="21"/>
      <c r="BB1003" s="21"/>
      <c r="BC1003" s="43"/>
      <c r="BD1003" s="43"/>
    </row>
    <row r="1004" spans="1:97" ht="12.9" customHeight="1">
      <c r="A1004" s="21"/>
      <c r="B1004" s="82"/>
      <c r="C1004" s="555" t="s">
        <v>577</v>
      </c>
      <c r="D1004" s="1148" t="s">
        <v>1890</v>
      </c>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50"/>
      <c r="AF1004" s="82"/>
      <c r="AG1004" s="1151" t="s">
        <v>107</v>
      </c>
      <c r="AH1004" s="1152"/>
      <c r="AI1004" s="85"/>
      <c r="AJ1004" s="1129">
        <f>ROUND(IF(AG1004="yes",(AJ967*0.1),0),0)</f>
        <v>2717428</v>
      </c>
      <c r="AK1004" s="1130"/>
      <c r="AL1004" s="1130"/>
      <c r="AM1004" s="1130"/>
      <c r="AN1004" s="1130"/>
      <c r="AO1004" s="1130"/>
      <c r="AP1004" s="1130"/>
      <c r="AQ1004" s="1131"/>
      <c r="AT1004" s="43"/>
      <c r="AU1004" s="43"/>
      <c r="AV1004" s="43"/>
      <c r="AW1004" s="43"/>
      <c r="AX1004" s="38"/>
      <c r="AY1004" s="38"/>
      <c r="AZ1004" s="21"/>
      <c r="BA1004" s="21"/>
      <c r="BB1004" s="21"/>
      <c r="BC1004" s="43"/>
      <c r="BD1004" s="43"/>
    </row>
    <row r="1005" spans="1:97" ht="12.9" customHeight="1">
      <c r="A1005" s="21"/>
      <c r="B1005" s="79"/>
      <c r="C1005" s="556"/>
      <c r="D1005" s="1165" t="s">
        <v>1891</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32"/>
      <c r="AK1005" s="1133"/>
      <c r="AL1005" s="1133"/>
      <c r="AM1005" s="1133"/>
      <c r="AN1005" s="1133"/>
      <c r="AO1005" s="1133"/>
      <c r="AP1005" s="1133"/>
      <c r="AQ1005" s="1134"/>
      <c r="AT1005" s="43"/>
      <c r="AU1005" s="43"/>
      <c r="AV1005" s="43"/>
      <c r="AW1005" s="43"/>
      <c r="AX1005" s="38"/>
      <c r="AY1005" s="38"/>
      <c r="AZ1005" s="21"/>
      <c r="BA1005" s="21"/>
      <c r="BB1005" s="21"/>
      <c r="BC1005" s="43"/>
      <c r="BD1005" s="43"/>
    </row>
    <row r="1006" spans="1:97" ht="12.9" customHeight="1">
      <c r="A1006" s="554"/>
      <c r="B1006" s="80"/>
      <c r="C1006" s="556"/>
      <c r="D1006" s="1168"/>
      <c r="E1006" s="1169"/>
      <c r="F1006" s="1169"/>
      <c r="G1006" s="1169"/>
      <c r="H1006" s="1169"/>
      <c r="I1006" s="1169"/>
      <c r="J1006" s="1169"/>
      <c r="K1006" s="1169"/>
      <c r="L1006" s="1169"/>
      <c r="M1006" s="1169"/>
      <c r="N1006" s="1169"/>
      <c r="O1006" s="1169"/>
      <c r="P1006" s="1169"/>
      <c r="Q1006" s="1169"/>
      <c r="R1006" s="1169"/>
      <c r="S1006" s="1169"/>
      <c r="T1006" s="1169"/>
      <c r="U1006" s="1169"/>
      <c r="V1006" s="1169"/>
      <c r="W1006" s="1169"/>
      <c r="X1006" s="1169"/>
      <c r="Y1006" s="1169"/>
      <c r="Z1006" s="1169"/>
      <c r="AA1006" s="1169"/>
      <c r="AB1006" s="1169"/>
      <c r="AC1006" s="1169"/>
      <c r="AD1006" s="1169"/>
      <c r="AE1006" s="1170"/>
      <c r="AF1006" s="79"/>
      <c r="AG1006" s="21"/>
      <c r="AH1006" s="21"/>
      <c r="AI1006" s="83"/>
      <c r="AJ1006" s="1135"/>
      <c r="AK1006" s="1136"/>
      <c r="AL1006" s="1136"/>
      <c r="AM1006" s="1136"/>
      <c r="AN1006" s="1136"/>
      <c r="AO1006" s="1136"/>
      <c r="AP1006" s="1136"/>
      <c r="AQ1006" s="1137"/>
      <c r="AT1006" s="43"/>
      <c r="AU1006" s="43"/>
      <c r="AV1006" s="43"/>
      <c r="AW1006" s="43"/>
      <c r="AX1006" s="38"/>
      <c r="AY1006" s="38"/>
      <c r="AZ1006" s="21"/>
      <c r="BA1006" s="21"/>
      <c r="BB1006" s="21"/>
      <c r="BC1006" s="43"/>
      <c r="BD1006" s="43"/>
    </row>
    <row r="1007" spans="1:97" ht="12.9" customHeight="1">
      <c r="A1007" s="554"/>
      <c r="B1007" s="79"/>
      <c r="C1007" s="555" t="s">
        <v>580</v>
      </c>
      <c r="D1007" s="1172" t="s">
        <v>1992</v>
      </c>
      <c r="E1007" s="1173"/>
      <c r="F1007" s="1173"/>
      <c r="G1007" s="1173"/>
      <c r="H1007" s="1173"/>
      <c r="I1007" s="1173"/>
      <c r="J1007" s="1173"/>
      <c r="K1007" s="1173"/>
      <c r="L1007" s="1173"/>
      <c r="M1007" s="1173"/>
      <c r="N1007" s="1173"/>
      <c r="O1007" s="1173"/>
      <c r="P1007" s="1173"/>
      <c r="Q1007" s="1173"/>
      <c r="R1007" s="1173"/>
      <c r="S1007" s="1173"/>
      <c r="T1007" s="1173"/>
      <c r="U1007" s="1173"/>
      <c r="V1007" s="1173"/>
      <c r="W1007" s="1173"/>
      <c r="X1007" s="1173"/>
      <c r="Y1007" s="1173"/>
      <c r="Z1007" s="1173"/>
      <c r="AA1007" s="1173"/>
      <c r="AB1007" s="1173"/>
      <c r="AC1007" s="1173"/>
      <c r="AD1007" s="1173"/>
      <c r="AE1007" s="1174"/>
      <c r="AF1007" s="82"/>
      <c r="AG1007" s="1151" t="s">
        <v>481</v>
      </c>
      <c r="AH1007" s="1152"/>
      <c r="AI1007" s="85"/>
      <c r="AJ1007" s="1129">
        <f>ROUND(IF(AG1007="yes",(AJ967*0.15),0),0)</f>
        <v>0</v>
      </c>
      <c r="AK1007" s="1130"/>
      <c r="AL1007" s="1130"/>
      <c r="AM1007" s="1130"/>
      <c r="AN1007" s="1130"/>
      <c r="AO1007" s="1130"/>
      <c r="AP1007" s="1130"/>
      <c r="AQ1007" s="1131"/>
      <c r="AT1007" s="43"/>
      <c r="AU1007" s="43"/>
      <c r="AV1007" s="43"/>
      <c r="AW1007" s="43"/>
      <c r="AX1007" s="43"/>
      <c r="AY1007" s="43"/>
      <c r="AZ1007" s="43"/>
      <c r="BA1007" s="43"/>
      <c r="BB1007" s="43"/>
      <c r="BC1007" s="43"/>
      <c r="BD1007" s="43"/>
    </row>
    <row r="1008" spans="1:97" ht="12.9" customHeight="1">
      <c r="A1008" s="554"/>
      <c r="B1008" s="79"/>
      <c r="C1008" s="556"/>
      <c r="D1008" s="1160" t="s">
        <v>1993</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1"/>
      <c r="AF1008" s="870"/>
      <c r="AG1008" s="871"/>
      <c r="AH1008" s="871"/>
      <c r="AI1008" s="872"/>
      <c r="AJ1008" s="1132"/>
      <c r="AK1008" s="1133"/>
      <c r="AL1008" s="1133"/>
      <c r="AM1008" s="1133"/>
      <c r="AN1008" s="1133"/>
      <c r="AO1008" s="1133"/>
      <c r="AP1008" s="1133"/>
      <c r="AQ1008" s="113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0"/>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1"/>
      <c r="AF1009" s="870"/>
      <c r="AG1009" s="871"/>
      <c r="AH1009" s="871"/>
      <c r="AI1009" s="872"/>
      <c r="AJ1009" s="1132"/>
      <c r="AK1009" s="1133"/>
      <c r="AL1009" s="1133"/>
      <c r="AM1009" s="1133"/>
      <c r="AN1009" s="1133"/>
      <c r="AO1009" s="1133"/>
      <c r="AP1009" s="1133"/>
      <c r="AQ1009" s="113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3"/>
      <c r="AG1010" s="874"/>
      <c r="AH1010" s="874"/>
      <c r="AI1010" s="875"/>
      <c r="AJ1010" s="1135"/>
      <c r="AK1010" s="1136"/>
      <c r="AL1010" s="1136"/>
      <c r="AM1010" s="1136"/>
      <c r="AN1010" s="1136"/>
      <c r="AO1010" s="1136"/>
      <c r="AP1010" s="1136"/>
      <c r="AQ1010" s="113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8" t="s">
        <v>1994</v>
      </c>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c r="AB1011" s="1149"/>
      <c r="AC1011" s="1149"/>
      <c r="AD1011" s="1149"/>
      <c r="AE1011" s="1150"/>
      <c r="AF1011" s="79"/>
      <c r="AG1011" s="1158" t="s">
        <v>481</v>
      </c>
      <c r="AH1011" s="1159"/>
      <c r="AI1011" s="83"/>
      <c r="AJ1011" s="1129">
        <f>ROUND(IF(AG1011="yes",(AJ967*0.1),0),0)</f>
        <v>0</v>
      </c>
      <c r="AK1011" s="1130"/>
      <c r="AL1011" s="1130"/>
      <c r="AM1011" s="1130"/>
      <c r="AN1011" s="1130"/>
      <c r="AO1011" s="1130"/>
      <c r="AP1011" s="1130"/>
      <c r="AQ1011" s="113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0" t="s">
        <v>1995</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1"/>
      <c r="AF1012" s="79"/>
      <c r="AG1012" s="21"/>
      <c r="AH1012" s="21"/>
      <c r="AI1012" s="83"/>
      <c r="AJ1012" s="1132"/>
      <c r="AK1012" s="1133"/>
      <c r="AL1012" s="1133"/>
      <c r="AM1012" s="1133"/>
      <c r="AN1012" s="1133"/>
      <c r="AO1012" s="1133"/>
      <c r="AP1012" s="1133"/>
      <c r="AQ1012" s="113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0"/>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1"/>
      <c r="AF1013" s="79"/>
      <c r="AG1013" s="21"/>
      <c r="AH1013" s="21"/>
      <c r="AI1013" s="83"/>
      <c r="AJ1013" s="1132"/>
      <c r="AK1013" s="1133"/>
      <c r="AL1013" s="1133"/>
      <c r="AM1013" s="1133"/>
      <c r="AN1013" s="1133"/>
      <c r="AO1013" s="1133"/>
      <c r="AP1013" s="1133"/>
      <c r="AQ1013" s="113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0"/>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1"/>
      <c r="AF1014" s="79"/>
      <c r="AG1014" s="21"/>
      <c r="AH1014" s="21"/>
      <c r="AI1014" s="83"/>
      <c r="AJ1014" s="1132"/>
      <c r="AK1014" s="1133"/>
      <c r="AL1014" s="1133"/>
      <c r="AM1014" s="1133"/>
      <c r="AN1014" s="1133"/>
      <c r="AO1014" s="1133"/>
      <c r="AP1014" s="1133"/>
      <c r="AQ1014" s="113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32"/>
      <c r="AK1015" s="1133"/>
      <c r="AL1015" s="1133"/>
      <c r="AM1015" s="1133"/>
      <c r="AN1015" s="1133"/>
      <c r="AO1015" s="1133"/>
      <c r="AP1015" s="1133"/>
      <c r="AQ1015" s="113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1996</v>
      </c>
      <c r="D1016" s="1172" t="s">
        <v>1892</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51" t="s">
        <v>481</v>
      </c>
      <c r="AH1016" s="1152"/>
      <c r="AI1016" s="85"/>
      <c r="AJ1016" s="1129">
        <f>ROUND(IF(AG1016="yes",(AJ967*0.1),0),0)</f>
        <v>0</v>
      </c>
      <c r="AK1016" s="1130"/>
      <c r="AL1016" s="1130"/>
      <c r="AM1016" s="1130"/>
      <c r="AN1016" s="1130"/>
      <c r="AO1016" s="1130"/>
      <c r="AP1016" s="1130"/>
      <c r="AQ1016" s="113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5" t="s">
        <v>2204</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32"/>
      <c r="AK1017" s="1133"/>
      <c r="AL1017" s="1133"/>
      <c r="AM1017" s="1133"/>
      <c r="AN1017" s="1133"/>
      <c r="AO1017" s="1133"/>
      <c r="AP1017" s="1133"/>
      <c r="AQ1017" s="113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32"/>
      <c r="AK1018" s="1133"/>
      <c r="AL1018" s="1133"/>
      <c r="AM1018" s="1133"/>
      <c r="AN1018" s="1133"/>
      <c r="AO1018" s="1133"/>
      <c r="AP1018" s="1133"/>
      <c r="AQ1018" s="113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8"/>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21"/>
      <c r="AH1019" s="21"/>
      <c r="AI1019" s="83"/>
      <c r="AJ1019" s="1135"/>
      <c r="AK1019" s="1136"/>
      <c r="AL1019" s="1136"/>
      <c r="AM1019" s="1136"/>
      <c r="AN1019" s="1136"/>
      <c r="AO1019" s="1136"/>
      <c r="AP1019" s="1136"/>
      <c r="AQ1019" s="113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559" t="s">
        <v>747</v>
      </c>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59"/>
      <c r="AF1020" s="1559"/>
      <c r="AG1020" s="1559"/>
      <c r="AH1020" s="1559"/>
      <c r="AI1020" s="1560"/>
      <c r="AJ1020" s="1561">
        <f>SUM(AJ967:AQ1019)</f>
        <v>39327079</v>
      </c>
      <c r="AK1020" s="1562"/>
      <c r="AL1020" s="1562"/>
      <c r="AM1020" s="1562"/>
      <c r="AN1020" s="1562"/>
      <c r="AO1020" s="1562"/>
      <c r="AP1020" s="1562"/>
      <c r="AQ1020" s="156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1">
        <f>'Sources and Uses Budget'!S106+'Sources and Uses Budget'!T106</f>
        <v>37957353</v>
      </c>
      <c r="Y1024" s="1391"/>
      <c r="Z1024" s="1391"/>
      <c r="AA1024" s="1391"/>
      <c r="AB1024" s="1391"/>
      <c r="AC1024" s="139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7">
        <f>IFERROR(X1024/AJ1020,"")</f>
        <v>0.9651709195081587</v>
      </c>
      <c r="Y1025" s="1388"/>
      <c r="Z1025" s="1388"/>
      <c r="AA1025" s="1388"/>
      <c r="AB1025" s="1388"/>
      <c r="AC1025" s="138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3"/>
      <c r="F1026" s="1173"/>
      <c r="G1026" s="1173"/>
      <c r="H1026" s="1173"/>
      <c r="I1026" s="1173"/>
      <c r="J1026" s="1173"/>
      <c r="K1026" s="1173"/>
      <c r="L1026" s="1173"/>
      <c r="M1026" s="1173"/>
      <c r="N1026" s="1173"/>
      <c r="O1026" s="1173"/>
      <c r="P1026" s="1173"/>
      <c r="Q1026" s="1173"/>
      <c r="R1026" s="1173"/>
      <c r="S1026" s="1173"/>
      <c r="T1026" s="1173"/>
      <c r="U1026" s="1173"/>
      <c r="V1026" s="1173"/>
      <c r="W1026" s="1173"/>
      <c r="X1026" s="1173"/>
      <c r="Y1026" s="1173"/>
      <c r="Z1026" s="1173"/>
      <c r="AA1026" s="1173"/>
      <c r="AB1026" s="1173"/>
      <c r="AC1026" s="1173"/>
      <c r="AD1026" s="1173"/>
      <c r="AE1026" s="1173"/>
      <c r="AF1026" s="1173"/>
      <c r="AG1026" s="1173"/>
      <c r="AH1026" s="1173"/>
      <c r="AI1026" s="1173"/>
      <c r="AJ1026" s="1173"/>
      <c r="AK1026" s="117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3"/>
      <c r="E1027" s="1173"/>
      <c r="F1027" s="1173"/>
      <c r="G1027" s="1173"/>
      <c r="H1027" s="1173"/>
      <c r="I1027" s="1173"/>
      <c r="J1027" s="1173"/>
      <c r="K1027" s="1173"/>
      <c r="L1027" s="1173"/>
      <c r="M1027" s="1173"/>
      <c r="N1027" s="1173"/>
      <c r="O1027" s="1173"/>
      <c r="P1027" s="1173"/>
      <c r="Q1027" s="1173"/>
      <c r="R1027" s="1173"/>
      <c r="S1027" s="1173"/>
      <c r="T1027" s="1173"/>
      <c r="U1027" s="1173"/>
      <c r="V1027" s="1173"/>
      <c r="W1027" s="1173"/>
      <c r="X1027" s="1173"/>
      <c r="Y1027" s="1173"/>
      <c r="Z1027" s="1173"/>
      <c r="AA1027" s="1173"/>
      <c r="AB1027" s="1173"/>
      <c r="AC1027" s="1173"/>
      <c r="AD1027" s="1173"/>
      <c r="AE1027" s="1173"/>
      <c r="AF1027" s="1173"/>
      <c r="AG1027" s="1173"/>
      <c r="AH1027" s="1173"/>
      <c r="AI1027" s="1173"/>
      <c r="AJ1027" s="1173"/>
      <c r="AK1027" s="117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3"/>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3"/>
      <c r="AF1028" s="1173"/>
      <c r="AG1028" s="1173"/>
      <c r="AH1028" s="1173"/>
      <c r="AI1028" s="1173"/>
      <c r="AJ1028" s="1173"/>
      <c r="AK1028" s="117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0"/>
      <c r="C1031" s="1390"/>
      <c r="D1031" s="1390"/>
      <c r="E1031" s="1390"/>
      <c r="F1031" s="1390"/>
      <c r="G1031" s="1390"/>
      <c r="H1031" s="1390"/>
      <c r="I1031" s="1390"/>
      <c r="J1031" s="1390"/>
      <c r="K1031" s="1390"/>
      <c r="L1031" s="1390"/>
      <c r="M1031" s="1390"/>
      <c r="N1031" s="1390"/>
      <c r="O1031" s="1390"/>
      <c r="P1031" s="1390"/>
      <c r="Q1031" s="1390"/>
      <c r="R1031" s="1390"/>
      <c r="S1031" s="1390"/>
      <c r="T1031" s="1390"/>
      <c r="U1031" s="1390"/>
      <c r="V1031" s="1390"/>
      <c r="W1031" s="1390"/>
      <c r="X1031" s="1390"/>
      <c r="Y1031" s="1390"/>
      <c r="Z1031" s="1390"/>
      <c r="AA1031" s="1390"/>
      <c r="AB1031" s="1390"/>
      <c r="AC1031" s="1390"/>
      <c r="AD1031" s="1390"/>
      <c r="AE1031" s="1390"/>
      <c r="AF1031" s="1390"/>
      <c r="AG1031" s="1390"/>
      <c r="AH1031" s="1390"/>
      <c r="AI1031" s="1390"/>
      <c r="AJ1031" s="1390"/>
      <c r="AK1031" s="139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1" t="s">
        <v>988</v>
      </c>
      <c r="B1032" s="1171"/>
      <c r="C1032" s="1171"/>
      <c r="D1032" s="1171"/>
      <c r="E1032" s="1171"/>
      <c r="F1032" s="1171"/>
      <c r="G1032" s="1171"/>
      <c r="H1032" s="1171"/>
      <c r="I1032" s="1171"/>
      <c r="J1032" s="1171"/>
      <c r="K1032" s="1171"/>
      <c r="L1032" s="1171"/>
      <c r="M1032" s="1171"/>
      <c r="N1032" s="1171"/>
      <c r="O1032" s="1171"/>
      <c r="P1032" s="1171"/>
      <c r="Q1032" s="1171"/>
      <c r="R1032" s="1171"/>
      <c r="S1032" s="1171"/>
      <c r="T1032" s="1171"/>
      <c r="U1032" s="1171"/>
      <c r="V1032" s="1171"/>
      <c r="W1032" s="1171"/>
      <c r="X1032" s="1171"/>
      <c r="Y1032" s="1171"/>
      <c r="Z1032" s="1171"/>
      <c r="AA1032" s="1171"/>
      <c r="AB1032" s="1171"/>
      <c r="AC1032" s="1171"/>
      <c r="AD1032" s="1171"/>
      <c r="AE1032" s="1171"/>
      <c r="AF1032" s="1171"/>
      <c r="AG1032" s="1171"/>
      <c r="AH1032" s="1171"/>
      <c r="AI1032" s="1171"/>
      <c r="AJ1032" s="1171"/>
      <c r="AK1032" s="1171"/>
      <c r="AL1032" s="1171"/>
      <c r="AM1032" s="1171"/>
      <c r="AN1032" s="1171"/>
      <c r="AO1032" s="1171"/>
      <c r="AP1032" s="1171"/>
      <c r="AQ1032" s="1171"/>
      <c r="AR1032" s="1171"/>
      <c r="AS1032" s="1171"/>
      <c r="AT1032" s="117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123</v>
      </c>
      <c r="B1036" s="1100"/>
      <c r="C1036" s="12">
        <v>1</v>
      </c>
      <c r="D1036" s="977" t="s">
        <v>1510</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123</v>
      </c>
      <c r="B1042" s="1100"/>
      <c r="C1042" s="12">
        <v>2</v>
      </c>
      <c r="D1042" s="970" t="s">
        <v>1511</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123</v>
      </c>
      <c r="B1048" s="1100"/>
      <c r="C1048" s="12">
        <v>3</v>
      </c>
      <c r="D1048" s="970" t="s">
        <v>2203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123</v>
      </c>
      <c r="B1055" s="1100"/>
      <c r="C1055" s="12">
        <v>4</v>
      </c>
      <c r="D1055" s="970" t="s">
        <v>2035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123</v>
      </c>
      <c r="B1059" s="1100"/>
      <c r="C1059" s="12">
        <v>5</v>
      </c>
      <c r="D1059" s="970" t="s">
        <v>1712</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123</v>
      </c>
      <c r="B1063" s="1100"/>
      <c r="C1063" s="12">
        <v>6</v>
      </c>
      <c r="D1063" s="977" t="s">
        <v>1512</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123</v>
      </c>
      <c r="B1066" s="1100"/>
      <c r="C1066" s="350">
        <v>7</v>
      </c>
      <c r="D1066" s="977" t="s">
        <v>1514</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123</v>
      </c>
      <c r="B1071" s="1100"/>
      <c r="C1071" s="350">
        <v>8</v>
      </c>
      <c r="D1071" s="970" t="s">
        <v>2007</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3" t="s">
        <v>123</v>
      </c>
      <c r="B1075" s="1533"/>
      <c r="C1075" s="350">
        <v>9</v>
      </c>
      <c r="D1075" s="970" t="s">
        <v>1513</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0"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F97" workbookViewId="0">
      <selection activeCell="C94" sqref="C94"/>
    </sheetView>
  </sheetViews>
  <sheetFormatPr defaultColWidth="8.8867187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90" t="s">
        <v>183</v>
      </c>
      <c r="G1" s="1591"/>
      <c r="H1" s="1591"/>
      <c r="I1" s="1591"/>
      <c r="J1" s="1591"/>
      <c r="K1" s="1591"/>
      <c r="L1" s="1591"/>
      <c r="M1" s="1591"/>
      <c r="N1" s="1591"/>
      <c r="O1" s="1591"/>
      <c r="P1" s="1591"/>
      <c r="Q1" s="1591"/>
      <c r="R1" s="1592"/>
      <c r="S1" s="202"/>
      <c r="T1" s="201"/>
      <c r="U1" s="203"/>
    </row>
    <row r="2" spans="1:21" s="232" customFormat="1" ht="60" customHeight="1">
      <c r="A2" s="231"/>
      <c r="B2" s="232" t="s">
        <v>796</v>
      </c>
      <c r="C2" s="232" t="s">
        <v>506</v>
      </c>
      <c r="D2" s="232" t="s">
        <v>505</v>
      </c>
      <c r="E2" s="232" t="s">
        <v>797</v>
      </c>
      <c r="F2" s="233" t="str">
        <f>Application!B621&amp;Application!C621</f>
        <v>1)California Community Reinvestment Corporation (Perm)</v>
      </c>
      <c r="G2" s="233" t="str">
        <f>Application!B622&amp;Application!C622</f>
        <v>2)Apple - Housing Trust of Silicon Valley</v>
      </c>
      <c r="H2" s="233" t="str">
        <f>Application!B623&amp;Application!C623</f>
        <v>3)County of San Mateo (AHF R.12)</v>
      </c>
      <c r="I2" s="233" t="str">
        <f>Application!B624&amp;Application!C624</f>
        <v>4)County of San Mateo (HOME)</v>
      </c>
      <c r="J2" s="233" t="str">
        <f>Application!B625&amp;Application!C625</f>
        <v>5)County of San Mateo (AHF R.6 &amp; R.7)</v>
      </c>
      <c r="K2" s="233" t="str">
        <f>Application!B626&amp;Application!C626</f>
        <v>6)City of Belmont Loan</v>
      </c>
      <c r="L2" s="233" t="str">
        <f>Application!B627&amp;Application!C627</f>
        <v>7)FHLB AHP</v>
      </c>
      <c r="M2" s="233" t="str">
        <f>Application!B628&amp;Application!C628</f>
        <v>8)City of Belmont Land Donation</v>
      </c>
      <c r="N2" s="233" t="str">
        <f>Application!B629&amp;Application!C629</f>
        <v>9)GP Capital - Sponsor</v>
      </c>
      <c r="O2" s="233" t="str">
        <f>Application!B630&amp;Application!C630</f>
        <v>10)Deferred Developer Fee</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4000000</v>
      </c>
      <c r="C4" s="241">
        <v>4000000</v>
      </c>
      <c r="D4" s="241"/>
      <c r="E4" s="241">
        <f>B4-SUM(F4:Q4)</f>
        <v>0</v>
      </c>
      <c r="F4" s="241"/>
      <c r="G4" s="241"/>
      <c r="H4" s="241"/>
      <c r="I4" s="241"/>
      <c r="J4" s="241"/>
      <c r="K4" s="241"/>
      <c r="L4" s="241"/>
      <c r="M4" s="241">
        <v>4000000</v>
      </c>
      <c r="N4" s="241"/>
      <c r="O4" s="241"/>
      <c r="P4" s="241"/>
      <c r="Q4" s="241"/>
      <c r="R4" s="241">
        <f>SUM(E4:Q4)</f>
        <v>4000000</v>
      </c>
      <c r="S4" s="242"/>
      <c r="T4" s="242"/>
      <c r="U4" s="237"/>
    </row>
    <row r="5" spans="1:21" s="238" customFormat="1" ht="13.2">
      <c r="A5" s="300" t="s">
        <v>67</v>
      </c>
      <c r="B5" s="240">
        <f>SUM(C5+D5)</f>
        <v>105199</v>
      </c>
      <c r="C5" s="241">
        <v>105199</v>
      </c>
      <c r="D5" s="241"/>
      <c r="E5" s="241">
        <f>B5-SUM(F5:Q5)</f>
        <v>0</v>
      </c>
      <c r="F5" s="241"/>
      <c r="G5" s="241"/>
      <c r="H5" s="241">
        <v>105199</v>
      </c>
      <c r="I5" s="241"/>
      <c r="J5" s="241"/>
      <c r="K5" s="241"/>
      <c r="L5" s="241"/>
      <c r="M5" s="241"/>
      <c r="N5" s="241"/>
      <c r="O5" s="241"/>
      <c r="P5" s="241"/>
      <c r="Q5" s="241"/>
      <c r="R5" s="241">
        <f>SUM(E5:Q5)</f>
        <v>105199</v>
      </c>
      <c r="S5" s="242"/>
      <c r="T5" s="242"/>
      <c r="U5" s="237"/>
    </row>
    <row r="6" spans="1:21" s="238" customFormat="1" ht="11.4">
      <c r="A6" s="239" t="s">
        <v>342</v>
      </c>
      <c r="B6" s="240">
        <f>SUM(C6+D6)</f>
        <v>30000</v>
      </c>
      <c r="C6" s="241">
        <v>30000</v>
      </c>
      <c r="D6" s="241"/>
      <c r="E6" s="241">
        <f>B6-SUM(F6:Q6)</f>
        <v>0</v>
      </c>
      <c r="F6" s="241"/>
      <c r="G6" s="241"/>
      <c r="H6" s="241">
        <v>30000</v>
      </c>
      <c r="I6" s="241"/>
      <c r="J6" s="241"/>
      <c r="K6" s="241"/>
      <c r="L6" s="241"/>
      <c r="M6" s="241"/>
      <c r="N6" s="241"/>
      <c r="O6" s="241"/>
      <c r="P6" s="241"/>
      <c r="Q6" s="241"/>
      <c r="R6" s="241">
        <f>SUM(E6:Q6)</f>
        <v>30000</v>
      </c>
      <c r="S6" s="242"/>
      <c r="T6" s="242"/>
      <c r="U6" s="237"/>
    </row>
    <row r="7" spans="1:21" s="238" customFormat="1" ht="11.4">
      <c r="A7" s="239" t="s">
        <v>281</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4135199</v>
      </c>
      <c r="C8" s="240">
        <f t="shared" ref="C8:R8" si="0">SUM(C4:C7)</f>
        <v>4135199</v>
      </c>
      <c r="D8" s="240">
        <f t="shared" si="0"/>
        <v>0</v>
      </c>
      <c r="E8" s="240">
        <f t="shared" si="0"/>
        <v>0</v>
      </c>
      <c r="F8" s="240">
        <f t="shared" si="0"/>
        <v>0</v>
      </c>
      <c r="G8" s="240">
        <f t="shared" si="0"/>
        <v>0</v>
      </c>
      <c r="H8" s="240">
        <f t="shared" si="0"/>
        <v>135199</v>
      </c>
      <c r="I8" s="240">
        <f t="shared" si="0"/>
        <v>0</v>
      </c>
      <c r="J8" s="240">
        <f t="shared" si="0"/>
        <v>0</v>
      </c>
      <c r="K8" s="240">
        <f t="shared" si="0"/>
        <v>0</v>
      </c>
      <c r="L8" s="240">
        <f t="shared" si="0"/>
        <v>0</v>
      </c>
      <c r="M8" s="240">
        <f t="shared" si="0"/>
        <v>4000000</v>
      </c>
      <c r="N8" s="240">
        <f t="shared" si="0"/>
        <v>0</v>
      </c>
      <c r="O8" s="240">
        <f t="shared" si="0"/>
        <v>0</v>
      </c>
      <c r="P8" s="240">
        <f t="shared" si="0"/>
        <v>0</v>
      </c>
      <c r="Q8" s="240">
        <f t="shared" si="0"/>
        <v>0</v>
      </c>
      <c r="R8" s="240">
        <f t="shared" si="0"/>
        <v>4135199</v>
      </c>
      <c r="S8" s="242"/>
      <c r="T8" s="242"/>
      <c r="U8" s="237"/>
    </row>
    <row r="9" spans="1:21" s="238" customFormat="1" ht="11.4">
      <c r="A9" s="239" t="s">
        <v>1711</v>
      </c>
      <c r="B9" s="240">
        <f>SUM(C9+D9)</f>
        <v>0</v>
      </c>
      <c r="C9" s="241"/>
      <c r="D9" s="241"/>
      <c r="E9" s="241">
        <f>B9-SUM(F9:Q9)</f>
        <v>0</v>
      </c>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829680</v>
      </c>
      <c r="C10" s="241">
        <v>829680</v>
      </c>
      <c r="D10" s="241"/>
      <c r="E10" s="241">
        <f>B10-SUM(F10:Q10)</f>
        <v>0</v>
      </c>
      <c r="F10" s="241"/>
      <c r="G10" s="241"/>
      <c r="H10" s="241">
        <v>829680</v>
      </c>
      <c r="I10" s="241"/>
      <c r="J10" s="241"/>
      <c r="K10" s="241"/>
      <c r="L10" s="241"/>
      <c r="M10" s="241"/>
      <c r="N10" s="241"/>
      <c r="O10" s="241"/>
      <c r="P10" s="241"/>
      <c r="Q10" s="241"/>
      <c r="R10" s="241">
        <f>SUM(E10:Q10)</f>
        <v>829680</v>
      </c>
      <c r="S10" s="241">
        <f>C10</f>
        <v>829680</v>
      </c>
      <c r="T10" s="241"/>
      <c r="U10" s="237"/>
    </row>
    <row r="11" spans="1:21" s="238" customFormat="1">
      <c r="A11" s="243" t="s">
        <v>585</v>
      </c>
      <c r="B11" s="240">
        <f>SUM(C11:D11)</f>
        <v>829680</v>
      </c>
      <c r="C11" s="240">
        <f t="shared" ref="C11:T11" si="1">SUM(C9:C10)</f>
        <v>829680</v>
      </c>
      <c r="D11" s="240">
        <f t="shared" si="1"/>
        <v>0</v>
      </c>
      <c r="E11" s="240">
        <f t="shared" si="1"/>
        <v>0</v>
      </c>
      <c r="F11" s="240">
        <f t="shared" si="1"/>
        <v>0</v>
      </c>
      <c r="G11" s="240">
        <f t="shared" si="1"/>
        <v>0</v>
      </c>
      <c r="H11" s="240">
        <f t="shared" si="1"/>
        <v>829680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829680</v>
      </c>
      <c r="S11" s="242"/>
      <c r="T11" s="240">
        <f t="shared" si="1"/>
        <v>0</v>
      </c>
      <c r="U11" s="237"/>
    </row>
    <row r="12" spans="1:21" s="238" customFormat="1">
      <c r="A12" s="243" t="s">
        <v>710</v>
      </c>
      <c r="B12" s="240">
        <f t="shared" ref="B12:R12" si="2">SUM(B8+B11)</f>
        <v>4964879</v>
      </c>
      <c r="C12" s="240">
        <f t="shared" si="2"/>
        <v>4964879</v>
      </c>
      <c r="D12" s="240">
        <f t="shared" si="2"/>
        <v>0</v>
      </c>
      <c r="E12" s="240">
        <f t="shared" si="2"/>
        <v>0</v>
      </c>
      <c r="F12" s="240">
        <f t="shared" si="2"/>
        <v>0</v>
      </c>
      <c r="G12" s="240">
        <f t="shared" si="2"/>
        <v>0</v>
      </c>
      <c r="H12" s="240">
        <f t="shared" si="2"/>
        <v>964879</v>
      </c>
      <c r="I12" s="240">
        <f t="shared" si="2"/>
        <v>0</v>
      </c>
      <c r="J12" s="240">
        <f t="shared" si="2"/>
        <v>0</v>
      </c>
      <c r="K12" s="240">
        <f t="shared" si="2"/>
        <v>0</v>
      </c>
      <c r="L12" s="240">
        <f t="shared" si="2"/>
        <v>0</v>
      </c>
      <c r="M12" s="240">
        <f t="shared" si="2"/>
        <v>4000000</v>
      </c>
      <c r="N12" s="240">
        <f t="shared" si="2"/>
        <v>0</v>
      </c>
      <c r="O12" s="240">
        <f t="shared" si="2"/>
        <v>0</v>
      </c>
      <c r="P12" s="240">
        <f t="shared" si="2"/>
        <v>0</v>
      </c>
      <c r="Q12" s="240">
        <f t="shared" si="2"/>
        <v>0</v>
      </c>
      <c r="R12" s="240">
        <f t="shared" si="2"/>
        <v>4964879</v>
      </c>
      <c r="S12" s="242"/>
      <c r="T12" s="242"/>
      <c r="U12" s="237"/>
    </row>
    <row r="13" spans="1:21" s="238" customFormat="1" ht="11.4">
      <c r="A13" s="456" t="s">
        <v>1101</v>
      </c>
      <c r="B13" s="240">
        <f>SUM(C13+D13)</f>
        <v>30000</v>
      </c>
      <c r="C13" s="241">
        <v>30000</v>
      </c>
      <c r="D13" s="241"/>
      <c r="E13" s="241">
        <f>B13-SUM(F13:Q13)</f>
        <v>0</v>
      </c>
      <c r="F13" s="241"/>
      <c r="G13" s="241"/>
      <c r="H13" s="241">
        <v>30000</v>
      </c>
      <c r="I13" s="241"/>
      <c r="J13" s="241"/>
      <c r="K13" s="241"/>
      <c r="L13" s="241"/>
      <c r="M13" s="241"/>
      <c r="N13" s="241"/>
      <c r="O13" s="241"/>
      <c r="P13" s="241"/>
      <c r="Q13" s="241"/>
      <c r="R13" s="241">
        <f>SUM(E13:Q13)</f>
        <v>30000</v>
      </c>
      <c r="S13" s="241">
        <v>0</v>
      </c>
      <c r="T13" s="241"/>
      <c r="U13" s="237"/>
    </row>
    <row r="14" spans="1:21" s="238" customFormat="1" ht="22.8">
      <c r="A14" s="239" t="s">
        <v>1132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4580401</v>
      </c>
      <c r="C29" s="241">
        <v>4580401</v>
      </c>
      <c r="D29" s="241"/>
      <c r="E29" s="241">
        <f t="shared" ref="E29:E37" si="7">B29-SUM(F29:Q29)</f>
        <v>0</v>
      </c>
      <c r="F29" s="241">
        <v>2580401</v>
      </c>
      <c r="G29" s="241"/>
      <c r="H29" s="241">
        <v>2000000</v>
      </c>
      <c r="I29" s="241"/>
      <c r="J29" s="241"/>
      <c r="K29" s="241"/>
      <c r="L29" s="241"/>
      <c r="M29" s="241"/>
      <c r="N29" s="241"/>
      <c r="O29" s="241"/>
      <c r="P29" s="241"/>
      <c r="Q29" s="241"/>
      <c r="R29" s="241">
        <f t="shared" ref="R29:R37" si="8">SUM(E29:Q29)</f>
        <v>4580401</v>
      </c>
      <c r="S29" s="241">
        <f>R29</f>
        <v>4580401</v>
      </c>
      <c r="T29" s="241"/>
      <c r="U29" s="237"/>
    </row>
    <row r="30" spans="1:21" s="238" customFormat="1" ht="11.4">
      <c r="A30" s="239" t="s">
        <v>910</v>
      </c>
      <c r="B30" s="240">
        <f t="shared" si="6"/>
        <v>18531752</v>
      </c>
      <c r="C30" s="241">
        <f>18236532+295220</f>
        <v>18531752</v>
      </c>
      <c r="D30" s="241"/>
      <c r="E30" s="241">
        <f t="shared" si="7"/>
        <v>11720847</v>
      </c>
      <c r="F30" s="241">
        <f>6094000-3173095</f>
        <v>2920905</v>
      </c>
      <c r="G30" s="241"/>
      <c r="H30" s="241">
        <v>3000000</v>
      </c>
      <c r="I30" s="241"/>
      <c r="J30" s="241">
        <v>350000</v>
      </c>
      <c r="K30" s="241"/>
      <c r="L30" s="241">
        <v>540000</v>
      </c>
      <c r="M30" s="241"/>
      <c r="N30" s="241"/>
      <c r="O30" s="241"/>
      <c r="P30" s="241"/>
      <c r="Q30" s="241"/>
      <c r="R30" s="241">
        <f t="shared" si="8"/>
        <v>18531752</v>
      </c>
      <c r="S30" s="241">
        <f t="shared" ref="S30:S35" si="9">R30</f>
        <v>18531752</v>
      </c>
      <c r="T30" s="241"/>
      <c r="U30" s="237"/>
    </row>
    <row r="31" spans="1:21" s="238" customFormat="1" ht="11.4">
      <c r="A31" s="239" t="s">
        <v>911</v>
      </c>
      <c r="B31" s="240">
        <f t="shared" si="6"/>
        <v>2363979</v>
      </c>
      <c r="C31" s="241">
        <v>2363979</v>
      </c>
      <c r="D31" s="241"/>
      <c r="E31" s="241">
        <f t="shared" si="7"/>
        <v>635372</v>
      </c>
      <c r="F31" s="241"/>
      <c r="G31" s="241"/>
      <c r="H31" s="241"/>
      <c r="I31" s="241">
        <f>1994000-265393</f>
        <v>1728607</v>
      </c>
      <c r="J31" s="241"/>
      <c r="K31" s="241"/>
      <c r="L31" s="241"/>
      <c r="M31" s="241"/>
      <c r="N31" s="241"/>
      <c r="O31" s="241"/>
      <c r="P31" s="241"/>
      <c r="Q31" s="241"/>
      <c r="R31" s="241">
        <f t="shared" si="8"/>
        <v>2363979</v>
      </c>
      <c r="S31" s="241">
        <f t="shared" si="9"/>
        <v>2363979</v>
      </c>
      <c r="T31" s="241"/>
      <c r="U31" s="237"/>
    </row>
    <row r="32" spans="1:21" s="238" customFormat="1" ht="11.4">
      <c r="A32" s="239" t="s">
        <v>912</v>
      </c>
      <c r="B32" s="240">
        <f t="shared" si="6"/>
        <v>397692</v>
      </c>
      <c r="C32" s="241">
        <f>795384/2</f>
        <v>397692</v>
      </c>
      <c r="D32" s="241"/>
      <c r="E32" s="241">
        <f t="shared" si="7"/>
        <v>397692</v>
      </c>
      <c r="F32" s="241"/>
      <c r="G32" s="241"/>
      <c r="H32" s="241"/>
      <c r="I32" s="241"/>
      <c r="J32" s="241"/>
      <c r="K32" s="241"/>
      <c r="L32" s="241"/>
      <c r="M32" s="241"/>
      <c r="N32" s="241"/>
      <c r="O32" s="241"/>
      <c r="P32" s="241"/>
      <c r="Q32" s="241"/>
      <c r="R32" s="241">
        <f t="shared" si="8"/>
        <v>397692</v>
      </c>
      <c r="S32" s="241">
        <f t="shared" si="9"/>
        <v>397692</v>
      </c>
      <c r="T32" s="241"/>
      <c r="U32" s="237"/>
    </row>
    <row r="33" spans="1:21" s="238" customFormat="1" ht="11.4">
      <c r="A33" s="239" t="s">
        <v>913</v>
      </c>
      <c r="B33" s="240">
        <f t="shared" si="6"/>
        <v>397692</v>
      </c>
      <c r="C33" s="241">
        <f>795384/2</f>
        <v>397692</v>
      </c>
      <c r="D33" s="241"/>
      <c r="E33" s="241">
        <f t="shared" si="7"/>
        <v>397692</v>
      </c>
      <c r="F33" s="241"/>
      <c r="G33" s="241"/>
      <c r="H33" s="241"/>
      <c r="I33" s="241"/>
      <c r="J33" s="241"/>
      <c r="K33" s="241"/>
      <c r="L33" s="241"/>
      <c r="M33" s="241"/>
      <c r="N33" s="241"/>
      <c r="O33" s="241"/>
      <c r="P33" s="241"/>
      <c r="Q33" s="241"/>
      <c r="R33" s="241">
        <f t="shared" si="8"/>
        <v>397692</v>
      </c>
      <c r="S33" s="241">
        <f t="shared" si="9"/>
        <v>397692</v>
      </c>
      <c r="T33" s="241"/>
      <c r="U33" s="237"/>
    </row>
    <row r="34" spans="1:21" s="238" customFormat="1" ht="11.4">
      <c r="A34" s="239" t="s">
        <v>914</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915</v>
      </c>
      <c r="B35" s="240">
        <f t="shared" si="6"/>
        <v>121758</v>
      </c>
      <c r="C35" s="241">
        <v>121758</v>
      </c>
      <c r="D35" s="241"/>
      <c r="E35" s="241">
        <f t="shared" si="7"/>
        <v>121758</v>
      </c>
      <c r="F35" s="241"/>
      <c r="G35" s="241"/>
      <c r="H35" s="241"/>
      <c r="I35" s="241"/>
      <c r="J35" s="241"/>
      <c r="K35" s="241"/>
      <c r="L35" s="241"/>
      <c r="M35" s="241"/>
      <c r="N35" s="241"/>
      <c r="O35" s="241"/>
      <c r="P35" s="241"/>
      <c r="Q35" s="241"/>
      <c r="R35" s="241">
        <f t="shared" si="8"/>
        <v>121758</v>
      </c>
      <c r="S35" s="241">
        <f t="shared" si="9"/>
        <v>121758</v>
      </c>
      <c r="T35" s="241"/>
      <c r="U35" s="237"/>
    </row>
    <row r="36" spans="1:21" s="238" customFormat="1" ht="11.4">
      <c r="A36" s="250" t="s">
        <v>1942</v>
      </c>
      <c r="B36" s="240">
        <f t="shared" si="6"/>
        <v>117000</v>
      </c>
      <c r="C36" s="241">
        <v>117000</v>
      </c>
      <c r="D36" s="241"/>
      <c r="E36" s="241">
        <f t="shared" si="7"/>
        <v>117000</v>
      </c>
      <c r="F36" s="241"/>
      <c r="G36" s="241"/>
      <c r="H36" s="241"/>
      <c r="I36" s="241"/>
      <c r="J36" s="241"/>
      <c r="K36" s="241"/>
      <c r="L36" s="241"/>
      <c r="M36" s="241"/>
      <c r="N36" s="241"/>
      <c r="O36" s="241"/>
      <c r="P36" s="241"/>
      <c r="Q36" s="241"/>
      <c r="R36" s="241">
        <f t="shared" si="8"/>
        <v>117000</v>
      </c>
      <c r="S36" s="241">
        <f>R36</f>
        <v>117000</v>
      </c>
      <c r="T36" s="241"/>
      <c r="U36" s="237"/>
    </row>
    <row r="37" spans="1:21" s="238" customFormat="1" ht="11.4">
      <c r="A37" s="246" t="s">
        <v>532</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918</v>
      </c>
      <c r="B38" s="240">
        <f t="shared" si="6"/>
        <v>26510274</v>
      </c>
      <c r="C38" s="240">
        <f>SUM(C29:C37)</f>
        <v>26510274</v>
      </c>
      <c r="D38" s="240">
        <f>SUM(D29:D37)</f>
        <v>0</v>
      </c>
      <c r="E38" s="240">
        <f>SUM(E29:E37)</f>
        <v>13390361</v>
      </c>
      <c r="F38" s="240">
        <f t="shared" ref="F38:T38" si="10">SUM(F29:F37)</f>
        <v>5501306</v>
      </c>
      <c r="G38" s="240">
        <f t="shared" si="10"/>
        <v>0</v>
      </c>
      <c r="H38" s="240">
        <f t="shared" si="10"/>
        <v>5000000</v>
      </c>
      <c r="I38" s="240">
        <f t="shared" si="10"/>
        <v>1728607</v>
      </c>
      <c r="J38" s="240">
        <f t="shared" si="10"/>
        <v>350000</v>
      </c>
      <c r="K38" s="240">
        <f t="shared" si="10"/>
        <v>0</v>
      </c>
      <c r="L38" s="240">
        <f t="shared" si="10"/>
        <v>540000</v>
      </c>
      <c r="M38" s="240">
        <f t="shared" si="10"/>
        <v>0</v>
      </c>
      <c r="N38" s="240">
        <f t="shared" si="10"/>
        <v>0</v>
      </c>
      <c r="O38" s="240">
        <f t="shared" si="10"/>
        <v>0</v>
      </c>
      <c r="P38" s="240">
        <f t="shared" si="10"/>
        <v>0</v>
      </c>
      <c r="Q38" s="240">
        <f t="shared" si="10"/>
        <v>0</v>
      </c>
      <c r="R38" s="240">
        <f t="shared" si="10"/>
        <v>26510274</v>
      </c>
      <c r="S38" s="244">
        <f t="shared" si="10"/>
        <v>26510274</v>
      </c>
      <c r="T38" s="244">
        <f t="shared" si="10"/>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850000</v>
      </c>
      <c r="C40" s="241">
        <v>850000</v>
      </c>
      <c r="D40" s="241"/>
      <c r="E40" s="241">
        <f>B40-SUM(F40:Q40)</f>
        <v>350000</v>
      </c>
      <c r="F40" s="241"/>
      <c r="G40" s="241"/>
      <c r="H40" s="241"/>
      <c r="I40" s="241"/>
      <c r="J40" s="241">
        <v>500000</v>
      </c>
      <c r="K40" s="241"/>
      <c r="L40" s="241"/>
      <c r="M40" s="241"/>
      <c r="N40" s="241"/>
      <c r="O40" s="241"/>
      <c r="P40" s="241"/>
      <c r="Q40" s="241"/>
      <c r="R40" s="241">
        <f>SUM(E40:Q40)</f>
        <v>850000</v>
      </c>
      <c r="S40" s="241">
        <f t="shared" ref="S40:S43" si="11">R40</f>
        <v>850000</v>
      </c>
      <c r="T40" s="241"/>
      <c r="U40" s="237"/>
    </row>
    <row r="41" spans="1:21" s="238" customFormat="1" ht="11.4">
      <c r="A41" s="239" t="s">
        <v>921</v>
      </c>
      <c r="B41" s="240">
        <f>SUM(C41+D41)</f>
        <v>300000</v>
      </c>
      <c r="C41" s="241">
        <v>300000</v>
      </c>
      <c r="D41" s="241"/>
      <c r="E41" s="241">
        <f>B41-SUM(F41:Q41)</f>
        <v>0</v>
      </c>
      <c r="F41" s="241"/>
      <c r="G41" s="241"/>
      <c r="H41" s="241"/>
      <c r="I41" s="241"/>
      <c r="J41" s="241">
        <v>300000</v>
      </c>
      <c r="K41" s="241"/>
      <c r="L41" s="241"/>
      <c r="M41" s="241"/>
      <c r="N41" s="241"/>
      <c r="O41" s="241"/>
      <c r="P41" s="241"/>
      <c r="Q41" s="241"/>
      <c r="R41" s="241">
        <f>SUM(E41:Q41)</f>
        <v>300000</v>
      </c>
      <c r="S41" s="241">
        <f t="shared" si="11"/>
        <v>300000</v>
      </c>
      <c r="T41" s="241"/>
      <c r="U41" s="237"/>
    </row>
    <row r="42" spans="1:21" s="238" customFormat="1">
      <c r="A42" s="243" t="s">
        <v>922</v>
      </c>
      <c r="B42" s="240">
        <f>SUM(C42:D42)</f>
        <v>1150000</v>
      </c>
      <c r="C42" s="240">
        <f>SUM(C39:C41)</f>
        <v>1150000</v>
      </c>
      <c r="D42" s="240">
        <f>SUM(D39:D41)</f>
        <v>0</v>
      </c>
      <c r="E42" s="240">
        <f t="shared" ref="E42:T42" si="12">SUM(E40:E41)</f>
        <v>350000</v>
      </c>
      <c r="F42" s="240">
        <f t="shared" si="12"/>
        <v>0</v>
      </c>
      <c r="G42" s="240">
        <f t="shared" si="12"/>
        <v>0</v>
      </c>
      <c r="H42" s="240">
        <f t="shared" si="12"/>
        <v>0</v>
      </c>
      <c r="I42" s="240">
        <f t="shared" si="12"/>
        <v>0</v>
      </c>
      <c r="J42" s="240">
        <f t="shared" si="12"/>
        <v>800000</v>
      </c>
      <c r="K42" s="240">
        <f t="shared" si="12"/>
        <v>0</v>
      </c>
      <c r="L42" s="240">
        <f t="shared" si="12"/>
        <v>0</v>
      </c>
      <c r="M42" s="240">
        <f t="shared" si="12"/>
        <v>0</v>
      </c>
      <c r="N42" s="240">
        <f t="shared" si="12"/>
        <v>0</v>
      </c>
      <c r="O42" s="240">
        <f t="shared" si="12"/>
        <v>0</v>
      </c>
      <c r="P42" s="240">
        <f t="shared" si="12"/>
        <v>0</v>
      </c>
      <c r="Q42" s="240">
        <f t="shared" si="12"/>
        <v>0</v>
      </c>
      <c r="R42" s="240">
        <f t="shared" si="12"/>
        <v>1150000</v>
      </c>
      <c r="S42" s="244">
        <f t="shared" si="12"/>
        <v>1150000</v>
      </c>
      <c r="T42" s="244">
        <f t="shared" si="12"/>
        <v>0</v>
      </c>
      <c r="U42" s="237"/>
    </row>
    <row r="43" spans="1:21" s="238" customFormat="1">
      <c r="A43" s="243" t="s">
        <v>923</v>
      </c>
      <c r="B43" s="240">
        <f>SUM(C43:D43)</f>
        <v>500000</v>
      </c>
      <c r="C43" s="241">
        <v>500000</v>
      </c>
      <c r="D43" s="241"/>
      <c r="E43" s="241">
        <f>B43-SUM(F43:Q43)</f>
        <v>0</v>
      </c>
      <c r="F43" s="241">
        <v>0</v>
      </c>
      <c r="G43" s="241"/>
      <c r="H43" s="241"/>
      <c r="I43" s="241"/>
      <c r="J43" s="241">
        <v>500000</v>
      </c>
      <c r="K43" s="241"/>
      <c r="L43" s="241"/>
      <c r="M43" s="241"/>
      <c r="N43" s="241"/>
      <c r="O43" s="241"/>
      <c r="P43" s="241"/>
      <c r="Q43" s="241"/>
      <c r="R43" s="241">
        <f>SUM(E43:Q43)</f>
        <v>500000</v>
      </c>
      <c r="S43" s="241">
        <f t="shared" si="11"/>
        <v>500000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3">SUM(C45+D45)</f>
        <v>2369587</v>
      </c>
      <c r="C45" s="241">
        <f>2262517+107070</f>
        <v>2369587</v>
      </c>
      <c r="D45" s="241"/>
      <c r="E45" s="241">
        <f t="shared" ref="E45:E52" si="14">B45-SUM(F45:Q45)</f>
        <v>1210420</v>
      </c>
      <c r="F45" s="241"/>
      <c r="G45" s="241">
        <v>1159167</v>
      </c>
      <c r="H45" s="241"/>
      <c r="I45" s="241"/>
      <c r="J45" s="241"/>
      <c r="K45" s="241"/>
      <c r="L45" s="241"/>
      <c r="M45" s="241"/>
      <c r="N45" s="241"/>
      <c r="O45" s="241"/>
      <c r="P45" s="241"/>
      <c r="Q45" s="241"/>
      <c r="R45" s="241">
        <f t="shared" ref="R45:R52" si="15">SUM(E45:Q45)</f>
        <v>2369587</v>
      </c>
      <c r="S45" s="241">
        <f>1185128+107070</f>
        <v>1292198</v>
      </c>
      <c r="T45" s="241"/>
      <c r="U45" s="237"/>
    </row>
    <row r="46" spans="1:21" s="238" customFormat="1" ht="11.4">
      <c r="A46" s="239" t="s">
        <v>926</v>
      </c>
      <c r="B46" s="240">
        <f t="shared" si="13"/>
        <v>208740</v>
      </c>
      <c r="C46" s="241">
        <f>178740+30000</f>
        <v>208740</v>
      </c>
      <c r="D46" s="241"/>
      <c r="E46" s="241">
        <f t="shared" si="14"/>
        <v>0</v>
      </c>
      <c r="F46" s="241"/>
      <c r="G46" s="241"/>
      <c r="H46" s="241">
        <f>211005-2265</f>
        <v>208740</v>
      </c>
      <c r="I46" s="241"/>
      <c r="J46" s="241"/>
      <c r="K46" s="241"/>
      <c r="L46" s="241"/>
      <c r="M46" s="241"/>
      <c r="N46" s="241"/>
      <c r="O46" s="241"/>
      <c r="P46" s="241"/>
      <c r="Q46" s="241"/>
      <c r="R46" s="241">
        <f t="shared" si="15"/>
        <v>208740</v>
      </c>
      <c r="S46" s="241">
        <f>90151+30000</f>
        <v>120151</v>
      </c>
      <c r="T46" s="241"/>
      <c r="U46" s="237"/>
    </row>
    <row r="47" spans="1:21" s="238" customFormat="1" ht="12" customHeight="1">
      <c r="A47" s="239" t="s">
        <v>927</v>
      </c>
      <c r="B47" s="240">
        <f t="shared" si="13"/>
        <v>0</v>
      </c>
      <c r="C47" s="241"/>
      <c r="D47" s="241"/>
      <c r="E47" s="241">
        <f t="shared" si="14"/>
        <v>0</v>
      </c>
      <c r="F47" s="241"/>
      <c r="G47" s="241"/>
      <c r="H47" s="241"/>
      <c r="I47" s="241"/>
      <c r="J47" s="241"/>
      <c r="K47" s="241"/>
      <c r="L47" s="241"/>
      <c r="M47" s="241"/>
      <c r="N47" s="241"/>
      <c r="O47" s="241"/>
      <c r="P47" s="241"/>
      <c r="Q47" s="241"/>
      <c r="R47" s="241">
        <f t="shared" si="15"/>
        <v>0</v>
      </c>
      <c r="S47" s="241"/>
      <c r="T47" s="241"/>
      <c r="U47" s="237"/>
    </row>
    <row r="48" spans="1:21" s="238" customFormat="1" ht="11.4">
      <c r="A48" s="239" t="s">
        <v>928</v>
      </c>
      <c r="B48" s="240">
        <f t="shared" si="13"/>
        <v>274718</v>
      </c>
      <c r="C48" s="241">
        <v>274718</v>
      </c>
      <c r="D48" s="241"/>
      <c r="E48" s="241">
        <f t="shared" si="14"/>
        <v>0</v>
      </c>
      <c r="F48" s="241"/>
      <c r="G48" s="241">
        <v>274718</v>
      </c>
      <c r="H48" s="241"/>
      <c r="I48" s="241"/>
      <c r="J48" s="241"/>
      <c r="K48" s="241"/>
      <c r="L48" s="241"/>
      <c r="M48" s="241"/>
      <c r="N48" s="241"/>
      <c r="O48" s="241"/>
      <c r="P48" s="241"/>
      <c r="Q48" s="241"/>
      <c r="R48" s="241">
        <f t="shared" si="15"/>
        <v>274718</v>
      </c>
      <c r="S48" s="241">
        <f t="shared" ref="S48:S49" si="16">R48</f>
        <v>274718</v>
      </c>
      <c r="T48" s="241"/>
      <c r="U48" s="237"/>
    </row>
    <row r="49" spans="1:21" s="238" customFormat="1" ht="11.4">
      <c r="A49" s="239" t="s">
        <v>931</v>
      </c>
      <c r="B49" s="240">
        <f t="shared" si="13"/>
        <v>80000</v>
      </c>
      <c r="C49" s="241">
        <v>80000</v>
      </c>
      <c r="D49" s="241"/>
      <c r="E49" s="241">
        <f t="shared" si="14"/>
        <v>0</v>
      </c>
      <c r="F49" s="241"/>
      <c r="G49" s="241">
        <v>80000</v>
      </c>
      <c r="H49" s="241"/>
      <c r="I49" s="241"/>
      <c r="J49" s="241"/>
      <c r="K49" s="241"/>
      <c r="L49" s="241"/>
      <c r="M49" s="241"/>
      <c r="N49" s="241"/>
      <c r="O49" s="241"/>
      <c r="P49" s="241"/>
      <c r="Q49" s="241"/>
      <c r="R49" s="241">
        <f t="shared" si="15"/>
        <v>80000</v>
      </c>
      <c r="S49" s="241">
        <f t="shared" si="16"/>
        <v>80000</v>
      </c>
      <c r="T49" s="241"/>
      <c r="U49" s="237"/>
    </row>
    <row r="50" spans="1:21" s="238" customFormat="1" ht="11.4">
      <c r="A50" s="239" t="s">
        <v>929</v>
      </c>
      <c r="B50" s="240">
        <f t="shared" si="13"/>
        <v>50000</v>
      </c>
      <c r="C50" s="241">
        <v>50000</v>
      </c>
      <c r="D50" s="241"/>
      <c r="E50" s="241">
        <f t="shared" si="14"/>
        <v>0</v>
      </c>
      <c r="F50" s="241"/>
      <c r="G50" s="241">
        <v>50000</v>
      </c>
      <c r="H50" s="241"/>
      <c r="I50" s="241"/>
      <c r="J50" s="241"/>
      <c r="K50" s="241"/>
      <c r="L50" s="241"/>
      <c r="M50" s="241"/>
      <c r="N50" s="241"/>
      <c r="O50" s="241"/>
      <c r="P50" s="241"/>
      <c r="Q50" s="241"/>
      <c r="R50" s="241">
        <f t="shared" si="15"/>
        <v>50000</v>
      </c>
      <c r="S50" s="241">
        <f>R50</f>
        <v>50000</v>
      </c>
      <c r="T50" s="241"/>
      <c r="U50" s="237"/>
    </row>
    <row r="51" spans="1:21" s="238" customFormat="1" ht="11.4">
      <c r="A51" s="239" t="s">
        <v>930</v>
      </c>
      <c r="B51" s="240">
        <f t="shared" si="13"/>
        <v>150000</v>
      </c>
      <c r="C51" s="241">
        <v>150000</v>
      </c>
      <c r="D51" s="241"/>
      <c r="E51" s="241">
        <f t="shared" si="14"/>
        <v>0</v>
      </c>
      <c r="F51" s="241"/>
      <c r="G51" s="241">
        <v>150000</v>
      </c>
      <c r="H51" s="241"/>
      <c r="I51" s="241"/>
      <c r="J51" s="241"/>
      <c r="K51" s="241"/>
      <c r="L51" s="241"/>
      <c r="M51" s="241"/>
      <c r="N51" s="241"/>
      <c r="O51" s="241"/>
      <c r="P51" s="241"/>
      <c r="Q51" s="241"/>
      <c r="R51" s="241">
        <f t="shared" si="15"/>
        <v>150000</v>
      </c>
      <c r="S51" s="241">
        <f>R51</f>
        <v>150000</v>
      </c>
      <c r="T51" s="241"/>
      <c r="U51" s="237"/>
    </row>
    <row r="52" spans="1:21" s="238" customFormat="1" ht="11.4">
      <c r="A52" s="246" t="s">
        <v>2486</v>
      </c>
      <c r="B52" s="240">
        <f t="shared" si="13"/>
        <v>193500</v>
      </c>
      <c r="C52" s="241">
        <f>60000+133500</f>
        <v>193500</v>
      </c>
      <c r="D52" s="241"/>
      <c r="E52" s="241">
        <f t="shared" si="14"/>
        <v>0</v>
      </c>
      <c r="F52" s="241"/>
      <c r="G52" s="241">
        <v>56201</v>
      </c>
      <c r="H52" s="241">
        <f>193500-56201</f>
        <v>137299</v>
      </c>
      <c r="I52" s="241"/>
      <c r="J52" s="241"/>
      <c r="K52" s="241"/>
      <c r="L52" s="241"/>
      <c r="M52" s="241"/>
      <c r="N52" s="241"/>
      <c r="O52" s="241"/>
      <c r="P52" s="241"/>
      <c r="Q52" s="241"/>
      <c r="R52" s="241">
        <f t="shared" si="15"/>
        <v>193500</v>
      </c>
      <c r="S52" s="241">
        <f>30262+2</f>
        <v>30264</v>
      </c>
      <c r="T52" s="241"/>
      <c r="U52" s="237"/>
    </row>
    <row r="53" spans="1:21" s="248" customFormat="1">
      <c r="A53" s="243" t="s">
        <v>932</v>
      </c>
      <c r="B53" s="244">
        <f>SUM(C53:D53)</f>
        <v>3326545</v>
      </c>
      <c r="C53" s="244">
        <f t="shared" ref="C53:T53" si="17">SUM(C45:C52)</f>
        <v>3326545</v>
      </c>
      <c r="D53" s="244">
        <f t="shared" si="17"/>
        <v>0</v>
      </c>
      <c r="E53" s="244">
        <f t="shared" si="17"/>
        <v>1210420</v>
      </c>
      <c r="F53" s="244">
        <f t="shared" si="17"/>
        <v>0</v>
      </c>
      <c r="G53" s="244">
        <f t="shared" si="17"/>
        <v>1770086</v>
      </c>
      <c r="H53" s="244">
        <f t="shared" si="17"/>
        <v>346039</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3326545</v>
      </c>
      <c r="S53" s="244">
        <f t="shared" si="17"/>
        <v>1997331</v>
      </c>
      <c r="T53" s="244">
        <f t="shared" si="17"/>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8">SUM(C55+D55)</f>
        <v>62040</v>
      </c>
      <c r="C55" s="241">
        <v>62040</v>
      </c>
      <c r="D55" s="241"/>
      <c r="E55" s="241">
        <f t="shared" ref="E55:E60" si="19">B55-SUM(F55:Q55)</f>
        <v>1100</v>
      </c>
      <c r="F55" s="241"/>
      <c r="G55" s="241"/>
      <c r="H55" s="241"/>
      <c r="I55" s="241"/>
      <c r="J55" s="241"/>
      <c r="K55" s="241">
        <v>60940</v>
      </c>
      <c r="L55" s="241"/>
      <c r="M55" s="241"/>
      <c r="N55" s="241"/>
      <c r="O55" s="241"/>
      <c r="P55" s="241"/>
      <c r="Q55" s="241"/>
      <c r="R55" s="241">
        <f t="shared" ref="R55:R60" si="20">SUM(E55:Q55)</f>
        <v>62040</v>
      </c>
      <c r="S55" s="242"/>
      <c r="T55" s="242"/>
      <c r="U55" s="237"/>
    </row>
    <row r="56" spans="1:21" s="238" customFormat="1" ht="12" customHeight="1">
      <c r="A56" s="239" t="s">
        <v>927</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ht="11.4">
      <c r="A57" s="239" t="s">
        <v>931</v>
      </c>
      <c r="B57" s="240">
        <f t="shared" si="18"/>
        <v>14952</v>
      </c>
      <c r="C57" s="241">
        <v>14952</v>
      </c>
      <c r="D57" s="241"/>
      <c r="E57" s="241">
        <f t="shared" si="19"/>
        <v>0</v>
      </c>
      <c r="F57" s="241"/>
      <c r="G57" s="241"/>
      <c r="H57" s="241"/>
      <c r="I57" s="241"/>
      <c r="J57" s="241"/>
      <c r="K57" s="241">
        <f>15081-129</f>
        <v>14952</v>
      </c>
      <c r="L57" s="241"/>
      <c r="M57" s="241"/>
      <c r="N57" s="241"/>
      <c r="O57" s="241"/>
      <c r="P57" s="241"/>
      <c r="Q57" s="241"/>
      <c r="R57" s="241">
        <f t="shared" si="20"/>
        <v>14952</v>
      </c>
      <c r="S57" s="242"/>
      <c r="T57" s="242"/>
      <c r="U57" s="237"/>
    </row>
    <row r="58" spans="1:21" s="238" customFormat="1" ht="11.4">
      <c r="A58" s="239" t="s">
        <v>929</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930</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t="s">
        <v>2486</v>
      </c>
      <c r="B60" s="240">
        <f t="shared" si="18"/>
        <v>15000</v>
      </c>
      <c r="C60" s="241">
        <v>15000</v>
      </c>
      <c r="D60" s="241"/>
      <c r="E60" s="241">
        <f t="shared" si="19"/>
        <v>0</v>
      </c>
      <c r="F60" s="241"/>
      <c r="G60" s="241"/>
      <c r="H60" s="241"/>
      <c r="I60" s="241"/>
      <c r="J60" s="241"/>
      <c r="K60" s="241">
        <v>15000</v>
      </c>
      <c r="L60" s="241"/>
      <c r="M60" s="241"/>
      <c r="N60" s="241"/>
      <c r="O60" s="241"/>
      <c r="P60" s="241"/>
      <c r="Q60" s="241"/>
      <c r="R60" s="241">
        <f t="shared" si="20"/>
        <v>15000</v>
      </c>
      <c r="S60" s="242"/>
      <c r="T60" s="242"/>
      <c r="U60" s="237"/>
    </row>
    <row r="61" spans="1:21" s="238" customFormat="1" ht="14.1" customHeight="1">
      <c r="A61" s="243" t="s">
        <v>499</v>
      </c>
      <c r="B61" s="240">
        <f>SUM(C61:D61)</f>
        <v>91992</v>
      </c>
      <c r="C61" s="240">
        <f t="shared" ref="C61:R61" si="21">SUM(C55:C60)</f>
        <v>91992</v>
      </c>
      <c r="D61" s="240">
        <f t="shared" si="21"/>
        <v>0</v>
      </c>
      <c r="E61" s="240">
        <f t="shared" si="21"/>
        <v>1100</v>
      </c>
      <c r="F61" s="240">
        <f t="shared" si="21"/>
        <v>0</v>
      </c>
      <c r="G61" s="240">
        <f t="shared" si="21"/>
        <v>0</v>
      </c>
      <c r="H61" s="240">
        <f t="shared" si="21"/>
        <v>0</v>
      </c>
      <c r="I61" s="240">
        <f t="shared" si="21"/>
        <v>0</v>
      </c>
      <c r="J61" s="240">
        <f t="shared" si="21"/>
        <v>0</v>
      </c>
      <c r="K61" s="240">
        <f t="shared" si="21"/>
        <v>90892</v>
      </c>
      <c r="L61" s="240">
        <f t="shared" si="21"/>
        <v>0</v>
      </c>
      <c r="M61" s="240">
        <f t="shared" si="21"/>
        <v>0</v>
      </c>
      <c r="N61" s="240">
        <f t="shared" si="21"/>
        <v>0</v>
      </c>
      <c r="O61" s="240">
        <f t="shared" si="21"/>
        <v>0</v>
      </c>
      <c r="P61" s="240">
        <f t="shared" si="21"/>
        <v>0</v>
      </c>
      <c r="Q61" s="240">
        <f t="shared" si="21"/>
        <v>0</v>
      </c>
      <c r="R61" s="240">
        <f t="shared" si="21"/>
        <v>91992</v>
      </c>
      <c r="S61" s="242"/>
      <c r="T61" s="242"/>
      <c r="U61" s="237"/>
    </row>
    <row r="62" spans="1:21" s="238" customFormat="1" ht="11.4">
      <c r="A62" s="249" t="s">
        <v>500</v>
      </c>
      <c r="B62" s="240">
        <f>SUM(C62:D62)</f>
        <v>36573690</v>
      </c>
      <c r="C62" s="240">
        <f t="shared" ref="C62:R62" si="22">SUM(C8+C11+C13+C14+C15+C26+C27+C38+C42+C43+C53+C61)</f>
        <v>36573690</v>
      </c>
      <c r="D62" s="240">
        <f t="shared" si="22"/>
        <v>0</v>
      </c>
      <c r="E62" s="240">
        <f t="shared" si="22"/>
        <v>14951881</v>
      </c>
      <c r="F62" s="240">
        <f t="shared" si="22"/>
        <v>5501306</v>
      </c>
      <c r="G62" s="240">
        <f t="shared" si="22"/>
        <v>1770086</v>
      </c>
      <c r="H62" s="240">
        <f t="shared" si="22"/>
        <v>6340918</v>
      </c>
      <c r="I62" s="240">
        <f t="shared" si="22"/>
        <v>1728607</v>
      </c>
      <c r="J62" s="240">
        <f t="shared" si="22"/>
        <v>1650000</v>
      </c>
      <c r="K62" s="240">
        <f t="shared" si="22"/>
        <v>90892</v>
      </c>
      <c r="L62" s="240">
        <f t="shared" si="22"/>
        <v>540000</v>
      </c>
      <c r="M62" s="240">
        <f t="shared" si="22"/>
        <v>4000000</v>
      </c>
      <c r="N62" s="240">
        <f t="shared" si="22"/>
        <v>0</v>
      </c>
      <c r="O62" s="240">
        <f t="shared" si="22"/>
        <v>0</v>
      </c>
      <c r="P62" s="240">
        <f t="shared" si="22"/>
        <v>0</v>
      </c>
      <c r="Q62" s="240">
        <f t="shared" si="22"/>
        <v>0</v>
      </c>
      <c r="R62" s="240">
        <f t="shared" si="22"/>
        <v>36573690</v>
      </c>
      <c r="S62" s="240">
        <f>SUM(S10+S13+S14+S15+S26+S27+S38+S42+S43+S53)</f>
        <v>30987285</v>
      </c>
      <c r="T62" s="240">
        <f>SUM(T11+T13+T14+T15+T26+T27+T38+T42+T43+T53)</f>
        <v>0</v>
      </c>
      <c r="U62" s="237"/>
    </row>
    <row r="63" spans="1:21" s="238" customFormat="1" ht="22.8">
      <c r="A63" s="235" t="s">
        <v>1943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170000</v>
      </c>
      <c r="C64" s="241">
        <f>60000+20000+60000+30000</f>
        <v>170000</v>
      </c>
      <c r="D64" s="241"/>
      <c r="E64" s="241">
        <f>B64-SUM(F64:Q64)</f>
        <v>0</v>
      </c>
      <c r="F64" s="241"/>
      <c r="G64" s="241"/>
      <c r="H64" s="241">
        <v>170000</v>
      </c>
      <c r="I64" s="241"/>
      <c r="J64" s="241"/>
      <c r="K64" s="241"/>
      <c r="L64" s="241"/>
      <c r="M64" s="241"/>
      <c r="N64" s="241"/>
      <c r="O64" s="241"/>
      <c r="P64" s="241"/>
      <c r="Q64" s="241"/>
      <c r="R64" s="241">
        <f>SUM(E64:Q64)</f>
        <v>170000</v>
      </c>
      <c r="S64" s="241">
        <f>60000+30262</f>
        <v>90262</v>
      </c>
      <c r="T64" s="241"/>
      <c r="U64" s="237"/>
    </row>
    <row r="65" spans="1:21" s="238" customFormat="1" ht="22.8">
      <c r="A65" s="239" t="s">
        <v>1944</v>
      </c>
      <c r="B65" s="240">
        <f>SUM(C65+D65)</f>
        <v>0</v>
      </c>
      <c r="C65" s="241"/>
      <c r="D65" s="241"/>
      <c r="E65" s="241">
        <f>B65-SUM(F65:Q65)</f>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1945</v>
      </c>
      <c r="B66" s="240">
        <f>SUM(C66+D66)</f>
        <v>0</v>
      </c>
      <c r="C66" s="241"/>
      <c r="D66" s="241"/>
      <c r="E66" s="241">
        <f>B66-SUM(F66:Q66)</f>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1946</v>
      </c>
      <c r="B67" s="240">
        <f>SUM(C67+D67)</f>
        <v>0</v>
      </c>
      <c r="C67" s="241"/>
      <c r="D67" s="241"/>
      <c r="E67" s="241">
        <f>B67-SUM(F67:Q67)</f>
        <v>0</v>
      </c>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f>B68-SUM(F68:Q68)</f>
        <v>0</v>
      </c>
      <c r="F68" s="241"/>
      <c r="G68" s="241"/>
      <c r="H68" s="241"/>
      <c r="I68" s="241"/>
      <c r="J68" s="241"/>
      <c r="K68" s="241"/>
      <c r="L68" s="241"/>
      <c r="M68" s="241"/>
      <c r="N68" s="241"/>
      <c r="O68" s="241"/>
      <c r="P68" s="241"/>
      <c r="Q68" s="241"/>
      <c r="R68" s="241">
        <f>SUM(E68:Q68)</f>
        <v>0</v>
      </c>
      <c r="S68" s="241"/>
      <c r="T68" s="241"/>
      <c r="U68" s="237"/>
    </row>
    <row r="69" spans="1:21" s="238" customFormat="1">
      <c r="A69" s="243" t="s">
        <v>1947</v>
      </c>
      <c r="B69" s="240">
        <f>SUM(C69:D69)</f>
        <v>170000</v>
      </c>
      <c r="C69" s="240">
        <f>SUM(C63:C68)</f>
        <v>170000</v>
      </c>
      <c r="D69" s="240">
        <f>SUM(D63:D68)</f>
        <v>0</v>
      </c>
      <c r="E69" s="240">
        <f t="shared" ref="E69:T69" si="23">SUM(E64:E68)</f>
        <v>0</v>
      </c>
      <c r="F69" s="240">
        <f t="shared" si="23"/>
        <v>0</v>
      </c>
      <c r="G69" s="240">
        <f t="shared" si="23"/>
        <v>0</v>
      </c>
      <c r="H69" s="240">
        <f t="shared" si="23"/>
        <v>170000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170000</v>
      </c>
      <c r="S69" s="244">
        <f t="shared" si="23"/>
        <v>90262</v>
      </c>
      <c r="T69" s="244">
        <f t="shared" si="23"/>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f>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f>B72-SUM(F72:Q72)</f>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1230</v>
      </c>
      <c r="B73" s="240">
        <f>SUM(C73+D73)</f>
        <v>0</v>
      </c>
      <c r="C73" s="241"/>
      <c r="D73" s="241"/>
      <c r="E73" s="241">
        <f>B73-SUM(F73:Q73)</f>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0</v>
      </c>
      <c r="C74" s="241"/>
      <c r="D74" s="241"/>
      <c r="E74" s="241">
        <f>B74-SUM(F74:Q74)</f>
        <v>0</v>
      </c>
      <c r="F74" s="241"/>
      <c r="G74" s="241"/>
      <c r="H74" s="241"/>
      <c r="I74" s="241"/>
      <c r="J74" s="241"/>
      <c r="K74" s="241"/>
      <c r="L74" s="241"/>
      <c r="M74" s="241"/>
      <c r="N74" s="241"/>
      <c r="O74" s="241"/>
      <c r="P74" s="241"/>
      <c r="Q74" s="241"/>
      <c r="R74" s="241">
        <f>SUM(E74:Q74)</f>
        <v>0</v>
      </c>
      <c r="S74" s="242"/>
      <c r="T74" s="242"/>
      <c r="U74" s="237"/>
    </row>
    <row r="75" spans="1:21" s="238" customFormat="1" ht="11.4">
      <c r="A75" s="246" t="s">
        <v>2496</v>
      </c>
      <c r="B75" s="240">
        <f>SUM(C75+D75)</f>
        <v>540088</v>
      </c>
      <c r="C75" s="241">
        <v>540088</v>
      </c>
      <c r="D75" s="241"/>
      <c r="E75" s="241">
        <f>B75-SUM(F75:Q75)</f>
        <v>540088</v>
      </c>
      <c r="F75" s="241"/>
      <c r="G75" s="241"/>
      <c r="H75" s="241"/>
      <c r="I75" s="241"/>
      <c r="J75" s="241"/>
      <c r="K75" s="241"/>
      <c r="L75" s="241"/>
      <c r="M75" s="241"/>
      <c r="N75" s="241"/>
      <c r="O75" s="241"/>
      <c r="P75" s="241"/>
      <c r="Q75" s="241"/>
      <c r="R75" s="241">
        <f>SUM(E75:Q75)</f>
        <v>540088</v>
      </c>
      <c r="S75" s="242"/>
      <c r="T75" s="242"/>
      <c r="U75" s="237"/>
    </row>
    <row r="76" spans="1:21" s="238" customFormat="1">
      <c r="A76" s="243" t="s">
        <v>288</v>
      </c>
      <c r="B76" s="240">
        <f>SUM(C76:D76)</f>
        <v>540088</v>
      </c>
      <c r="C76" s="240">
        <f t="shared" ref="C76:Q76" si="24">SUM(C71:C75)</f>
        <v>540088</v>
      </c>
      <c r="D76" s="240">
        <f t="shared" si="24"/>
        <v>0</v>
      </c>
      <c r="E76" s="240">
        <f>SUM(E71:E75)</f>
        <v>540088</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540088</v>
      </c>
      <c r="S76" s="242"/>
      <c r="T76" s="242"/>
      <c r="U76" s="237"/>
    </row>
    <row r="77" spans="1:21" s="238" customFormat="1" ht="11.85" customHeight="1">
      <c r="A77" s="235" t="s">
        <v>1734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1732</v>
      </c>
      <c r="B78" s="240">
        <f>SUM(C78+D78)</f>
        <v>1380144</v>
      </c>
      <c r="C78" s="241">
        <v>1380144</v>
      </c>
      <c r="D78" s="241"/>
      <c r="E78" s="241">
        <f>B78-SUM(F78:Q78)</f>
        <v>1380144</v>
      </c>
      <c r="F78" s="241"/>
      <c r="G78" s="241"/>
      <c r="H78" s="241"/>
      <c r="I78" s="241"/>
      <c r="J78" s="241"/>
      <c r="K78" s="241"/>
      <c r="L78" s="241"/>
      <c r="M78" s="241"/>
      <c r="N78" s="241"/>
      <c r="O78" s="241"/>
      <c r="P78" s="241"/>
      <c r="Q78" s="241"/>
      <c r="R78" s="241">
        <f>SUM(E78:Q78)</f>
        <v>1380144</v>
      </c>
      <c r="S78" s="241">
        <f t="shared" ref="S78" si="25">R78</f>
        <v>1380144</v>
      </c>
      <c r="T78" s="241"/>
      <c r="U78" s="237"/>
    </row>
    <row r="79" spans="1:21" s="238" customFormat="1" ht="11.4">
      <c r="A79" s="239" t="s">
        <v>537</v>
      </c>
      <c r="B79" s="240">
        <f>SUM(C79+D79)</f>
        <v>392600</v>
      </c>
      <c r="C79" s="241">
        <v>392600</v>
      </c>
      <c r="D79" s="241"/>
      <c r="E79" s="241">
        <f>B79-SUM(F79:Q79)</f>
        <v>392500</v>
      </c>
      <c r="F79" s="241"/>
      <c r="G79" s="241"/>
      <c r="H79" s="241"/>
      <c r="I79" s="241"/>
      <c r="J79" s="241"/>
      <c r="K79" s="241"/>
      <c r="L79" s="241"/>
      <c r="M79" s="241"/>
      <c r="N79" s="241">
        <v>100</v>
      </c>
      <c r="O79" s="241"/>
      <c r="P79" s="241"/>
      <c r="Q79" s="241"/>
      <c r="R79" s="241">
        <f>SUM(E79:Q79)</f>
        <v>392600</v>
      </c>
      <c r="S79" s="241">
        <f>R79</f>
        <v>392600</v>
      </c>
      <c r="T79" s="241"/>
      <c r="U79" s="237"/>
    </row>
    <row r="80" spans="1:21" s="238" customFormat="1">
      <c r="A80" s="243" t="s">
        <v>1733</v>
      </c>
      <c r="B80" s="240">
        <f>SUM(C80:D80)</f>
        <v>1772744</v>
      </c>
      <c r="C80" s="666">
        <f>SUM(C78:C79)</f>
        <v>1772744</v>
      </c>
      <c r="D80" s="666">
        <f t="shared" ref="D80:R80" si="26">SUM(D78:D79)</f>
        <v>0</v>
      </c>
      <c r="E80" s="666">
        <f t="shared" si="26"/>
        <v>1772644</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100</v>
      </c>
      <c r="O80" s="666">
        <f t="shared" si="26"/>
        <v>0</v>
      </c>
      <c r="P80" s="666">
        <f t="shared" si="26"/>
        <v>0</v>
      </c>
      <c r="Q80" s="666">
        <f t="shared" si="26"/>
        <v>0</v>
      </c>
      <c r="R80" s="666">
        <f t="shared" si="26"/>
        <v>1772744</v>
      </c>
      <c r="S80" s="666">
        <f>SUM(S78:S79)</f>
        <v>1772744</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2103</v>
      </c>
      <c r="B82" s="240">
        <f>SUM(C82+D82)</f>
        <v>108971</v>
      </c>
      <c r="C82" s="241">
        <v>108971</v>
      </c>
      <c r="D82" s="241"/>
      <c r="E82" s="241">
        <f t="shared" ref="E82:E94" si="27">B82-SUM(F82:Q82)</f>
        <v>0</v>
      </c>
      <c r="F82" s="241"/>
      <c r="G82" s="241"/>
      <c r="H82" s="241">
        <f>111817-2846</f>
        <v>108971</v>
      </c>
      <c r="I82" s="241"/>
      <c r="J82" s="241"/>
      <c r="K82" s="241"/>
      <c r="L82" s="241"/>
      <c r="M82" s="241"/>
      <c r="N82" s="241"/>
      <c r="O82" s="241"/>
      <c r="P82" s="241"/>
      <c r="Q82" s="241"/>
      <c r="R82" s="241">
        <f>SUM(E82:Q82)</f>
        <v>108971</v>
      </c>
      <c r="S82" s="242"/>
      <c r="T82" s="242"/>
      <c r="U82" s="237"/>
    </row>
    <row r="83" spans="1:21" s="238" customFormat="1" ht="11.4">
      <c r="A83" s="239" t="s">
        <v>515</v>
      </c>
      <c r="B83" s="240">
        <f t="shared" ref="B83:B93" si="28">SUM(C83+D83)</f>
        <v>150000</v>
      </c>
      <c r="C83" s="241">
        <v>150000</v>
      </c>
      <c r="D83" s="241"/>
      <c r="E83" s="241">
        <f t="shared" si="27"/>
        <v>0</v>
      </c>
      <c r="F83" s="241"/>
      <c r="G83" s="241"/>
      <c r="H83" s="241"/>
      <c r="I83" s="241"/>
      <c r="J83" s="241">
        <v>150000</v>
      </c>
      <c r="K83" s="241"/>
      <c r="L83" s="241"/>
      <c r="M83" s="241"/>
      <c r="N83" s="241"/>
      <c r="O83" s="241"/>
      <c r="P83" s="241"/>
      <c r="Q83" s="241"/>
      <c r="R83" s="241">
        <f t="shared" ref="R83:R93" si="29">SUM(E83:Q83)</f>
        <v>150000</v>
      </c>
      <c r="S83" s="241">
        <f>R83</f>
        <v>150000</v>
      </c>
      <c r="T83" s="241"/>
      <c r="U83" s="237"/>
    </row>
    <row r="84" spans="1:21" s="238" customFormat="1" ht="11.4">
      <c r="A84" s="239" t="s">
        <v>516</v>
      </c>
      <c r="B84" s="240">
        <f t="shared" si="28"/>
        <v>1283087</v>
      </c>
      <c r="C84" s="241">
        <v>1283087</v>
      </c>
      <c r="D84" s="241"/>
      <c r="E84" s="241">
        <f t="shared" si="27"/>
        <v>0</v>
      </c>
      <c r="F84" s="241">
        <v>592694</v>
      </c>
      <c r="G84" s="241"/>
      <c r="H84" s="241"/>
      <c r="I84" s="241"/>
      <c r="J84" s="241"/>
      <c r="K84" s="241">
        <f>1000000-309607</f>
        <v>690393</v>
      </c>
      <c r="L84" s="241"/>
      <c r="M84" s="241"/>
      <c r="N84" s="241"/>
      <c r="O84" s="241"/>
      <c r="P84" s="241"/>
      <c r="Q84" s="241"/>
      <c r="R84" s="241">
        <f t="shared" si="29"/>
        <v>1283087</v>
      </c>
      <c r="S84" s="241">
        <f>R84</f>
        <v>1283087</v>
      </c>
      <c r="T84" s="241"/>
      <c r="U84" s="237"/>
    </row>
    <row r="85" spans="1:21" s="238" customFormat="1" ht="11.4">
      <c r="A85" s="239" t="s">
        <v>517</v>
      </c>
      <c r="B85" s="240">
        <f t="shared" si="28"/>
        <v>370000</v>
      </c>
      <c r="C85" s="241">
        <v>370000</v>
      </c>
      <c r="D85" s="241"/>
      <c r="E85" s="241">
        <f t="shared" si="27"/>
        <v>0</v>
      </c>
      <c r="F85" s="241"/>
      <c r="G85" s="241"/>
      <c r="H85" s="241">
        <v>370000</v>
      </c>
      <c r="I85" s="241"/>
      <c r="J85" s="241"/>
      <c r="K85" s="241"/>
      <c r="L85" s="241"/>
      <c r="M85" s="241"/>
      <c r="N85" s="241"/>
      <c r="O85" s="241"/>
      <c r="P85" s="241"/>
      <c r="Q85" s="241"/>
      <c r="R85" s="241">
        <f t="shared" si="29"/>
        <v>370000</v>
      </c>
      <c r="S85" s="241">
        <f>R85</f>
        <v>370000</v>
      </c>
      <c r="T85" s="241"/>
      <c r="U85" s="237"/>
    </row>
    <row r="86" spans="1:21" s="238" customFormat="1" ht="11.4">
      <c r="A86" s="239" t="s">
        <v>518</v>
      </c>
      <c r="B86" s="240">
        <f t="shared" si="28"/>
        <v>0</v>
      </c>
      <c r="C86" s="241"/>
      <c r="D86" s="241"/>
      <c r="E86" s="241">
        <f t="shared" si="27"/>
        <v>0</v>
      </c>
      <c r="F86" s="241"/>
      <c r="G86" s="241"/>
      <c r="H86" s="241"/>
      <c r="I86" s="241"/>
      <c r="J86" s="241"/>
      <c r="K86" s="241"/>
      <c r="L86" s="241"/>
      <c r="M86" s="241"/>
      <c r="N86" s="241"/>
      <c r="O86" s="241"/>
      <c r="P86" s="241"/>
      <c r="Q86" s="241"/>
      <c r="R86" s="241">
        <f t="shared" si="29"/>
        <v>0</v>
      </c>
      <c r="S86" s="241"/>
      <c r="T86" s="241"/>
      <c r="U86" s="237"/>
    </row>
    <row r="87" spans="1:21" s="238" customFormat="1" ht="11.4">
      <c r="A87" s="239" t="s">
        <v>519</v>
      </c>
      <c r="B87" s="240">
        <f t="shared" si="28"/>
        <v>74000</v>
      </c>
      <c r="C87" s="241">
        <v>74000</v>
      </c>
      <c r="D87" s="241"/>
      <c r="E87" s="241">
        <f t="shared" si="27"/>
        <v>0</v>
      </c>
      <c r="F87" s="241"/>
      <c r="G87" s="241"/>
      <c r="H87" s="241"/>
      <c r="I87" s="241"/>
      <c r="J87" s="241"/>
      <c r="K87" s="241">
        <v>74000</v>
      </c>
      <c r="L87" s="241"/>
      <c r="M87" s="241"/>
      <c r="N87" s="241"/>
      <c r="O87" s="241"/>
      <c r="P87" s="241"/>
      <c r="Q87" s="241"/>
      <c r="R87" s="241">
        <f t="shared" si="29"/>
        <v>74000</v>
      </c>
      <c r="S87" s="242"/>
      <c r="T87" s="242"/>
      <c r="U87" s="237"/>
    </row>
    <row r="88" spans="1:21" s="238" customFormat="1" ht="11.4">
      <c r="A88" s="239" t="s">
        <v>520</v>
      </c>
      <c r="B88" s="240">
        <f t="shared" si="28"/>
        <v>86976</v>
      </c>
      <c r="C88" s="241">
        <v>86976</v>
      </c>
      <c r="D88" s="241"/>
      <c r="E88" s="241">
        <f t="shared" si="27"/>
        <v>0</v>
      </c>
      <c r="F88" s="241">
        <v>81736</v>
      </c>
      <c r="G88" s="241"/>
      <c r="H88" s="241">
        <f>7000000-6994889</f>
        <v>5111</v>
      </c>
      <c r="I88" s="241"/>
      <c r="J88" s="241"/>
      <c r="K88" s="241">
        <f>1000000-999871</f>
        <v>129</v>
      </c>
      <c r="L88" s="241"/>
      <c r="M88" s="241"/>
      <c r="N88" s="241"/>
      <c r="O88" s="241"/>
      <c r="P88" s="241"/>
      <c r="Q88" s="241"/>
      <c r="R88" s="241">
        <f t="shared" si="29"/>
        <v>86976</v>
      </c>
      <c r="S88" s="241">
        <f>R88</f>
        <v>86976</v>
      </c>
      <c r="T88" s="241"/>
      <c r="U88" s="237"/>
    </row>
    <row r="89" spans="1:21" s="238" customFormat="1" ht="11.4">
      <c r="A89" s="239" t="s">
        <v>521</v>
      </c>
      <c r="B89" s="240">
        <f t="shared" si="28"/>
        <v>15000</v>
      </c>
      <c r="C89" s="241">
        <v>15000</v>
      </c>
      <c r="D89" s="241"/>
      <c r="E89" s="241">
        <f t="shared" si="27"/>
        <v>0</v>
      </c>
      <c r="F89" s="241"/>
      <c r="G89" s="241"/>
      <c r="H89" s="241"/>
      <c r="I89" s="241"/>
      <c r="J89" s="241">
        <v>15000</v>
      </c>
      <c r="K89" s="241"/>
      <c r="L89" s="241"/>
      <c r="M89" s="241"/>
      <c r="N89" s="241"/>
      <c r="O89" s="241"/>
      <c r="P89" s="241"/>
      <c r="Q89" s="241"/>
      <c r="R89" s="241">
        <f t="shared" si="29"/>
        <v>15000</v>
      </c>
      <c r="S89" s="241"/>
      <c r="T89" s="241"/>
      <c r="U89" s="237"/>
    </row>
    <row r="90" spans="1:21" s="238" customFormat="1" ht="11.4">
      <c r="A90" s="250" t="s">
        <v>1306</v>
      </c>
      <c r="B90" s="240">
        <f t="shared" si="28"/>
        <v>0</v>
      </c>
      <c r="C90" s="241"/>
      <c r="D90" s="241"/>
      <c r="E90" s="241">
        <f t="shared" si="27"/>
        <v>0</v>
      </c>
      <c r="F90" s="241"/>
      <c r="G90" s="241"/>
      <c r="H90" s="241"/>
      <c r="I90" s="241"/>
      <c r="J90" s="241"/>
      <c r="K90" s="241"/>
      <c r="L90" s="241"/>
      <c r="M90" s="241"/>
      <c r="N90" s="241"/>
      <c r="O90" s="241"/>
      <c r="P90" s="241"/>
      <c r="Q90" s="241"/>
      <c r="R90" s="241">
        <f t="shared" si="29"/>
        <v>0</v>
      </c>
      <c r="S90" s="241"/>
      <c r="T90" s="241"/>
      <c r="U90" s="237"/>
    </row>
    <row r="91" spans="1:21" s="238" customFormat="1" ht="11.4">
      <c r="A91" s="250" t="s">
        <v>1731</v>
      </c>
      <c r="B91" s="240">
        <f t="shared" si="28"/>
        <v>15000</v>
      </c>
      <c r="C91" s="241">
        <v>15000</v>
      </c>
      <c r="D91" s="241"/>
      <c r="E91" s="241">
        <f t="shared" si="27"/>
        <v>0</v>
      </c>
      <c r="F91" s="241"/>
      <c r="G91" s="241"/>
      <c r="H91" s="241"/>
      <c r="I91" s="241"/>
      <c r="J91" s="241">
        <v>15000</v>
      </c>
      <c r="K91" s="241"/>
      <c r="L91" s="241"/>
      <c r="M91" s="241"/>
      <c r="N91" s="241"/>
      <c r="O91" s="241"/>
      <c r="P91" s="241"/>
      <c r="Q91" s="241"/>
      <c r="R91" s="241">
        <f t="shared" si="29"/>
        <v>15000</v>
      </c>
      <c r="S91" s="241"/>
      <c r="T91" s="241"/>
      <c r="U91" s="237"/>
    </row>
    <row r="92" spans="1:21" s="238" customFormat="1" ht="11.4">
      <c r="A92" s="246" t="s">
        <v>2487</v>
      </c>
      <c r="B92" s="240">
        <f t="shared" si="28"/>
        <v>391999</v>
      </c>
      <c r="C92" s="241">
        <f>60000+95000+75000+27000+27000+108000-1</f>
        <v>391999</v>
      </c>
      <c r="D92" s="241"/>
      <c r="E92" s="241">
        <f t="shared" si="27"/>
        <v>293735</v>
      </c>
      <c r="F92" s="241">
        <f>6204000-6175736</f>
        <v>28264</v>
      </c>
      <c r="G92" s="241"/>
      <c r="H92" s="241"/>
      <c r="I92" s="241"/>
      <c r="J92" s="241">
        <f>1900000-1830000</f>
        <v>70000</v>
      </c>
      <c r="K92" s="241"/>
      <c r="L92" s="241"/>
      <c r="M92" s="241"/>
      <c r="N92" s="241"/>
      <c r="O92" s="241"/>
      <c r="P92" s="241"/>
      <c r="Q92" s="241"/>
      <c r="R92" s="241">
        <f t="shared" si="29"/>
        <v>391999</v>
      </c>
      <c r="S92" s="241">
        <f>R92</f>
        <v>391999</v>
      </c>
      <c r="T92" s="241"/>
      <c r="U92" s="237"/>
    </row>
    <row r="93" spans="1:21" s="238" customFormat="1" ht="34.200000000000003">
      <c r="A93" s="246" t="s">
        <v>2489</v>
      </c>
      <c r="B93" s="240">
        <f t="shared" si="28"/>
        <v>164000</v>
      </c>
      <c r="C93" s="241">
        <f>25000+134000+5000</f>
        <v>164000</v>
      </c>
      <c r="D93" s="241"/>
      <c r="E93" s="241">
        <f t="shared" si="27"/>
        <v>0</v>
      </c>
      <c r="F93" s="241"/>
      <c r="G93" s="241">
        <f>1784500-1770086</f>
        <v>14414</v>
      </c>
      <c r="H93" s="241">
        <f>5000</f>
        <v>5000</v>
      </c>
      <c r="I93" s="241"/>
      <c r="J93" s="241"/>
      <c r="K93" s="241">
        <v>144586</v>
      </c>
      <c r="L93" s="241"/>
      <c r="M93" s="241"/>
      <c r="N93" s="241"/>
      <c r="O93" s="241"/>
      <c r="P93" s="241"/>
      <c r="Q93" s="241"/>
      <c r="R93" s="241">
        <f t="shared" si="29"/>
        <v>164000</v>
      </c>
      <c r="S93" s="241">
        <v>25000</v>
      </c>
      <c r="T93" s="241"/>
      <c r="U93" s="237"/>
    </row>
    <row r="94" spans="1:21" s="238" customFormat="1" ht="11.4">
      <c r="A94" s="246" t="s">
        <v>2488</v>
      </c>
      <c r="B94" s="240">
        <f>SUM(C94+D94)</f>
        <v>265393</v>
      </c>
      <c r="C94" s="241">
        <v>265393</v>
      </c>
      <c r="D94" s="241"/>
      <c r="E94" s="241">
        <f t="shared" si="27"/>
        <v>0</v>
      </c>
      <c r="F94" s="241"/>
      <c r="G94" s="241"/>
      <c r="H94" s="241"/>
      <c r="I94" s="241">
        <v>265393</v>
      </c>
      <c r="J94" s="241"/>
      <c r="K94" s="241"/>
      <c r="L94" s="241"/>
      <c r="M94" s="241"/>
      <c r="N94" s="241"/>
      <c r="O94" s="241"/>
      <c r="P94" s="241"/>
      <c r="Q94" s="241"/>
      <c r="R94" s="241">
        <f>SUM(E94:Q94)</f>
        <v>265393</v>
      </c>
      <c r="S94" s="241">
        <v>0</v>
      </c>
      <c r="T94" s="241"/>
      <c r="U94" s="237"/>
    </row>
    <row r="95" spans="1:21" s="238" customFormat="1">
      <c r="A95" s="243" t="s">
        <v>522</v>
      </c>
      <c r="B95" s="240">
        <f>SUM(C95:D95)</f>
        <v>2924426</v>
      </c>
      <c r="C95" s="240">
        <f t="shared" ref="C95:R95" si="30">SUM(C82:C94)</f>
        <v>2924426</v>
      </c>
      <c r="D95" s="240">
        <f t="shared" si="30"/>
        <v>0</v>
      </c>
      <c r="E95" s="240">
        <f t="shared" si="30"/>
        <v>293735</v>
      </c>
      <c r="F95" s="240">
        <f t="shared" si="30"/>
        <v>702694</v>
      </c>
      <c r="G95" s="240">
        <f t="shared" si="30"/>
        <v>14414</v>
      </c>
      <c r="H95" s="240">
        <f t="shared" si="30"/>
        <v>489082</v>
      </c>
      <c r="I95" s="240">
        <f t="shared" si="30"/>
        <v>265393</v>
      </c>
      <c r="J95" s="240">
        <f t="shared" si="30"/>
        <v>250000</v>
      </c>
      <c r="K95" s="240">
        <f t="shared" si="30"/>
        <v>909108</v>
      </c>
      <c r="L95" s="240">
        <f t="shared" si="30"/>
        <v>0</v>
      </c>
      <c r="M95" s="240">
        <f t="shared" si="30"/>
        <v>0</v>
      </c>
      <c r="N95" s="240">
        <f t="shared" si="30"/>
        <v>0</v>
      </c>
      <c r="O95" s="240">
        <f t="shared" si="30"/>
        <v>0</v>
      </c>
      <c r="P95" s="240">
        <f t="shared" si="30"/>
        <v>0</v>
      </c>
      <c r="Q95" s="240">
        <f t="shared" si="30"/>
        <v>0</v>
      </c>
      <c r="R95" s="240">
        <f t="shared" si="30"/>
        <v>2924426</v>
      </c>
      <c r="S95" s="244">
        <f>SUM(S83:S86,S88:S94)</f>
        <v>2307062</v>
      </c>
      <c r="T95" s="240">
        <f>SUM(T83:T86,T88:T94)</f>
        <v>0</v>
      </c>
      <c r="U95" s="237"/>
    </row>
    <row r="96" spans="1:21" s="238" customFormat="1">
      <c r="A96" s="243" t="s">
        <v>523</v>
      </c>
      <c r="B96" s="240">
        <f>SUM(C96:D96)</f>
        <v>41980948</v>
      </c>
      <c r="C96" s="240">
        <f t="shared" ref="C96:R96" si="31">SUM(C62+C69+C76+C80+C95)</f>
        <v>41980948</v>
      </c>
      <c r="D96" s="240">
        <f t="shared" si="31"/>
        <v>0</v>
      </c>
      <c r="E96" s="240">
        <f t="shared" si="31"/>
        <v>17558348</v>
      </c>
      <c r="F96" s="240">
        <f t="shared" si="31"/>
        <v>6204000</v>
      </c>
      <c r="G96" s="240">
        <f t="shared" si="31"/>
        <v>1784500</v>
      </c>
      <c r="H96" s="240">
        <f t="shared" si="31"/>
        <v>7000000</v>
      </c>
      <c r="I96" s="240">
        <f t="shared" si="31"/>
        <v>1994000</v>
      </c>
      <c r="J96" s="240">
        <f t="shared" si="31"/>
        <v>1900000</v>
      </c>
      <c r="K96" s="240">
        <f t="shared" si="31"/>
        <v>1000000</v>
      </c>
      <c r="L96" s="240">
        <f t="shared" si="31"/>
        <v>540000</v>
      </c>
      <c r="M96" s="240">
        <f t="shared" si="31"/>
        <v>4000000</v>
      </c>
      <c r="N96" s="240">
        <f t="shared" si="31"/>
        <v>100</v>
      </c>
      <c r="O96" s="240">
        <f t="shared" si="31"/>
        <v>0</v>
      </c>
      <c r="P96" s="240">
        <f t="shared" si="31"/>
        <v>0</v>
      </c>
      <c r="Q96" s="240">
        <f t="shared" si="31"/>
        <v>0</v>
      </c>
      <c r="R96" s="240">
        <f t="shared" si="31"/>
        <v>41980948</v>
      </c>
      <c r="S96" s="244">
        <f>SUM(+S62+S69+S80+S95)</f>
        <v>35157353</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2800000</v>
      </c>
      <c r="C98" s="241">
        <v>2800000</v>
      </c>
      <c r="D98" s="241"/>
      <c r="E98" s="241">
        <f>B98-SUM(F98:Q98)</f>
        <v>1800000</v>
      </c>
      <c r="F98" s="241"/>
      <c r="G98" s="241"/>
      <c r="H98" s="241"/>
      <c r="I98" s="241"/>
      <c r="J98" s="241"/>
      <c r="K98" s="241"/>
      <c r="L98" s="241"/>
      <c r="M98" s="241"/>
      <c r="N98" s="241"/>
      <c r="O98" s="241">
        <v>1000000</v>
      </c>
      <c r="P98" s="241"/>
      <c r="Q98" s="241"/>
      <c r="R98" s="241">
        <f>SUM(E98:Q98)</f>
        <v>2800000</v>
      </c>
      <c r="S98" s="241">
        <f>R98</f>
        <v>2800000</v>
      </c>
      <c r="T98" s="241"/>
      <c r="U98" s="237"/>
    </row>
    <row r="99" spans="1:21" s="238" customFormat="1" ht="11.4">
      <c r="A99" s="239" t="s">
        <v>1948</v>
      </c>
      <c r="B99" s="240">
        <f>SUM(C99+D99)</f>
        <v>0</v>
      </c>
      <c r="C99" s="241"/>
      <c r="D99" s="241"/>
      <c r="E99" s="241">
        <f>B99-SUM(F99:Q99)</f>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f>B100-SUM(F100:Q100)</f>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1231</v>
      </c>
      <c r="B101" s="240">
        <f>SUM(C101+D101)</f>
        <v>0</v>
      </c>
      <c r="C101" s="241"/>
      <c r="D101" s="241"/>
      <c r="E101" s="241">
        <f>B101-SUM(F101:Q101)</f>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f>B102-SUM(F102:Q102)</f>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32">SUM(C98:C102)</f>
        <v>2800000</v>
      </c>
      <c r="D103" s="240">
        <f t="shared" si="32"/>
        <v>0</v>
      </c>
      <c r="E103" s="240">
        <f t="shared" si="32"/>
        <v>1800000</v>
      </c>
      <c r="F103" s="240">
        <f t="shared" si="32"/>
        <v>0</v>
      </c>
      <c r="G103" s="240">
        <f t="shared" si="32"/>
        <v>0</v>
      </c>
      <c r="H103" s="240">
        <f t="shared" si="32"/>
        <v>0</v>
      </c>
      <c r="I103" s="240">
        <f t="shared" si="32"/>
        <v>0</v>
      </c>
      <c r="J103" s="240">
        <f t="shared" si="32"/>
        <v>0</v>
      </c>
      <c r="K103" s="240">
        <f t="shared" si="32"/>
        <v>0</v>
      </c>
      <c r="L103" s="240">
        <f t="shared" si="32"/>
        <v>0</v>
      </c>
      <c r="M103" s="240">
        <f t="shared" si="32"/>
        <v>0</v>
      </c>
      <c r="N103" s="240">
        <f t="shared" si="32"/>
        <v>0</v>
      </c>
      <c r="O103" s="240">
        <f t="shared" si="32"/>
        <v>1000000</v>
      </c>
      <c r="P103" s="240">
        <f t="shared" si="32"/>
        <v>0</v>
      </c>
      <c r="Q103" s="240">
        <f t="shared" si="32"/>
        <v>0</v>
      </c>
      <c r="R103" s="240">
        <f t="shared" si="32"/>
        <v>2800000</v>
      </c>
      <c r="S103" s="244">
        <f t="shared" si="32"/>
        <v>2800000</v>
      </c>
      <c r="T103" s="244">
        <f t="shared" si="32"/>
        <v>0</v>
      </c>
      <c r="U103" s="237"/>
    </row>
    <row r="104" spans="1:21" s="238" customFormat="1">
      <c r="A104" s="243" t="s">
        <v>1147</v>
      </c>
      <c r="B104" s="244">
        <f>SUM(C104:D104)</f>
        <v>44780948</v>
      </c>
      <c r="C104" s="244">
        <f t="shared" ref="C104:R104" si="33">SUM(C96+C103)</f>
        <v>44780948</v>
      </c>
      <c r="D104" s="244">
        <f t="shared" si="33"/>
        <v>0</v>
      </c>
      <c r="E104" s="244">
        <f t="shared" si="33"/>
        <v>19358348</v>
      </c>
      <c r="F104" s="244">
        <f t="shared" si="33"/>
        <v>6204000</v>
      </c>
      <c r="G104" s="244">
        <f t="shared" si="33"/>
        <v>1784500</v>
      </c>
      <c r="H104" s="244">
        <f t="shared" si="33"/>
        <v>7000000</v>
      </c>
      <c r="I104" s="244">
        <f t="shared" si="33"/>
        <v>1994000</v>
      </c>
      <c r="J104" s="244">
        <f t="shared" si="33"/>
        <v>1900000</v>
      </c>
      <c r="K104" s="244">
        <f t="shared" si="33"/>
        <v>1000000</v>
      </c>
      <c r="L104" s="244">
        <f t="shared" si="33"/>
        <v>540000</v>
      </c>
      <c r="M104" s="244">
        <f t="shared" si="33"/>
        <v>4000000</v>
      </c>
      <c r="N104" s="244">
        <f t="shared" si="33"/>
        <v>100</v>
      </c>
      <c r="O104" s="244">
        <f t="shared" si="33"/>
        <v>1000000</v>
      </c>
      <c r="P104" s="244">
        <f t="shared" si="33"/>
        <v>0</v>
      </c>
      <c r="Q104" s="244">
        <f t="shared" si="33"/>
        <v>0</v>
      </c>
      <c r="R104" s="240">
        <f t="shared" si="33"/>
        <v>44780948</v>
      </c>
      <c r="S104" s="244">
        <f>S96+S103</f>
        <v>37957353</v>
      </c>
      <c r="T104" s="244">
        <f>T96+T103</f>
        <v>0</v>
      </c>
      <c r="U104" s="237"/>
    </row>
    <row r="105" spans="1:21" s="253" customFormat="1">
      <c r="A105" s="780" t="s">
        <v>1302</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37957353</v>
      </c>
      <c r="T106" s="244">
        <f>T104+T105</f>
        <v>0</v>
      </c>
      <c r="U106" s="256"/>
    </row>
    <row r="107" spans="1:21" s="258" customFormat="1">
      <c r="A107" s="257" t="s">
        <v>1098</v>
      </c>
      <c r="B107" s="252"/>
      <c r="C107" s="252"/>
      <c r="D107" s="252"/>
      <c r="E107" s="240">
        <f>Application!AO634</f>
        <v>19358348</v>
      </c>
      <c r="F107" s="240">
        <f>Application!AO621</f>
        <v>6204000</v>
      </c>
      <c r="G107" s="240">
        <f>Application!AO622</f>
        <v>1784500</v>
      </c>
      <c r="H107" s="240">
        <f>Application!AO623</f>
        <v>7000000</v>
      </c>
      <c r="I107" s="240">
        <f>Application!AO624</f>
        <v>1994000</v>
      </c>
      <c r="J107" s="240">
        <f>Application!AO625</f>
        <v>1900000</v>
      </c>
      <c r="K107" s="240">
        <f>Application!AO626</f>
        <v>1000000</v>
      </c>
      <c r="L107" s="240">
        <f>Application!AO627</f>
        <v>540000</v>
      </c>
      <c r="M107" s="240">
        <f>Application!AO628</f>
        <v>4000000</v>
      </c>
      <c r="N107" s="240">
        <f>Application!AO629</f>
        <v>100</v>
      </c>
      <c r="O107" s="240">
        <f>Application!AO630</f>
        <v>1000000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1206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1207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2104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1786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1305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1296</v>
      </c>
      <c r="U121" s="553"/>
    </row>
    <row r="122" spans="1:21" s="253" customFormat="1" ht="11.4">
      <c r="A122" s="254" t="s">
        <v>1281</v>
      </c>
      <c r="D122" s="1594" t="s">
        <v>1282</v>
      </c>
      <c r="E122" s="1594"/>
      <c r="F122" s="1594"/>
      <c r="U122" s="256"/>
    </row>
    <row r="123" spans="1:21" s="253" customFormat="1" ht="11.4">
      <c r="A123" s="253" t="s">
        <v>1283</v>
      </c>
      <c r="B123" s="546"/>
      <c r="D123" s="1586" t="s">
        <v>1307</v>
      </c>
      <c r="E123" s="1582"/>
      <c r="F123" s="1582"/>
      <c r="G123" s="1582"/>
      <c r="H123" s="1582"/>
      <c r="I123" s="1582"/>
      <c r="J123" s="1582"/>
      <c r="K123" s="1582"/>
      <c r="L123" s="1582"/>
      <c r="M123" s="1582"/>
      <c r="N123" s="1582"/>
      <c r="O123" s="1582"/>
      <c r="P123" s="1582"/>
      <c r="Q123" s="1582"/>
      <c r="R123" s="1582"/>
      <c r="S123" s="1582"/>
      <c r="U123" s="256"/>
    </row>
    <row r="124" spans="1:21" s="253" customFormat="1" ht="13.2">
      <c r="A124" s="209" t="s">
        <v>1284</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3.2">
      <c r="A125" s="209" t="s">
        <v>1285</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3.2">
      <c r="A126" s="209" t="s">
        <v>1286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1287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1288</v>
      </c>
      <c r="B128" s="546"/>
      <c r="C128" s="209"/>
      <c r="D128" s="1589"/>
      <c r="E128" s="1589"/>
      <c r="F128" s="1589"/>
      <c r="G128" s="1589"/>
      <c r="H128" s="1589"/>
      <c r="I128" s="209"/>
      <c r="J128" s="1585"/>
      <c r="K128" s="1585"/>
      <c r="L128" s="209"/>
      <c r="M128" s="209"/>
      <c r="N128" s="209"/>
      <c r="O128" s="209"/>
      <c r="P128" s="209"/>
      <c r="Q128" s="209"/>
      <c r="R128" s="209"/>
      <c r="S128" s="209"/>
      <c r="U128" s="256"/>
    </row>
    <row r="129" spans="1:21" s="253" customFormat="1" ht="13.2">
      <c r="A129" s="209" t="s">
        <v>498</v>
      </c>
      <c r="B129" s="546"/>
      <c r="C129" s="209"/>
      <c r="D129" s="1593" t="s">
        <v>1289</v>
      </c>
      <c r="E129" s="1593"/>
      <c r="F129" s="1593"/>
      <c r="G129" s="1593"/>
      <c r="H129" s="1593"/>
      <c r="I129" s="209"/>
      <c r="J129" s="209" t="s">
        <v>1290</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1291</v>
      </c>
      <c r="B131" s="547">
        <f>SUM(B123:B129)</f>
        <v>0</v>
      </c>
      <c r="C131" s="209"/>
      <c r="D131" s="1477"/>
      <c r="E131" s="1477"/>
      <c r="F131" s="1477"/>
      <c r="G131" s="1477"/>
      <c r="H131" s="1477"/>
      <c r="I131" s="209"/>
      <c r="J131" s="1477"/>
      <c r="K131" s="1477"/>
      <c r="L131" s="1477"/>
      <c r="M131" s="1477"/>
      <c r="N131" s="209"/>
      <c r="O131" s="209"/>
      <c r="P131" s="209"/>
      <c r="Q131" s="209"/>
      <c r="R131" s="209"/>
      <c r="S131" s="209"/>
      <c r="U131" s="256"/>
    </row>
    <row r="132" spans="1:21" s="253" customFormat="1" ht="13.2">
      <c r="A132" s="548"/>
      <c r="B132" s="209"/>
      <c r="C132" s="209"/>
      <c r="D132" s="1587" t="s">
        <v>1292</v>
      </c>
      <c r="E132" s="1587"/>
      <c r="F132" s="1587"/>
      <c r="G132" s="1587"/>
      <c r="H132" s="1587"/>
      <c r="I132" s="209"/>
      <c r="J132" s="1587" t="s">
        <v>1293</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9"/>
      <c r="C138" s="1589"/>
      <c r="D138" s="352"/>
      <c r="E138" s="1585"/>
      <c r="F138" s="1585"/>
      <c r="G138" s="209"/>
      <c r="H138" s="209"/>
      <c r="I138" s="209"/>
      <c r="J138" s="209"/>
      <c r="K138" s="209"/>
      <c r="L138" s="209"/>
      <c r="M138" s="209"/>
      <c r="N138" s="209"/>
      <c r="O138" s="209"/>
      <c r="P138" s="209"/>
      <c r="Q138" s="209"/>
      <c r="R138" s="209"/>
      <c r="S138" s="209"/>
    </row>
    <row r="139" spans="1:21" ht="12" customHeight="1">
      <c r="A139" s="1584" t="s">
        <v>1295</v>
      </c>
      <c r="B139" s="1584"/>
      <c r="C139" s="1584"/>
      <c r="D139" s="352"/>
      <c r="E139" s="209" t="s">
        <v>1290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9"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8" t="s">
        <v>1737</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1821</v>
      </c>
    </row>
    <row r="7" spans="1:40" ht="12.9"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DDA/QCT
Building(s)</v>
      </c>
      <c r="U7" s="1614"/>
      <c r="V7" s="1614"/>
      <c r="W7" s="1614"/>
      <c r="X7" s="1614"/>
      <c r="Y7" s="1614" t="str">
        <f>IF(T25=100%,"",'Sources and Basis Breakdown'!G2)</f>
        <v>70% PVC for New Const/
Rehabilitation
NON-DDA/
NON-QCT Building(s)</v>
      </c>
      <c r="Z7" s="1614"/>
      <c r="AA7" s="1614"/>
      <c r="AB7" s="1614"/>
      <c r="AC7" s="1614"/>
      <c r="AD7" s="1614" t="str">
        <f>IF(T25=100%,'Sources and Basis Breakdown'!J2,'Sources and Basis Breakdown'!I2)</f>
        <v>30% PVC for Acquisition
DDA/QCT Building(s)</v>
      </c>
      <c r="AE7" s="1614"/>
      <c r="AF7" s="1614"/>
      <c r="AG7" s="1614"/>
      <c r="AH7" s="1614"/>
      <c r="AI7" s="1614" t="str">
        <f>IF(T25=100%,"",'Sources and Basis Breakdown'!J2)</f>
        <v>30% PVC for Acquisition
NON-DDA/
NON-QCT Building(s)</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4" t="s">
        <v>507</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37957353</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1703</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2.9" customHeight="1">
      <c r="B18" s="940"/>
      <c r="C18" s="1595" t="s">
        <v>1208</v>
      </c>
      <c r="D18" s="1595"/>
      <c r="E18" s="1595"/>
      <c r="F18" s="1595"/>
      <c r="G18" s="1595"/>
      <c r="H18" s="1595"/>
      <c r="I18" s="1595"/>
      <c r="J18" s="1595"/>
      <c r="K18" s="1595"/>
      <c r="L18" s="1595"/>
      <c r="M18" s="1595"/>
      <c r="N18" s="1595"/>
      <c r="O18" s="1595"/>
      <c r="P18" s="1595"/>
      <c r="Q18" s="1595"/>
      <c r="R18" s="1595"/>
      <c r="S18" s="1596"/>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2.9" customHeight="1">
      <c r="B19" s="484"/>
      <c r="C19" s="1595" t="s">
        <v>1208</v>
      </c>
      <c r="D19" s="1595"/>
      <c r="E19" s="1595"/>
      <c r="F19" s="1595"/>
      <c r="G19" s="1595"/>
      <c r="H19" s="1595"/>
      <c r="I19" s="1595"/>
      <c r="J19" s="1595"/>
      <c r="K19" s="1595"/>
      <c r="L19" s="1595"/>
      <c r="M19" s="1595"/>
      <c r="N19" s="1595"/>
      <c r="O19" s="1595"/>
      <c r="P19" s="1595"/>
      <c r="Q19" s="1595"/>
      <c r="R19" s="1595"/>
      <c r="S19" s="1596"/>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2.9"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1702</v>
      </c>
      <c r="C21" s="1185"/>
      <c r="D21" s="1185"/>
      <c r="E21" s="1185"/>
      <c r="F21" s="1185"/>
      <c r="G21" s="1185"/>
      <c r="H21" s="1185"/>
      <c r="I21" s="1185"/>
      <c r="J21" s="1185"/>
      <c r="K21" s="1185"/>
      <c r="L21" s="1185"/>
      <c r="M21" s="1185"/>
      <c r="N21" s="1185"/>
      <c r="O21" s="1185"/>
      <c r="P21" s="1185"/>
      <c r="Q21" s="1185"/>
      <c r="R21" s="1185"/>
      <c r="S21" s="1186"/>
      <c r="T21" s="1213">
        <v>20741432</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2.9" customHeight="1">
      <c r="B22" s="1184" t="s">
        <v>771</v>
      </c>
      <c r="C22" s="1185"/>
      <c r="D22" s="1185"/>
      <c r="E22" s="1185"/>
      <c r="F22" s="1185"/>
      <c r="G22" s="1185"/>
      <c r="H22" s="1185"/>
      <c r="I22" s="1185"/>
      <c r="J22" s="1185"/>
      <c r="K22" s="1185"/>
      <c r="L22" s="1185"/>
      <c r="M22" s="1185"/>
      <c r="N22" s="1185"/>
      <c r="O22" s="1185"/>
      <c r="P22" s="1185"/>
      <c r="Q22" s="1185"/>
      <c r="R22" s="1185"/>
      <c r="S22" s="1186"/>
      <c r="T22" s="1608">
        <f>(ABS(T20)+ABS(T21))*-1</f>
        <v>-20741432</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2.9" customHeight="1">
      <c r="B23" s="1184" t="s">
        <v>1896</v>
      </c>
      <c r="C23" s="1185"/>
      <c r="D23" s="1185"/>
      <c r="E23" s="1185"/>
      <c r="F23" s="1185"/>
      <c r="G23" s="1185"/>
      <c r="H23" s="1185"/>
      <c r="I23" s="1185"/>
      <c r="J23" s="1185"/>
      <c r="K23" s="1185"/>
      <c r="L23" s="1185"/>
      <c r="M23" s="1185"/>
      <c r="N23" s="1185"/>
      <c r="O23" s="1185"/>
      <c r="P23" s="1185"/>
      <c r="Q23" s="1185"/>
      <c r="R23" s="1185"/>
      <c r="S23" s="1186"/>
      <c r="T23" s="1607">
        <f>T11+T22</f>
        <v>17215921</v>
      </c>
      <c r="U23" s="1204"/>
      <c r="V23" s="1204"/>
      <c r="W23" s="1204"/>
      <c r="X23" s="1204"/>
      <c r="Y23" s="1607">
        <f>Y11+Y22</f>
        <v>0</v>
      </c>
      <c r="Z23" s="1204"/>
      <c r="AA23" s="1204"/>
      <c r="AB23" s="1204"/>
      <c r="AC23" s="1204"/>
      <c r="AD23" s="1607">
        <f>IF(AD11=AD21,0,AD11)</f>
        <v>0</v>
      </c>
      <c r="AE23" s="1204"/>
      <c r="AF23" s="1204"/>
      <c r="AG23" s="1204"/>
      <c r="AH23" s="1204"/>
      <c r="AI23" s="1607">
        <f>IF(AI11=AI21,0,AI11)</f>
        <v>0</v>
      </c>
      <c r="AJ23" s="1204"/>
      <c r="AK23" s="1204"/>
      <c r="AL23" s="1204"/>
      <c r="AM23" s="1204"/>
    </row>
    <row r="24" spans="1:39" ht="12.9" customHeight="1">
      <c r="B24" s="1184" t="s">
        <v>1209</v>
      </c>
      <c r="C24" s="1185"/>
      <c r="D24" s="1185"/>
      <c r="E24" s="1185"/>
      <c r="F24" s="1185"/>
      <c r="G24" s="1185"/>
      <c r="H24" s="1185"/>
      <c r="I24" s="1185"/>
      <c r="J24" s="1185"/>
      <c r="K24" s="1185"/>
      <c r="L24" s="1185"/>
      <c r="M24" s="1185"/>
      <c r="N24" s="1185"/>
      <c r="O24" s="1185"/>
      <c r="P24" s="1185"/>
      <c r="Q24" s="1185"/>
      <c r="R24" s="1185"/>
      <c r="S24" s="1186"/>
      <c r="T24" s="1605">
        <f>Application!AJ1020</f>
        <v>39327079</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1898</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1.3</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22380697.300000001</v>
      </c>
      <c r="U26" s="1610"/>
      <c r="V26" s="1610"/>
      <c r="W26" s="1610"/>
      <c r="X26" s="1610"/>
      <c r="Y26" s="1228">
        <f>Y23*Y25</f>
        <v>0</v>
      </c>
      <c r="Z26" s="1610"/>
      <c r="AA26" s="1610"/>
      <c r="AB26" s="1610"/>
      <c r="AC26" s="1610"/>
      <c r="AD26" s="1228">
        <f>AD23*AD25</f>
        <v>0</v>
      </c>
      <c r="AE26" s="1610"/>
      <c r="AF26" s="1610"/>
      <c r="AG26" s="1610"/>
      <c r="AH26" s="1610"/>
      <c r="AI26" s="1228">
        <f>AI23*AI25</f>
        <v>0</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22380697.300000001</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0</v>
      </c>
      <c r="AJ28" s="1610"/>
      <c r="AK28" s="1610"/>
      <c r="AL28" s="1610"/>
      <c r="AM28" s="1610"/>
    </row>
    <row r="29" spans="1:39" ht="12.9"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22380697.300000001</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641" t="s">
        <v>1897</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2.9" customHeight="1">
      <c r="B31" s="1642" t="s">
        <v>1899</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4" t="s">
        <v>1596</v>
      </c>
      <c r="Z35" s="1614"/>
      <c r="AA35" s="1614"/>
      <c r="AB35" s="1614"/>
      <c r="AC35" s="1614"/>
      <c r="AD35" s="1502" t="s">
        <v>41</v>
      </c>
      <c r="AE35" s="1502"/>
      <c r="AF35" s="1502"/>
      <c r="AG35" s="1502"/>
      <c r="AH35" s="1502"/>
    </row>
    <row r="36" spans="1:44" ht="12.9" customHeight="1">
      <c r="B36" s="204"/>
      <c r="X36" s="71"/>
      <c r="Y36" s="1614"/>
      <c r="Z36" s="1614"/>
      <c r="AA36" s="1614"/>
      <c r="AB36" s="1614"/>
      <c r="AC36" s="1614"/>
      <c r="AD36" s="1502"/>
      <c r="AE36" s="1502"/>
      <c r="AF36" s="1502"/>
      <c r="AG36" s="1502"/>
      <c r="AH36" s="150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4" ht="12.9"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22380697.300000001</v>
      </c>
      <c r="Z38" s="1204"/>
      <c r="AA38" s="1204"/>
      <c r="AB38" s="1204"/>
      <c r="AC38" s="1204"/>
      <c r="AD38" s="1204">
        <f>IF(T24&gt;=(T23+Y23+AD23+AI23),AD28+AI28,0)</f>
        <v>0</v>
      </c>
      <c r="AE38" s="1204"/>
      <c r="AF38" s="1204"/>
      <c r="AG38" s="1204"/>
      <c r="AH38" s="1204"/>
    </row>
    <row r="39" spans="1:44" ht="12.9" customHeight="1">
      <c r="B39" s="1184" t="s">
        <v>1806</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645">
        <v>0.09</v>
      </c>
      <c r="Z39" s="1645"/>
      <c r="AA39" s="1645"/>
      <c r="AB39" s="1645"/>
      <c r="AC39" s="1645"/>
      <c r="AD39" s="1645">
        <v>0.04</v>
      </c>
      <c r="AE39" s="1645"/>
      <c r="AF39" s="1645"/>
      <c r="AG39" s="1645"/>
      <c r="AH39" s="1645"/>
    </row>
    <row r="40" spans="1:44"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2014263</v>
      </c>
      <c r="Z40" s="1204"/>
      <c r="AA40" s="1204"/>
      <c r="AB40" s="1204"/>
      <c r="AC40" s="1204"/>
      <c r="AD40" s="1607">
        <f>ROUND(AD38*AD39,0)</f>
        <v>0</v>
      </c>
      <c r="AE40" s="1204"/>
      <c r="AF40" s="1204"/>
      <c r="AG40" s="1204"/>
      <c r="AH40" s="1204"/>
    </row>
    <row r="41" spans="1:44" ht="12.9"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IF(Application!Y211="No",'Basis &amp; Credits'!AR42,AR43)</f>
        <v>2014263</v>
      </c>
      <c r="Z41" s="1606"/>
      <c r="AA41" s="1606"/>
      <c r="AB41" s="1606"/>
      <c r="AC41" s="1606"/>
      <c r="AD41" s="1606"/>
      <c r="AE41" s="1606"/>
      <c r="AF41" s="1606"/>
      <c r="AG41" s="1606"/>
      <c r="AH41" s="1607"/>
    </row>
    <row r="42" spans="1:44" ht="12.9" customHeight="1">
      <c r="A42" s="3"/>
      <c r="B42" s="1639" t="s">
        <v>1807</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2014263</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2014263</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5">
        <f>'Sources and Uses Budget'!B104-(MAX(IF('Sources and Uses Budget'!B15="",0,'Sources and Uses Budget'!B15),IF(Application!AG387="",0,Application!AG387)))</f>
        <v>44780948</v>
      </c>
      <c r="AC46" s="1196"/>
      <c r="AD46" s="1196"/>
      <c r="AE46" s="1196"/>
      <c r="AF46" s="1197"/>
    </row>
    <row r="47" spans="1:44" ht="12.9" customHeight="1">
      <c r="D47" s="3" t="s">
        <v>836</v>
      </c>
      <c r="AB47" s="1195">
        <f>Application!AO633-MAX(IF('Sources and Uses Budget'!B15="",0,'Sources and Uses Budget'!B15),IF(Application!AG387="",0,Application!AG387))</f>
        <v>25422600</v>
      </c>
      <c r="AC47" s="1196"/>
      <c r="AD47" s="1196"/>
      <c r="AE47" s="1196"/>
      <c r="AF47" s="1197"/>
    </row>
    <row r="48" spans="1:44" ht="12.9" customHeight="1">
      <c r="D48" s="3" t="s">
        <v>377</v>
      </c>
      <c r="AB48" s="1195">
        <f>AB46-AB47</f>
        <v>19358348</v>
      </c>
      <c r="AC48" s="1196"/>
      <c r="AD48" s="1196"/>
      <c r="AE48" s="1196"/>
      <c r="AF48" s="1197"/>
    </row>
    <row r="49" spans="1:40" ht="12.9" customHeight="1">
      <c r="D49" s="3" t="s">
        <v>871</v>
      </c>
      <c r="AA49" s="34"/>
      <c r="AB49" s="1634">
        <f>(19358348/20142627)</f>
        <v>0.96106371825283765</v>
      </c>
      <c r="AC49" s="1635"/>
      <c r="AD49" s="1635"/>
      <c r="AE49" s="1635"/>
      <c r="AF49" s="1636"/>
    </row>
    <row r="50" spans="1:40" s="323" customFormat="1" ht="12.9" customHeight="1">
      <c r="A50"/>
      <c r="B50"/>
      <c r="C50"/>
      <c r="D50"/>
      <c r="E50" s="1640" t="s">
        <v>1941</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20142627</v>
      </c>
      <c r="AC53" s="1196"/>
      <c r="AD53" s="1196"/>
      <c r="AE53" s="1196"/>
      <c r="AF53" s="1197"/>
    </row>
    <row r="54" spans="1:40" ht="12.9" customHeight="1">
      <c r="D54" s="3" t="s">
        <v>560</v>
      </c>
      <c r="AB54" s="1195">
        <f>(AB53/10)</f>
        <v>2014262.7</v>
      </c>
      <c r="AC54" s="1196"/>
      <c r="AD54" s="1196"/>
      <c r="AE54" s="1196"/>
      <c r="AF54" s="1197"/>
    </row>
    <row r="55" spans="1:40" ht="12.9" customHeight="1">
      <c r="D55" s="3" t="s">
        <v>340</v>
      </c>
      <c r="AB55" s="1195">
        <f>(IF((Y41&lt;AB54),Y41,AB54))</f>
        <v>2014262.7</v>
      </c>
      <c r="AC55" s="1196"/>
      <c r="AD55" s="1196"/>
      <c r="AE55" s="1196"/>
      <c r="AF55" s="1197"/>
    </row>
    <row r="56" spans="1:40" ht="12.9" customHeight="1">
      <c r="D56" s="3" t="s">
        <v>106</v>
      </c>
      <c r="AB56" s="1195">
        <f>ROUND((10*AB55*AB49),0)</f>
        <v>19358348</v>
      </c>
      <c r="AC56" s="1196"/>
      <c r="AD56" s="1196"/>
      <c r="AE56" s="1196"/>
      <c r="AF56" s="1197"/>
    </row>
    <row r="57" spans="1:40" ht="12.9" customHeight="1">
      <c r="D57" s="3"/>
      <c r="AB57" s="276"/>
      <c r="AC57" s="276"/>
      <c r="AD57" s="276"/>
      <c r="AE57" s="276"/>
      <c r="AF57" s="276"/>
    </row>
    <row r="58" spans="1:40" ht="12.9" customHeight="1">
      <c r="D58" s="3" t="s">
        <v>105</v>
      </c>
      <c r="AB58" s="1217">
        <f>AB48-AB56</f>
        <v>0</v>
      </c>
      <c r="AC58" s="1217"/>
      <c r="AD58" s="1217"/>
      <c r="AE58" s="1217"/>
      <c r="AF58" s="1217"/>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3" t="s">
        <v>1741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121</v>
      </c>
      <c r="C62" s="3" t="s">
        <v>508</v>
      </c>
      <c r="Y62" s="1171" t="s">
        <v>297</v>
      </c>
      <c r="Z62" s="1171"/>
      <c r="AA62" s="1171"/>
      <c r="AB62" s="1171"/>
      <c r="AC62" s="1171"/>
      <c r="AD62" s="1171" t="s">
        <v>41</v>
      </c>
      <c r="AE62" s="1171"/>
      <c r="AF62" s="1171"/>
      <c r="AG62" s="1171"/>
      <c r="AH62" s="1171"/>
    </row>
    <row r="63" spans="1:40" ht="12.9" customHeight="1">
      <c r="C63" s="3"/>
      <c r="D63" s="128" t="s">
        <v>1232</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37"/>
      <c r="AA63" s="1637"/>
      <c r="AB63" s="1637"/>
      <c r="AC63" s="1637"/>
      <c r="AD63" s="1204">
        <f>IF(AND(T25=1.3,Application!D214="At-Risk"),AI28,IF(Application!D214&lt;&gt;"At-Risk",0,AD28))</f>
        <v>0</v>
      </c>
      <c r="AE63" s="1637"/>
      <c r="AF63" s="1637"/>
      <c r="AG63" s="1637"/>
      <c r="AH63" s="1637"/>
    </row>
    <row r="64" spans="1:40" ht="12.9" customHeight="1">
      <c r="C64" s="3"/>
      <c r="E64" s="1644" t="s">
        <v>1280</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2.9"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2.9" customHeight="1">
      <c r="C68" s="3"/>
      <c r="E68" s="796" t="s">
        <v>1900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4"/>
      <c r="AC70" s="1635"/>
      <c r="AD70" s="1635"/>
      <c r="AE70" s="1635"/>
      <c r="AF70" s="1636"/>
    </row>
    <row r="71" spans="1:34" ht="12.9" customHeight="1">
      <c r="A71" s="3"/>
      <c r="C71" s="3"/>
      <c r="D71" s="3"/>
      <c r="E71" s="1638" t="s">
        <v>2238</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105</v>
      </c>
      <c r="AB79" s="1217">
        <f>AB48-(AB56+AB77)</f>
        <v>0</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 workbookViewId="0">
      <selection activeCell="C4" sqref="C4"/>
    </sheetView>
  </sheetViews>
  <sheetFormatPr defaultColWidth="8.88671875" defaultRowHeight="12" zeroHeight="1"/>
  <cols>
    <col min="1" max="1" width="32.4414062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6" t="s">
        <v>1814</v>
      </c>
      <c r="B1" s="1647"/>
      <c r="C1" s="1647"/>
      <c r="D1" s="1647"/>
      <c r="E1" s="1647"/>
      <c r="F1" s="1647"/>
      <c r="G1" s="1647"/>
      <c r="H1" s="1647"/>
      <c r="I1" s="1647"/>
      <c r="J1" s="1648"/>
      <c r="K1" s="578"/>
    </row>
    <row r="2" spans="1:11" s="596" customFormat="1" ht="72">
      <c r="A2" s="594"/>
      <c r="B2" s="232" t="s">
        <v>1346</v>
      </c>
      <c r="C2" s="232" t="s">
        <v>1815</v>
      </c>
      <c r="D2" s="232" t="s">
        <v>1816</v>
      </c>
      <c r="E2" s="232" t="s">
        <v>1350</v>
      </c>
      <c r="F2" s="232" t="s">
        <v>1817</v>
      </c>
      <c r="G2" s="232" t="s">
        <v>1818</v>
      </c>
      <c r="H2" s="232" t="s">
        <v>1349</v>
      </c>
      <c r="I2" s="232" t="s">
        <v>1819</v>
      </c>
      <c r="J2" s="664" t="s">
        <v>1820</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4000000</v>
      </c>
      <c r="C4" s="585"/>
      <c r="D4" s="585"/>
      <c r="E4" s="586"/>
      <c r="F4" s="586"/>
      <c r="G4" s="586"/>
      <c r="H4" s="586"/>
      <c r="I4" s="586"/>
      <c r="J4" s="586"/>
      <c r="K4" s="579"/>
    </row>
    <row r="5" spans="1:11" s="253" customFormat="1" ht="13.2">
      <c r="A5" s="300" t="s">
        <v>67</v>
      </c>
      <c r="B5" s="584">
        <f>'Sources and Uses Budget'!C5</f>
        <v>105199</v>
      </c>
      <c r="C5" s="585"/>
      <c r="D5" s="585"/>
      <c r="E5" s="586"/>
      <c r="F5" s="586"/>
      <c r="G5" s="586"/>
      <c r="H5" s="586"/>
      <c r="I5" s="586"/>
      <c r="J5" s="586"/>
      <c r="K5" s="579"/>
    </row>
    <row r="6" spans="1:11" s="253" customFormat="1" ht="11.4">
      <c r="A6" s="239" t="s">
        <v>342</v>
      </c>
      <c r="B6" s="584">
        <f>'Sources and Uses Budget'!C6</f>
        <v>30000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4135199</v>
      </c>
      <c r="C8" s="584">
        <f>SUM(C4:C7)</f>
        <v>0</v>
      </c>
      <c r="D8" s="584">
        <f>SUM(D4:D7)</f>
        <v>0</v>
      </c>
      <c r="E8" s="586"/>
      <c r="F8" s="586"/>
      <c r="G8" s="586"/>
      <c r="H8" s="586"/>
      <c r="I8" s="586"/>
      <c r="J8" s="586"/>
      <c r="K8" s="579"/>
    </row>
    <row r="9" spans="1:11" s="253" customFormat="1" ht="11.4">
      <c r="A9" s="239" t="s">
        <v>1711</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829680</v>
      </c>
      <c r="C10" s="585"/>
      <c r="D10" s="585"/>
      <c r="E10" s="584">
        <f>'Sources and Uses Budget'!S10</f>
        <v>829680</v>
      </c>
      <c r="F10" s="585"/>
      <c r="G10" s="585"/>
      <c r="H10" s="584">
        <f>'Sources and Uses Budget'!T10</f>
        <v>0</v>
      </c>
      <c r="I10" s="585"/>
      <c r="J10" s="585"/>
      <c r="K10" s="579"/>
    </row>
    <row r="11" spans="1:11" s="253" customFormat="1">
      <c r="A11" s="243" t="s">
        <v>585</v>
      </c>
      <c r="B11" s="584">
        <f>'Sources and Uses Budget'!C11</f>
        <v>829680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4964879</v>
      </c>
      <c r="C12" s="584">
        <f>SUM(C8+C11)</f>
        <v>0</v>
      </c>
      <c r="D12" s="584">
        <f>SUM(D8+D11)</f>
        <v>0</v>
      </c>
      <c r="E12" s="586"/>
      <c r="F12" s="586"/>
      <c r="G12" s="586"/>
      <c r="H12" s="586"/>
      <c r="I12" s="586"/>
      <c r="J12" s="586"/>
      <c r="K12" s="579"/>
    </row>
    <row r="13" spans="1:11" s="253" customFormat="1" ht="11.4">
      <c r="A13" s="456" t="s">
        <v>1101</v>
      </c>
      <c r="B13" s="584">
        <f>'Sources and Uses Budget'!C13</f>
        <v>30000</v>
      </c>
      <c r="C13" s="585"/>
      <c r="D13" s="585"/>
      <c r="E13" s="584">
        <f>'Sources and Uses Budget'!S13</f>
        <v>0</v>
      </c>
      <c r="F13" s="585"/>
      <c r="G13" s="585"/>
      <c r="H13" s="584">
        <f>'Sources and Uses Budget'!T13</f>
        <v>0</v>
      </c>
      <c r="I13" s="585"/>
      <c r="J13" s="585"/>
      <c r="K13" s="579"/>
    </row>
    <row r="14" spans="1:11" s="253" customFormat="1" ht="22.8">
      <c r="A14" s="239" t="s">
        <v>1132</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1672</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4580401</v>
      </c>
      <c r="C28" s="585"/>
      <c r="D28" s="585"/>
      <c r="E28" s="584">
        <f>'Sources and Uses Budget'!S29</f>
        <v>4580401</v>
      </c>
      <c r="F28" s="585"/>
      <c r="G28" s="585"/>
      <c r="H28" s="584">
        <f>'Sources and Uses Budget'!T29</f>
        <v>0</v>
      </c>
      <c r="I28" s="585"/>
      <c r="J28" s="585"/>
      <c r="K28" s="579"/>
    </row>
    <row r="29" spans="1:11" s="253" customFormat="1" ht="11.4">
      <c r="A29" s="239" t="s">
        <v>910</v>
      </c>
      <c r="B29" s="584">
        <f>'Sources and Uses Budget'!C30</f>
        <v>18531752</v>
      </c>
      <c r="C29" s="585"/>
      <c r="D29" s="585"/>
      <c r="E29" s="584">
        <f>'Sources and Uses Budget'!S30</f>
        <v>18531752</v>
      </c>
      <c r="F29" s="585"/>
      <c r="G29" s="585"/>
      <c r="H29" s="584">
        <f>'Sources and Uses Budget'!T30</f>
        <v>0</v>
      </c>
      <c r="I29" s="585"/>
      <c r="J29" s="585"/>
      <c r="K29" s="579"/>
    </row>
    <row r="30" spans="1:11" s="253" customFormat="1" ht="11.4">
      <c r="A30" s="239" t="s">
        <v>911</v>
      </c>
      <c r="B30" s="584">
        <f>'Sources and Uses Budget'!C31</f>
        <v>2363979</v>
      </c>
      <c r="C30" s="585"/>
      <c r="D30" s="585"/>
      <c r="E30" s="584">
        <f>'Sources and Uses Budget'!S31</f>
        <v>2363979</v>
      </c>
      <c r="F30" s="585"/>
      <c r="G30" s="585"/>
      <c r="H30" s="584">
        <f>'Sources and Uses Budget'!T31</f>
        <v>0</v>
      </c>
      <c r="I30" s="585"/>
      <c r="J30" s="585"/>
      <c r="K30" s="579"/>
    </row>
    <row r="31" spans="1:11" s="253" customFormat="1" ht="11.4">
      <c r="A31" s="239" t="s">
        <v>912</v>
      </c>
      <c r="B31" s="584">
        <f>'Sources and Uses Budget'!C32</f>
        <v>397692</v>
      </c>
      <c r="C31" s="585"/>
      <c r="D31" s="585"/>
      <c r="E31" s="584">
        <f>'Sources and Uses Budget'!S32</f>
        <v>397692</v>
      </c>
      <c r="F31" s="585"/>
      <c r="G31" s="585"/>
      <c r="H31" s="584">
        <f>'Sources and Uses Budget'!T32</f>
        <v>0</v>
      </c>
      <c r="I31" s="585"/>
      <c r="J31" s="585"/>
      <c r="K31" s="579"/>
    </row>
    <row r="32" spans="1:11" s="253" customFormat="1" ht="11.4">
      <c r="A32" s="239" t="s">
        <v>913</v>
      </c>
      <c r="B32" s="584">
        <f>'Sources and Uses Budget'!C33</f>
        <v>397692</v>
      </c>
      <c r="C32" s="585"/>
      <c r="D32" s="585"/>
      <c r="E32" s="584">
        <f>'Sources and Uses Budget'!S33</f>
        <v>397692</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121758</v>
      </c>
      <c r="C34" s="585"/>
      <c r="D34" s="585"/>
      <c r="E34" s="584">
        <f>'Sources and Uses Budget'!S35</f>
        <v>121758</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117000</v>
      </c>
      <c r="C35" s="585"/>
      <c r="D35" s="585"/>
      <c r="E35" s="584">
        <f>'Sources and Uses Budget'!S36</f>
        <v>117000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26510274</v>
      </c>
      <c r="C37" s="584">
        <f>SUM(C28:C36)</f>
        <v>0</v>
      </c>
      <c r="D37" s="584">
        <f>SUM(D28:D36)</f>
        <v>0</v>
      </c>
      <c r="E37" s="584">
        <f>'Sources and Uses Budget'!S38</f>
        <v>26510274</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850000</v>
      </c>
      <c r="C39" s="585"/>
      <c r="D39" s="585"/>
      <c r="E39" s="584">
        <f>'Sources and Uses Budget'!S40</f>
        <v>850000</v>
      </c>
      <c r="F39" s="585"/>
      <c r="G39" s="585"/>
      <c r="H39" s="584">
        <f>'Sources and Uses Budget'!T40</f>
        <v>0</v>
      </c>
      <c r="I39" s="585"/>
      <c r="J39" s="585"/>
      <c r="K39" s="579"/>
    </row>
    <row r="40" spans="1:11" s="253" customFormat="1" ht="11.4">
      <c r="A40" s="239" t="s">
        <v>921</v>
      </c>
      <c r="B40" s="584">
        <f>'Sources and Uses Budget'!C41</f>
        <v>300000</v>
      </c>
      <c r="C40" s="585"/>
      <c r="D40" s="585"/>
      <c r="E40" s="584">
        <f>'Sources and Uses Budget'!S41</f>
        <v>300000</v>
      </c>
      <c r="F40" s="585"/>
      <c r="G40" s="585"/>
      <c r="H40" s="584">
        <f>'Sources and Uses Budget'!T41</f>
        <v>0</v>
      </c>
      <c r="I40" s="585"/>
      <c r="J40" s="585"/>
      <c r="K40" s="579"/>
    </row>
    <row r="41" spans="1:11" s="253" customFormat="1">
      <c r="A41" s="243" t="s">
        <v>922</v>
      </c>
      <c r="B41" s="584">
        <f>'Sources and Uses Budget'!C42</f>
        <v>1150000</v>
      </c>
      <c r="C41" s="584">
        <f>SUM(C38:C40)</f>
        <v>0</v>
      </c>
      <c r="D41" s="584">
        <f>SUM(D38:D40)</f>
        <v>0</v>
      </c>
      <c r="E41" s="584">
        <f>'Sources and Uses Budget'!S42</f>
        <v>1150000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500000</v>
      </c>
      <c r="C42" s="585"/>
      <c r="D42" s="585"/>
      <c r="E42" s="584">
        <f>'Sources and Uses Budget'!S43</f>
        <v>500000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2369587</v>
      </c>
      <c r="C44" s="585"/>
      <c r="D44" s="585"/>
      <c r="E44" s="584">
        <f>'Sources and Uses Budget'!S45</f>
        <v>1292198</v>
      </c>
      <c r="F44" s="585"/>
      <c r="G44" s="585"/>
      <c r="H44" s="584">
        <f>'Sources and Uses Budget'!T45</f>
        <v>0</v>
      </c>
      <c r="I44" s="585"/>
      <c r="J44" s="585"/>
      <c r="K44" s="579"/>
    </row>
    <row r="45" spans="1:11" s="253" customFormat="1" ht="11.4">
      <c r="A45" s="239" t="s">
        <v>926</v>
      </c>
      <c r="B45" s="584">
        <f>'Sources and Uses Budget'!C46</f>
        <v>208740</v>
      </c>
      <c r="C45" s="585"/>
      <c r="D45" s="585"/>
      <c r="E45" s="584">
        <f>'Sources and Uses Budget'!S46</f>
        <v>120151</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274718</v>
      </c>
      <c r="C47" s="585"/>
      <c r="D47" s="585"/>
      <c r="E47" s="584">
        <f>'Sources and Uses Budget'!S48</f>
        <v>274718</v>
      </c>
      <c r="F47" s="585"/>
      <c r="G47" s="585"/>
      <c r="H47" s="584">
        <f>'Sources and Uses Budget'!T48</f>
        <v>0</v>
      </c>
      <c r="I47" s="585"/>
      <c r="J47" s="585"/>
      <c r="K47" s="579"/>
    </row>
    <row r="48" spans="1:11" s="253" customFormat="1" ht="11.4">
      <c r="A48" s="239" t="s">
        <v>931</v>
      </c>
      <c r="B48" s="584">
        <f>'Sources and Uses Budget'!C49</f>
        <v>80000</v>
      </c>
      <c r="C48" s="585"/>
      <c r="D48" s="585"/>
      <c r="E48" s="584">
        <f>'Sources and Uses Budget'!S49</f>
        <v>80000</v>
      </c>
      <c r="F48" s="585"/>
      <c r="G48" s="585"/>
      <c r="H48" s="584">
        <f>'Sources and Uses Budget'!T49</f>
        <v>0</v>
      </c>
      <c r="I48" s="585"/>
      <c r="J48" s="585"/>
      <c r="K48" s="579"/>
    </row>
    <row r="49" spans="1:11" s="253" customFormat="1" ht="11.4">
      <c r="A49" s="239" t="s">
        <v>929</v>
      </c>
      <c r="B49" s="584">
        <f>'Sources and Uses Budget'!C50</f>
        <v>50000</v>
      </c>
      <c r="C49" s="585"/>
      <c r="D49" s="585"/>
      <c r="E49" s="584">
        <f>'Sources and Uses Budget'!S50</f>
        <v>50000</v>
      </c>
      <c r="F49" s="585"/>
      <c r="G49" s="585"/>
      <c r="H49" s="584">
        <f>'Sources and Uses Budget'!T50</f>
        <v>0</v>
      </c>
      <c r="I49" s="585"/>
      <c r="J49" s="585"/>
      <c r="K49" s="579"/>
    </row>
    <row r="50" spans="1:11" s="253" customFormat="1" ht="11.4">
      <c r="A50" s="239" t="s">
        <v>930</v>
      </c>
      <c r="B50" s="584">
        <f>'Sources and Uses Budget'!C51</f>
        <v>150000</v>
      </c>
      <c r="C50" s="585"/>
      <c r="D50" s="585"/>
      <c r="E50" s="584">
        <f>'Sources and Uses Budget'!S51</f>
        <v>150000</v>
      </c>
      <c r="F50" s="585"/>
      <c r="G50" s="585"/>
      <c r="H50" s="584">
        <f>'Sources and Uses Budget'!T51</f>
        <v>0</v>
      </c>
      <c r="I50" s="585"/>
      <c r="J50" s="585"/>
      <c r="K50" s="579"/>
    </row>
    <row r="51" spans="1:11" s="253" customFormat="1" ht="11.4">
      <c r="A51" s="239" t="str">
        <f>'Sources and Uses Budget'!$A52</f>
        <v>Other: Lender Expenses</v>
      </c>
      <c r="B51" s="584">
        <f>'Sources and Uses Budget'!C52</f>
        <v>193500</v>
      </c>
      <c r="C51" s="585"/>
      <c r="D51" s="585"/>
      <c r="E51" s="584">
        <f>'Sources and Uses Budget'!S52</f>
        <v>30264</v>
      </c>
      <c r="F51" s="585"/>
      <c r="G51" s="585"/>
      <c r="H51" s="584">
        <f>'Sources and Uses Budget'!T52</f>
        <v>0</v>
      </c>
      <c r="I51" s="585"/>
      <c r="J51" s="585"/>
      <c r="K51" s="579"/>
    </row>
    <row r="52" spans="1:11" s="577" customFormat="1">
      <c r="A52" s="243" t="s">
        <v>932</v>
      </c>
      <c r="B52" s="584">
        <f>'Sources and Uses Budget'!C53</f>
        <v>3326545</v>
      </c>
      <c r="C52" s="587">
        <f>SUM(C44:C51)</f>
        <v>0</v>
      </c>
      <c r="D52" s="587">
        <f>SUM(D44:D51)</f>
        <v>0</v>
      </c>
      <c r="E52" s="584">
        <f>'Sources and Uses Budget'!S53</f>
        <v>1997331</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62040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14952</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Lender Expenses</v>
      </c>
      <c r="B59" s="584">
        <f>'Sources and Uses Budget'!C60</f>
        <v>15000</v>
      </c>
      <c r="C59" s="585"/>
      <c r="D59" s="585"/>
      <c r="E59" s="586"/>
      <c r="F59" s="586"/>
      <c r="G59" s="586"/>
      <c r="H59" s="586"/>
      <c r="I59" s="586"/>
      <c r="J59" s="586"/>
      <c r="K59" s="579"/>
    </row>
    <row r="60" spans="1:11" s="253" customFormat="1" ht="14.1" customHeight="1">
      <c r="A60" s="243" t="s">
        <v>499</v>
      </c>
      <c r="B60" s="584">
        <f>'Sources and Uses Budget'!C61</f>
        <v>91992</v>
      </c>
      <c r="C60" s="584">
        <f>SUM(C54:C59)</f>
        <v>0</v>
      </c>
      <c r="D60" s="584">
        <f>SUM(D54:D59)</f>
        <v>0</v>
      </c>
      <c r="E60" s="586"/>
      <c r="F60" s="586"/>
      <c r="G60" s="586"/>
      <c r="H60" s="586"/>
      <c r="I60" s="586"/>
      <c r="J60" s="586"/>
      <c r="K60" s="579"/>
    </row>
    <row r="61" spans="1:11" s="253" customFormat="1" ht="11.4">
      <c r="A61" s="249" t="s">
        <v>500</v>
      </c>
      <c r="B61" s="584">
        <f>'Sources and Uses Budget'!C62</f>
        <v>36573690</v>
      </c>
      <c r="C61" s="584">
        <f>SUM(C8+C11+C13+C14+C15+C25+C26+C37+C41+C42+C52+C60)</f>
        <v>0</v>
      </c>
      <c r="D61" s="584">
        <f>SUM(D8+D11+D13+D14+D15+D25+D26+D37+D41+D42+D52+D60)</f>
        <v>0</v>
      </c>
      <c r="E61" s="584">
        <f>'Sources and Uses Budget'!S62</f>
        <v>30987285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1943</v>
      </c>
      <c r="B62" s="583"/>
      <c r="C62" s="583"/>
      <c r="D62" s="583"/>
      <c r="E62" s="583"/>
      <c r="F62" s="583"/>
      <c r="G62" s="583"/>
      <c r="H62" s="583"/>
      <c r="I62" s="583"/>
      <c r="J62" s="583"/>
      <c r="K62" s="579"/>
    </row>
    <row r="63" spans="1:11" s="253" customFormat="1" ht="11.4">
      <c r="A63" s="239" t="s">
        <v>283</v>
      </c>
      <c r="B63" s="584">
        <f>'Sources and Uses Budget'!C64</f>
        <v>170000</v>
      </c>
      <c r="C63" s="585"/>
      <c r="D63" s="585"/>
      <c r="E63" s="584">
        <f>'Sources and Uses Budget'!S64</f>
        <v>90262</v>
      </c>
      <c r="F63" s="585"/>
      <c r="G63" s="585"/>
      <c r="H63" s="584">
        <f>'Sources and Uses Budget'!T64</f>
        <v>0</v>
      </c>
      <c r="I63" s="585"/>
      <c r="J63" s="585"/>
      <c r="K63" s="579"/>
    </row>
    <row r="64" spans="1:11" s="253" customFormat="1" ht="22.8">
      <c r="A64" s="239" t="s">
        <v>1944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1945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1946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1947</v>
      </c>
      <c r="B68" s="584">
        <f>'Sources and Uses Budget'!C69</f>
        <v>170000</v>
      </c>
      <c r="C68" s="584">
        <f>SUM(C62:C67)</f>
        <v>0</v>
      </c>
      <c r="D68" s="584">
        <f>SUM(D62:D67)</f>
        <v>0</v>
      </c>
      <c r="E68" s="584">
        <f>'Sources and Uses Budget'!S69</f>
        <v>90262</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1230</v>
      </c>
      <c r="B72" s="584">
        <f>'Sources and Uses Budget'!C73</f>
        <v>0</v>
      </c>
      <c r="C72" s="585"/>
      <c r="D72" s="585"/>
      <c r="E72" s="586"/>
      <c r="F72" s="586"/>
      <c r="G72" s="586"/>
      <c r="H72" s="586"/>
      <c r="I72" s="586"/>
      <c r="J72" s="586"/>
      <c r="K72" s="579"/>
    </row>
    <row r="73" spans="1:11" s="253" customFormat="1" ht="11.4">
      <c r="A73" s="239" t="s">
        <v>287</v>
      </c>
      <c r="B73" s="584">
        <f>'Sources and Uses Budget'!C74</f>
        <v>0</v>
      </c>
      <c r="C73" s="585"/>
      <c r="D73" s="585"/>
      <c r="E73" s="586"/>
      <c r="F73" s="586"/>
      <c r="G73" s="586"/>
      <c r="H73" s="586"/>
      <c r="I73" s="586"/>
      <c r="J73" s="586"/>
      <c r="K73" s="579"/>
    </row>
    <row r="74" spans="1:11" s="253" customFormat="1" ht="11.4">
      <c r="A74" s="239" t="str">
        <f>'Sources and Uses Budget'!$A75</f>
        <v>Other: 6-month Operating Reserve</v>
      </c>
      <c r="B74" s="584">
        <f>'Sources and Uses Budget'!C75</f>
        <v>540088</v>
      </c>
      <c r="C74" s="585"/>
      <c r="D74" s="585"/>
      <c r="E74" s="586"/>
      <c r="F74" s="586"/>
      <c r="G74" s="586"/>
      <c r="H74" s="586"/>
      <c r="I74" s="586"/>
      <c r="J74" s="586"/>
      <c r="K74" s="579"/>
    </row>
    <row r="75" spans="1:11" s="253" customFormat="1">
      <c r="A75" s="243" t="s">
        <v>288</v>
      </c>
      <c r="B75" s="584">
        <f>'Sources and Uses Budget'!C76</f>
        <v>540088</v>
      </c>
      <c r="C75" s="584">
        <f>SUM(C70:C74)</f>
        <v>0</v>
      </c>
      <c r="D75" s="584">
        <f>SUM(D70:D74)</f>
        <v>0</v>
      </c>
      <c r="E75" s="586"/>
      <c r="F75" s="586"/>
      <c r="G75" s="586"/>
      <c r="H75" s="586"/>
      <c r="I75" s="586"/>
      <c r="J75" s="586"/>
      <c r="K75" s="579"/>
    </row>
    <row r="76" spans="1:11" s="253" customFormat="1" ht="11.4">
      <c r="A76" s="235" t="s">
        <v>1734</v>
      </c>
      <c r="B76" s="583"/>
      <c r="C76" s="583"/>
      <c r="D76" s="583"/>
      <c r="E76" s="583"/>
      <c r="F76" s="583"/>
      <c r="G76" s="583"/>
      <c r="H76" s="583"/>
      <c r="I76" s="583"/>
      <c r="J76" s="583"/>
      <c r="K76" s="579"/>
    </row>
    <row r="77" spans="1:11" s="253" customFormat="1" ht="11.4">
      <c r="A77" s="239" t="s">
        <v>1735</v>
      </c>
      <c r="B77" s="584">
        <f>'Sources and Uses Budget'!C78</f>
        <v>1380144</v>
      </c>
      <c r="C77" s="585"/>
      <c r="D77" s="585"/>
      <c r="E77" s="584">
        <f>'Sources and Uses Budget'!S78</f>
        <v>1380144</v>
      </c>
      <c r="F77" s="585"/>
      <c r="G77" s="585"/>
      <c r="H77" s="584">
        <f>'Sources and Uses Budget'!T78</f>
        <v>0</v>
      </c>
      <c r="I77" s="585"/>
      <c r="J77" s="585"/>
      <c r="K77" s="579"/>
    </row>
    <row r="78" spans="1:11" s="253" customFormat="1" ht="11.4">
      <c r="A78" s="239" t="s">
        <v>537</v>
      </c>
      <c r="B78" s="584">
        <f>'Sources and Uses Budget'!C79</f>
        <v>392600</v>
      </c>
      <c r="C78" s="585"/>
      <c r="D78" s="585"/>
      <c r="E78" s="584">
        <f>'Sources and Uses Budget'!S79</f>
        <v>392600</v>
      </c>
      <c r="F78" s="585"/>
      <c r="G78" s="585"/>
      <c r="H78" s="584">
        <f>'Sources and Uses Budget'!T79</f>
        <v>0</v>
      </c>
      <c r="I78" s="585"/>
      <c r="J78" s="585"/>
      <c r="K78" s="579"/>
    </row>
    <row r="79" spans="1:11" s="253" customFormat="1">
      <c r="A79" s="243" t="s">
        <v>1733</v>
      </c>
      <c r="B79" s="584">
        <f>'Sources and Uses Budget'!C80</f>
        <v>1772744</v>
      </c>
      <c r="C79" s="667">
        <f>SUM(C77:C78)</f>
        <v>0</v>
      </c>
      <c r="D79" s="667">
        <f>SUM(D77:D78)</f>
        <v>0</v>
      </c>
      <c r="E79" s="584">
        <f>'Sources and Uses Budget'!S80</f>
        <v>1772744</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2103</v>
      </c>
      <c r="B81" s="584">
        <f>'Sources and Uses Budget'!C82</f>
        <v>108971</v>
      </c>
      <c r="C81" s="585"/>
      <c r="D81" s="585"/>
      <c r="E81" s="586"/>
      <c r="F81" s="586"/>
      <c r="G81" s="586"/>
      <c r="H81" s="586"/>
      <c r="I81" s="586"/>
      <c r="J81" s="586"/>
      <c r="K81" s="579"/>
    </row>
    <row r="82" spans="1:11" s="253" customFormat="1" ht="11.4">
      <c r="A82" s="239" t="s">
        <v>515</v>
      </c>
      <c r="B82" s="584">
        <f>'Sources and Uses Budget'!C83</f>
        <v>150000</v>
      </c>
      <c r="C82" s="585"/>
      <c r="D82" s="585"/>
      <c r="E82" s="584">
        <f>'Sources and Uses Budget'!S83</f>
        <v>150000</v>
      </c>
      <c r="F82" s="585"/>
      <c r="G82" s="585"/>
      <c r="H82" s="584">
        <f>'Sources and Uses Budget'!T83</f>
        <v>0</v>
      </c>
      <c r="I82" s="585"/>
      <c r="J82" s="585"/>
      <c r="K82" s="579"/>
    </row>
    <row r="83" spans="1:11" s="253" customFormat="1" ht="11.4">
      <c r="A83" s="239" t="s">
        <v>516</v>
      </c>
      <c r="B83" s="584">
        <f>'Sources and Uses Budget'!C84</f>
        <v>1283087</v>
      </c>
      <c r="C83" s="585"/>
      <c r="D83" s="585"/>
      <c r="E83" s="584">
        <f>'Sources and Uses Budget'!S84</f>
        <v>1283087</v>
      </c>
      <c r="F83" s="585"/>
      <c r="G83" s="585"/>
      <c r="H83" s="584">
        <f>'Sources and Uses Budget'!T84</f>
        <v>0</v>
      </c>
      <c r="I83" s="585"/>
      <c r="J83" s="585"/>
      <c r="K83" s="579"/>
    </row>
    <row r="84" spans="1:11" s="253" customFormat="1" ht="11.4">
      <c r="A84" s="239" t="s">
        <v>517</v>
      </c>
      <c r="B84" s="584">
        <f>'Sources and Uses Budget'!C85</f>
        <v>370000</v>
      </c>
      <c r="C84" s="585"/>
      <c r="D84" s="585"/>
      <c r="E84" s="584">
        <f>'Sources and Uses Budget'!S85</f>
        <v>370000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74000</v>
      </c>
      <c r="C86" s="585"/>
      <c r="D86" s="585"/>
      <c r="E86" s="586"/>
      <c r="F86" s="586"/>
      <c r="G86" s="586"/>
      <c r="H86" s="586"/>
      <c r="I86" s="586"/>
      <c r="J86" s="586"/>
      <c r="K86" s="579"/>
    </row>
    <row r="87" spans="1:11" s="253" customFormat="1" ht="11.4">
      <c r="A87" s="239" t="s">
        <v>520</v>
      </c>
      <c r="B87" s="584">
        <f>'Sources and Uses Budget'!C88</f>
        <v>86976</v>
      </c>
      <c r="C87" s="585"/>
      <c r="D87" s="585"/>
      <c r="E87" s="584">
        <f>'Sources and Uses Budget'!S88</f>
        <v>86976</v>
      </c>
      <c r="F87" s="585"/>
      <c r="G87" s="585"/>
      <c r="H87" s="584">
        <f>'Sources and Uses Budget'!T88</f>
        <v>0</v>
      </c>
      <c r="I87" s="585"/>
      <c r="J87" s="585"/>
      <c r="K87" s="579"/>
    </row>
    <row r="88" spans="1:11" s="253" customFormat="1" ht="11.4">
      <c r="A88" s="239" t="s">
        <v>521</v>
      </c>
      <c r="B88" s="584">
        <f>'Sources and Uses Budget'!C89</f>
        <v>15000</v>
      </c>
      <c r="C88" s="585"/>
      <c r="D88" s="585"/>
      <c r="E88" s="584">
        <f>'Sources and Uses Budget'!S89</f>
        <v>0</v>
      </c>
      <c r="F88" s="585"/>
      <c r="G88" s="585"/>
      <c r="H88" s="584">
        <f>'Sources and Uses Budget'!T89</f>
        <v>0</v>
      </c>
      <c r="I88" s="585"/>
      <c r="J88" s="585"/>
      <c r="K88" s="579"/>
    </row>
    <row r="89" spans="1:11" s="253" customFormat="1" ht="11.4">
      <c r="A89" s="239" t="s">
        <v>1306</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1731</v>
      </c>
      <c r="B90" s="584">
        <f>'Sources and Uses Budget'!C91</f>
        <v>15000</v>
      </c>
      <c r="C90" s="585"/>
      <c r="D90" s="585"/>
      <c r="E90" s="584">
        <f>'Sources and Uses Budget'!S91</f>
        <v>0</v>
      </c>
      <c r="F90" s="585"/>
      <c r="G90" s="585"/>
      <c r="H90" s="584">
        <f>'Sources and Uses Budget'!T91</f>
        <v>0</v>
      </c>
      <c r="I90" s="585"/>
      <c r="J90" s="585"/>
      <c r="K90" s="579"/>
    </row>
    <row r="91" spans="1:11" s="253" customFormat="1" ht="11.4">
      <c r="A91" s="239" t="str">
        <f>'Sources and Uses Budget'!$A92</f>
        <v>Other: Other Consultants &amp; Security</v>
      </c>
      <c r="B91" s="584">
        <f>'Sources and Uses Budget'!C92</f>
        <v>391999</v>
      </c>
      <c r="C91" s="585"/>
      <c r="D91" s="585"/>
      <c r="E91" s="584">
        <f>'Sources and Uses Budget'!S92</f>
        <v>391999</v>
      </c>
      <c r="F91" s="585"/>
      <c r="G91" s="585"/>
      <c r="H91" s="584">
        <f>'Sources and Uses Budget'!T92</f>
        <v>0</v>
      </c>
      <c r="I91" s="585"/>
      <c r="J91" s="585"/>
      <c r="K91" s="579"/>
    </row>
    <row r="92" spans="1:11" s="253" customFormat="1" ht="34.200000000000003">
      <c r="A92" s="239" t="str">
        <f>'Sources and Uses Budget'!$A93</f>
        <v>Other: Utility Fees, Lease-up and Resident Services Fees, Title/Recording/Escrow-Acquisition</v>
      </c>
      <c r="B92" s="584">
        <f>'Sources and Uses Budget'!C93</f>
        <v>164000</v>
      </c>
      <c r="C92" s="585"/>
      <c r="D92" s="585"/>
      <c r="E92" s="584">
        <f>'Sources and Uses Budget'!S93</f>
        <v>25000</v>
      </c>
      <c r="F92" s="585"/>
      <c r="G92" s="585"/>
      <c r="H92" s="584">
        <f>'Sources and Uses Budget'!T93</f>
        <v>0</v>
      </c>
      <c r="I92" s="585"/>
      <c r="J92" s="585"/>
      <c r="K92" s="579"/>
    </row>
    <row r="93" spans="1:11" s="253" customFormat="1" ht="11.4">
      <c r="A93" s="239" t="str">
        <f>'Sources and Uses Budget'!$A94</f>
        <v>Other: Environmental Remediation</v>
      </c>
      <c r="B93" s="584">
        <f>'Sources and Uses Budget'!C94</f>
        <v>265393</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2924426</v>
      </c>
      <c r="C94" s="584">
        <f>SUM(C81:C93)</f>
        <v>0</v>
      </c>
      <c r="D94" s="584">
        <f>SUM(D81:D93)</f>
        <v>0</v>
      </c>
      <c r="E94" s="584">
        <f>'Sources and Uses Budget'!S95</f>
        <v>2307062</v>
      </c>
      <c r="F94" s="587">
        <f>SUM(F82:F85,F87:F93)</f>
        <v>0</v>
      </c>
      <c r="G94" s="587">
        <f>SUM(G82:G85,G87:G93)</f>
        <v>0</v>
      </c>
      <c r="H94" s="584">
        <f>'Sources and Uses Budget'!T95</f>
        <v>0</v>
      </c>
      <c r="I94" s="584">
        <f>SUM(I82:I85,I87:I93)</f>
        <v>0</v>
      </c>
      <c r="J94" s="584">
        <f>SUM(J82:J85,J87:J93)</f>
        <v>0</v>
      </c>
      <c r="K94" s="579"/>
    </row>
    <row r="95" spans="1:11" s="253" customFormat="1">
      <c r="A95" s="243" t="s">
        <v>1347</v>
      </c>
      <c r="B95" s="584">
        <f>'Sources and Uses Budget'!C96</f>
        <v>41980948</v>
      </c>
      <c r="C95" s="584">
        <f>SUM(C61+C68+C75+C79+C94)</f>
        <v>0</v>
      </c>
      <c r="D95" s="584">
        <f>SUM(D61+D68+D75+D79+D94)</f>
        <v>0</v>
      </c>
      <c r="E95" s="584">
        <f>'Sources and Uses Budget'!S96</f>
        <v>35157353</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ht="11.4">
      <c r="A98" s="239" t="s">
        <v>1948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1348</v>
      </c>
      <c r="B103" s="584">
        <f>'Sources and Uses Budget'!C104</f>
        <v>44780948</v>
      </c>
      <c r="C103" s="587">
        <f>SUM(C95+C102)</f>
        <v>0</v>
      </c>
      <c r="D103" s="587">
        <f>SUM(D95+D102)</f>
        <v>0</v>
      </c>
      <c r="E103" s="584">
        <f>'Sources and Uses Budget'!S104</f>
        <v>37957353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37957353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700" zoomScale="130" zoomScaleNormal="130" workbookViewId="0">
      <selection activeCell="AF432" sqref="AF432:AL43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9" t="s">
        <v>845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1449</v>
      </c>
      <c r="AE4" s="1723" t="s">
        <v>363</v>
      </c>
      <c r="AF4" s="1723"/>
      <c r="AG4" s="1723"/>
      <c r="AH4" s="1723"/>
      <c r="AI4" s="1723"/>
      <c r="AJ4" s="1723"/>
      <c r="AK4" s="1723"/>
      <c r="AL4" s="18"/>
      <c r="AN4" s="671"/>
    </row>
    <row r="5" spans="1:43" s="3" customFormat="1" ht="12.9" customHeight="1">
      <c r="A5" s="63"/>
      <c r="AE5" s="18"/>
      <c r="AF5" s="18"/>
      <c r="AG5" s="18"/>
      <c r="AH5" s="18"/>
      <c r="AI5" s="18"/>
      <c r="AJ5" s="18"/>
      <c r="AK5" s="18"/>
      <c r="AL5" s="18"/>
      <c r="AN5" s="671"/>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711" t="s">
        <v>853</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363" t="s">
        <v>2442</v>
      </c>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1233</v>
      </c>
      <c r="AP10" s="370">
        <v>5</v>
      </c>
    </row>
    <row r="11" spans="1:43" s="5" customFormat="1" ht="12.75" customHeight="1">
      <c r="A11" s="63"/>
      <c r="B11" s="1363" t="s">
        <v>1234</v>
      </c>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M11" s="3"/>
      <c r="AN11" s="670"/>
      <c r="AO11" s="361" t="s">
        <v>1234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1235</v>
      </c>
      <c r="AB13" s="1809" t="s">
        <v>123</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1110</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1236</v>
      </c>
      <c r="AP15" s="370">
        <v>5</v>
      </c>
    </row>
    <row r="16" spans="1:43" s="5" customFormat="1" ht="12.75" customHeight="1">
      <c r="A16" s="63"/>
      <c r="B16" s="1363" t="s">
        <v>1110</v>
      </c>
      <c r="C16" s="1363"/>
      <c r="D16" s="1363"/>
      <c r="E16" s="1363"/>
      <c r="F16" s="1363"/>
      <c r="G16" s="1363"/>
      <c r="H16" s="1363"/>
      <c r="I16" s="1363"/>
      <c r="J16" s="1363"/>
      <c r="K16" s="1363"/>
      <c r="L16" s="1363"/>
      <c r="M16" s="1363"/>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491"/>
      <c r="AL16" s="491"/>
      <c r="AM16" s="491"/>
      <c r="AN16" s="670"/>
      <c r="AO16" s="361" t="s">
        <v>1237</v>
      </c>
      <c r="AP16" s="370">
        <v>7</v>
      </c>
    </row>
    <row r="17" spans="1:42" s="5" customFormat="1" ht="12.75" customHeight="1">
      <c r="B17" s="61" t="s">
        <v>1826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2197</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6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60</v>
      </c>
      <c r="AG33" s="1711"/>
      <c r="AH33" s="1711"/>
      <c r="AI33" s="1711"/>
      <c r="AJ33" s="1711"/>
      <c r="AK33" s="1711"/>
      <c r="AL33" s="171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1239</v>
      </c>
      <c r="AP34" s="471">
        <v>2</v>
      </c>
    </row>
    <row r="35" spans="1:42" s="4" customFormat="1" ht="12.75" customHeight="1">
      <c r="A35" s="5"/>
      <c r="B35" s="1818" t="str">
        <f>Application!AA329</f>
        <v>WinnResidential</v>
      </c>
      <c r="C35" s="1818"/>
      <c r="D35" s="1818"/>
      <c r="E35" s="1818"/>
      <c r="F35" s="1818"/>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s="1818"/>
      <c r="AC35" s="1818"/>
      <c r="AM35" s="27"/>
      <c r="AN35" s="281"/>
      <c r="AO35" s="361" t="s">
        <v>1238</v>
      </c>
      <c r="AP35" s="471">
        <v>3</v>
      </c>
    </row>
    <row r="36" spans="1:42" s="4" customFormat="1" ht="12.75" customHeight="1">
      <c r="A36" s="5"/>
      <c r="AM36" s="27"/>
      <c r="AN36" s="281"/>
    </row>
    <row r="37" spans="1:42" s="4" customFormat="1" ht="12.75" customHeight="1">
      <c r="A37" s="5"/>
      <c r="B37" s="20" t="s">
        <v>1111</v>
      </c>
      <c r="AA37" s="3"/>
      <c r="AB37" s="3"/>
      <c r="AC37" s="3"/>
      <c r="AD37" s="3"/>
      <c r="AM37" s="27"/>
      <c r="AN37" s="281"/>
    </row>
    <row r="38" spans="1:42" s="4" customFormat="1" ht="12.75" customHeight="1">
      <c r="A38" s="5"/>
      <c r="B38" s="1363" t="s">
        <v>1238</v>
      </c>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M38" s="27"/>
      <c r="AN38" s="281"/>
      <c r="AO38" s="361" t="s">
        <v>1110</v>
      </c>
      <c r="AP38" s="361"/>
    </row>
    <row r="39" spans="1:42" s="4" customFormat="1" ht="12.75" customHeight="1">
      <c r="A39" s="5"/>
      <c r="AM39" s="27"/>
      <c r="AN39" s="281"/>
      <c r="AO39" s="361" t="s">
        <v>1268</v>
      </c>
      <c r="AP39" s="471">
        <v>2</v>
      </c>
    </row>
    <row r="40" spans="1:42" s="4" customFormat="1" ht="12.75" customHeight="1">
      <c r="A40" s="5"/>
      <c r="B40" s="20" t="s">
        <v>1093</v>
      </c>
      <c r="D40" s="5"/>
      <c r="E40" s="5"/>
      <c r="F40" s="5"/>
      <c r="G40" s="5"/>
      <c r="H40" s="5"/>
      <c r="I40" s="5"/>
      <c r="J40" s="5"/>
      <c r="K40" s="5"/>
      <c r="L40" s="5"/>
      <c r="M40" s="5"/>
      <c r="N40" s="5"/>
      <c r="O40" s="5"/>
      <c r="P40" s="5"/>
      <c r="Q40" s="5"/>
      <c r="R40" s="5"/>
      <c r="S40" s="5"/>
      <c r="T40" s="5"/>
      <c r="U40" s="5"/>
      <c r="V40" s="5"/>
      <c r="W40" s="5"/>
      <c r="X40" s="5"/>
      <c r="Y40" s="5"/>
      <c r="Z40" s="1363" t="s">
        <v>123</v>
      </c>
      <c r="AA40" s="1363"/>
      <c r="AB40" s="5"/>
      <c r="AM40" s="27"/>
      <c r="AN40" s="281"/>
      <c r="AO40" s="361" t="s">
        <v>1269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363" t="s">
        <v>1110</v>
      </c>
      <c r="C43" s="1363"/>
      <c r="D43" s="1363"/>
      <c r="E43" s="1363"/>
      <c r="F43" s="1363"/>
      <c r="G43" s="1363"/>
      <c r="H43" s="1363"/>
      <c r="I43" s="1363"/>
      <c r="J43" s="1363"/>
      <c r="K43" s="1363"/>
      <c r="L43" s="1363"/>
      <c r="M43" s="1363"/>
      <c r="N43" s="1363"/>
      <c r="O43" s="1363"/>
      <c r="P43" s="1363"/>
      <c r="Q43" s="1363"/>
      <c r="R43" s="1363"/>
      <c r="S43" s="1363"/>
      <c r="T43" s="1363"/>
      <c r="U43" s="1363"/>
      <c r="V43" s="1363"/>
      <c r="W43" s="1363"/>
      <c r="X43" s="1363"/>
      <c r="Y43" s="1363"/>
      <c r="Z43" s="1363"/>
      <c r="AA43" s="1363"/>
      <c r="AB43" s="1363"/>
      <c r="AC43" s="1363"/>
      <c r="AM43" s="27"/>
      <c r="AN43" s="281"/>
    </row>
    <row r="44" spans="1:42" s="4" customFormat="1" ht="12.75" customHeight="1">
      <c r="A44" s="5"/>
      <c r="B44" s="20" t="s">
        <v>1834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1835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5" t="s">
        <v>1461</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6"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2190</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3.1"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1112</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1452</v>
      </c>
      <c r="B64" s="102"/>
      <c r="C64" s="104"/>
      <c r="D64" s="105"/>
      <c r="E64" s="105"/>
      <c r="F64" s="105"/>
      <c r="G64" s="105"/>
      <c r="H64" s="105"/>
      <c r="I64" s="105"/>
      <c r="J64" s="105"/>
      <c r="Y64" s="106"/>
      <c r="Z64" s="106"/>
      <c r="AA64" s="106"/>
      <c r="AB64" s="106"/>
      <c r="AE64" s="1723" t="s">
        <v>363</v>
      </c>
      <c r="AF64" s="1723"/>
      <c r="AG64" s="1723"/>
      <c r="AH64" s="1723"/>
      <c r="AI64" s="1723"/>
      <c r="AJ64" s="1723"/>
      <c r="AK64" s="1723"/>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363" t="s">
        <v>662</v>
      </c>
      <c r="C66" s="1363"/>
      <c r="D66" s="1363"/>
      <c r="E66" s="1363"/>
      <c r="F66" s="1363"/>
      <c r="G66" s="1363"/>
      <c r="H66" s="1363"/>
      <c r="I66" s="1363"/>
      <c r="J66" s="1363"/>
      <c r="K66" s="1363"/>
      <c r="AF66" s="1711" t="s">
        <v>937</v>
      </c>
      <c r="AG66" s="1711"/>
      <c r="AH66" s="1711"/>
      <c r="AI66" s="1711"/>
      <c r="AJ66" s="1711"/>
      <c r="AK66" s="1711"/>
      <c r="AL66" s="1711"/>
      <c r="AN66" s="281"/>
      <c r="AP66" s="4" t="s">
        <v>123</v>
      </c>
      <c r="AS66" s="4" t="s">
        <v>664</v>
      </c>
      <c r="AT66" s="4">
        <v>10</v>
      </c>
    </row>
    <row r="67" spans="1:46" s="4" customFormat="1" ht="12.75" customHeight="1">
      <c r="B67" s="1817" t="s">
        <v>1310</v>
      </c>
      <c r="C67" s="1817"/>
      <c r="D67" s="1817"/>
      <c r="E67" s="1817"/>
      <c r="F67" s="1817"/>
      <c r="G67" s="1817"/>
      <c r="H67" s="1817"/>
      <c r="I67" s="1817"/>
      <c r="J67" s="1817"/>
      <c r="K67" s="1817"/>
      <c r="L67" s="1817"/>
      <c r="M67" s="1817"/>
      <c r="N67" s="1817"/>
      <c r="O67" s="1817"/>
      <c r="P67" s="1817"/>
      <c r="Q67" s="1817"/>
      <c r="R67" s="1817"/>
      <c r="S67" s="1817"/>
      <c r="T67" s="1363" t="s">
        <v>123</v>
      </c>
      <c r="U67" s="1363"/>
      <c r="V67" s="1363"/>
      <c r="W67" s="1363"/>
      <c r="X67" s="1363"/>
      <c r="Y67" s="1363"/>
      <c r="Z67" s="1363"/>
      <c r="AA67" s="1363"/>
      <c r="AB67" s="1363"/>
      <c r="AC67" s="1363"/>
      <c r="AJ67" s="62"/>
      <c r="AK67" s="10"/>
      <c r="AL67" s="10"/>
      <c r="AM67" s="10"/>
      <c r="AN67" s="281"/>
      <c r="AP67" s="4" t="s">
        <v>1308</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7">
        <f>VLOOKUP($B$66,$AS$64:$AU$69,2,FALSE)</f>
        <v>10</v>
      </c>
      <c r="AL68" s="1268"/>
      <c r="AM68" s="1268"/>
      <c r="AN68" s="670"/>
      <c r="AP68" s="4" t="s">
        <v>1309</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976</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2105</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1258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1311</v>
      </c>
      <c r="F90" s="27"/>
      <c r="G90" s="27"/>
      <c r="H90" s="27"/>
      <c r="I90" s="27"/>
      <c r="J90" s="27"/>
      <c r="K90" s="27"/>
      <c r="L90" s="27"/>
      <c r="M90" s="27"/>
      <c r="N90" s="27"/>
      <c r="O90" s="27"/>
      <c r="P90" s="27"/>
      <c r="Q90" s="27"/>
      <c r="R90" s="27"/>
      <c r="S90" s="27"/>
      <c r="T90" s="27"/>
      <c r="U90" s="27"/>
      <c r="V90" s="27"/>
      <c r="W90" s="27"/>
      <c r="X90" s="27"/>
      <c r="Y90" s="27"/>
      <c r="Z90" s="27"/>
      <c r="AA90" s="27"/>
      <c r="AB90" s="27"/>
      <c r="AF90" s="1711" t="s">
        <v>853</v>
      </c>
      <c r="AG90" s="1711"/>
      <c r="AH90" s="1711"/>
      <c r="AI90" s="1711"/>
      <c r="AJ90" s="1711"/>
      <c r="AK90" s="1711"/>
      <c r="AL90" s="1711"/>
      <c r="AN90" s="281"/>
    </row>
    <row r="91" spans="1:42" s="4" customFormat="1" ht="12.75" customHeight="1">
      <c r="C91" s="19"/>
      <c r="D91" s="26"/>
      <c r="E91" s="426" t="s">
        <v>1312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2234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1142</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57</v>
      </c>
      <c r="AG95" s="1711"/>
      <c r="AH95" s="1711"/>
      <c r="AI95" s="1711"/>
      <c r="AJ95" s="1711"/>
      <c r="AK95" s="1711"/>
      <c r="AL95" s="1711"/>
      <c r="AN95" s="281"/>
    </row>
    <row r="96" spans="1:42" s="4" customFormat="1" ht="12.75" customHeight="1">
      <c r="B96" s="5"/>
      <c r="C96" s="115"/>
      <c r="D96" s="26"/>
      <c r="E96" s="426" t="s">
        <v>1315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1316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1317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58</v>
      </c>
      <c r="AG100" s="1711"/>
      <c r="AH100" s="1711"/>
      <c r="AI100" s="1711"/>
      <c r="AJ100" s="1711"/>
      <c r="AK100" s="1711"/>
      <c r="AL100" s="1711"/>
      <c r="AN100" s="281"/>
      <c r="AO100" s="26" t="s">
        <v>730</v>
      </c>
      <c r="AP100" s="4">
        <v>4</v>
      </c>
    </row>
    <row r="101" spans="1:53" s="4" customFormat="1" ht="12.75" customHeight="1">
      <c r="B101" s="5"/>
      <c r="C101" s="115"/>
      <c r="D101" s="26"/>
      <c r="E101" s="426" t="s">
        <v>1318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1316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1317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2235</v>
      </c>
    </row>
    <row r="105" spans="1:53" s="4" customFormat="1" ht="12.75" customHeight="1">
      <c r="B105" s="5"/>
      <c r="C105" s="45"/>
      <c r="D105" s="26" t="s">
        <v>730</v>
      </c>
      <c r="E105" s="426" t="s">
        <v>1240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59</v>
      </c>
      <c r="AG105" s="1711"/>
      <c r="AH105" s="1711"/>
      <c r="AI105" s="1711"/>
      <c r="AJ105" s="1711"/>
      <c r="AK105" s="1711"/>
      <c r="AL105" s="1711"/>
      <c r="AN105" s="281"/>
    </row>
    <row r="106" spans="1:53" s="4" customFormat="1" ht="12.75" customHeight="1">
      <c r="B106" s="5"/>
      <c r="C106" s="115"/>
      <c r="D106" s="26"/>
      <c r="E106" s="426" t="s">
        <v>1319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2090</v>
      </c>
    </row>
    <row r="109" spans="1:53" s="4" customFormat="1" ht="12.75" customHeight="1">
      <c r="B109" s="5"/>
      <c r="C109" s="45"/>
      <c r="D109" s="26" t="s">
        <v>731</v>
      </c>
      <c r="E109" s="426" t="s">
        <v>1241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60</v>
      </c>
      <c r="AG109" s="1711"/>
      <c r="AH109" s="1711"/>
      <c r="AI109" s="1711"/>
      <c r="AJ109" s="1711"/>
      <c r="AK109" s="1711"/>
      <c r="AL109" s="1711"/>
      <c r="AN109" s="281"/>
      <c r="AO109" s="4" t="s">
        <v>2091</v>
      </c>
    </row>
    <row r="110" spans="1:53" s="4" customFormat="1" ht="12.75" customHeight="1">
      <c r="B110" s="5"/>
      <c r="C110" s="45"/>
      <c r="D110" s="26"/>
      <c r="E110" s="426" t="s">
        <v>1321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2" t="s">
        <v>580</v>
      </c>
      <c r="I112" s="1812"/>
      <c r="J112" s="116"/>
      <c r="K112" s="116"/>
      <c r="L112" s="116"/>
      <c r="M112" s="936" t="s">
        <v>2089</v>
      </c>
      <c r="R112" s="1816"/>
      <c r="S112" s="1816"/>
      <c r="T112" s="1816"/>
      <c r="U112" s="1816"/>
      <c r="V112" s="1816"/>
      <c r="W112" s="1816"/>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0"/>
      <c r="AN112" s="956"/>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0"/>
      <c r="AN113" s="956"/>
    </row>
    <row r="114" spans="1:47" s="4" customFormat="1" ht="12.75" customHeight="1">
      <c r="B114" s="5"/>
      <c r="C114" s="115"/>
      <c r="D114" s="4" t="s">
        <v>1827</v>
      </c>
      <c r="E114" s="116"/>
      <c r="F114" s="116"/>
      <c r="G114" s="116"/>
      <c r="H114" s="116"/>
      <c r="I114" s="116"/>
      <c r="J114" s="116"/>
      <c r="K114" s="116"/>
      <c r="L114" s="116"/>
      <c r="M114" s="116"/>
      <c r="AN114" s="281"/>
      <c r="AP114" s="472"/>
      <c r="AU114" s="472"/>
    </row>
    <row r="115" spans="1:47" s="4" customFormat="1" ht="12.75" customHeight="1">
      <c r="B115" s="5"/>
      <c r="C115" s="115"/>
      <c r="D115" s="4" t="s">
        <v>2236</v>
      </c>
      <c r="E115" s="116"/>
      <c r="F115" s="116"/>
      <c r="G115" s="116"/>
      <c r="H115" s="116"/>
      <c r="I115" s="116"/>
      <c r="J115" s="116"/>
      <c r="K115" s="116"/>
      <c r="L115" s="116"/>
      <c r="M115" s="116"/>
      <c r="AN115" s="281"/>
    </row>
    <row r="116" spans="1:47" s="4" customFormat="1" ht="12.75" customHeight="1">
      <c r="B116" s="5"/>
      <c r="C116" s="115"/>
      <c r="D116" s="1651" t="s">
        <v>2237</v>
      </c>
      <c r="E116" s="1651"/>
      <c r="F116" s="1651"/>
      <c r="G116" s="1651"/>
      <c r="H116" s="1651"/>
      <c r="I116" s="1651"/>
      <c r="J116" s="1651"/>
      <c r="K116" s="1651"/>
      <c r="L116" s="1651"/>
      <c r="M116" s="1651"/>
      <c r="N116" s="1651"/>
      <c r="O116" s="1651"/>
      <c r="P116" s="1651"/>
      <c r="Q116" s="1651"/>
      <c r="R116" s="1651"/>
      <c r="S116" s="1651"/>
      <c r="T116" s="1651"/>
      <c r="U116" s="1651"/>
      <c r="V116" s="1651"/>
      <c r="W116" s="1651"/>
      <c r="X116" s="1651"/>
      <c r="Y116" s="1651"/>
      <c r="Z116" s="1651"/>
      <c r="AA116" s="1651"/>
      <c r="AB116" s="1651"/>
      <c r="AC116" s="1651"/>
      <c r="AD116" s="1651"/>
      <c r="AE116" s="1651"/>
      <c r="AF116" s="1651"/>
      <c r="AG116" s="1651"/>
      <c r="AH116" s="1651"/>
      <c r="AN116" s="281"/>
      <c r="AO116" s="4" t="s">
        <v>123</v>
      </c>
      <c r="AP116" s="472">
        <v>0</v>
      </c>
    </row>
    <row r="117" spans="1:47" s="4" customFormat="1" ht="12.75" customHeight="1">
      <c r="B117" s="5"/>
      <c r="C117" s="115"/>
      <c r="D117" s="1651"/>
      <c r="E117" s="1651"/>
      <c r="F117" s="1651"/>
      <c r="G117" s="1651"/>
      <c r="H117" s="1651"/>
      <c r="I117" s="1651"/>
      <c r="J117" s="1651"/>
      <c r="K117" s="1651"/>
      <c r="L117" s="1651"/>
      <c r="M117" s="1651"/>
      <c r="N117" s="1651"/>
      <c r="O117" s="1651"/>
      <c r="P117" s="1651"/>
      <c r="Q117" s="1651"/>
      <c r="R117" s="1651"/>
      <c r="S117" s="1651"/>
      <c r="T117" s="1651"/>
      <c r="U117" s="1651"/>
      <c r="V117" s="1651"/>
      <c r="W117" s="1651"/>
      <c r="X117" s="1651"/>
      <c r="Y117" s="1651"/>
      <c r="Z117" s="1651"/>
      <c r="AA117" s="1651"/>
      <c r="AB117" s="1651"/>
      <c r="AC117" s="1651"/>
      <c r="AD117" s="1651"/>
      <c r="AE117" s="1651"/>
      <c r="AF117" s="1651"/>
      <c r="AG117" s="1651"/>
      <c r="AH117" s="1651"/>
      <c r="AN117" s="281"/>
      <c r="AO117" s="4" t="s">
        <v>1462</v>
      </c>
      <c r="AP117" s="4">
        <v>3</v>
      </c>
    </row>
    <row r="118" spans="1:47" s="4" customFormat="1" ht="12.75" customHeight="1">
      <c r="B118" s="5"/>
      <c r="C118" s="115"/>
      <c r="E118" s="4" t="s">
        <v>146</v>
      </c>
      <c r="F118" s="116"/>
      <c r="G118" s="116"/>
      <c r="H118" s="1815" t="s">
        <v>123</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363" t="s">
        <v>123</v>
      </c>
      <c r="C120" s="1363"/>
      <c r="D120" s="49"/>
      <c r="E120" s="1675" t="s">
        <v>1760</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1270</v>
      </c>
      <c r="AJ124" s="1267">
        <f>VLOOKUP($H$112,$AO$96:$AP$101,2,FALSE)+IF(R112=AO108,0,VLOOKUP($H$118,$AO$116:$AP$118,2,FALSE))</f>
        <v>7</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3" t="s">
        <v>1828</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60</v>
      </c>
      <c r="AG128" s="1711"/>
      <c r="AH128" s="1711"/>
      <c r="AI128" s="1711"/>
      <c r="AJ128" s="1711"/>
      <c r="AK128" s="1711"/>
      <c r="AL128" s="1711"/>
      <c r="AM128" s="4"/>
      <c r="AN128" s="298"/>
      <c r="AO128" s="4" t="str">
        <f>S133</f>
        <v>N/A</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3.1"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0" t="s">
        <v>123</v>
      </c>
      <c r="T133" s="1810"/>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1242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102</v>
      </c>
      <c r="AG135" s="1711"/>
      <c r="AH135" s="1711"/>
      <c r="AI135" s="1711"/>
      <c r="AJ135" s="1711"/>
      <c r="AK135" s="1711"/>
      <c r="AL135" s="171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2" t="s">
        <v>580</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60</v>
      </c>
      <c r="AG143" s="1711"/>
      <c r="AH143" s="1711"/>
      <c r="AI143" s="1711"/>
      <c r="AJ143" s="1711"/>
      <c r="AK143" s="1711"/>
      <c r="AL143" s="1711"/>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1243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102</v>
      </c>
      <c r="AG146" s="1711"/>
      <c r="AH146" s="1711"/>
      <c r="AI146" s="1711"/>
      <c r="AJ146" s="1711"/>
      <c r="AK146" s="1711"/>
      <c r="AL146" s="1711"/>
      <c r="AN146" s="281"/>
    </row>
    <row r="147" spans="1:42" s="4" customFormat="1" ht="12.75" customHeight="1">
      <c r="B147" s="5"/>
      <c r="C147" s="45"/>
      <c r="D147" s="26"/>
      <c r="E147" s="19" t="s">
        <v>1244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2" t="s">
        <v>123</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7">
        <f>VLOOKUP(H149,AO140:AP142,2,FALSE)</f>
        <v>0</v>
      </c>
      <c r="AK151" s="1269"/>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1113</v>
      </c>
      <c r="AN154" s="281"/>
    </row>
    <row r="155" spans="1:42" s="4" customFormat="1" ht="12.75" customHeight="1">
      <c r="C155" s="3"/>
      <c r="AN155" s="281"/>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71" t="s">
        <v>58</v>
      </c>
      <c r="AG156" s="1471"/>
      <c r="AH156" s="1471"/>
      <c r="AI156" s="1471"/>
      <c r="AJ156" s="1471"/>
      <c r="AK156" s="1471"/>
      <c r="AL156" s="1471"/>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5" t="s">
        <v>1704</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71" t="s">
        <v>59</v>
      </c>
      <c r="AG160" s="1471"/>
      <c r="AH160" s="1471"/>
      <c r="AI160" s="1471"/>
      <c r="AJ160" s="1471"/>
      <c r="AK160" s="1471"/>
      <c r="AL160" s="1471"/>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5" t="s">
        <v>1705</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71" t="s">
        <v>60</v>
      </c>
      <c r="AG164" s="1471"/>
      <c r="AH164" s="1471"/>
      <c r="AI164" s="1471"/>
      <c r="AJ164" s="1471"/>
      <c r="AK164" s="1471"/>
      <c r="AL164" s="1471"/>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71"/>
      <c r="AF165" s="1471"/>
      <c r="AG165" s="1471"/>
      <c r="AH165" s="1471"/>
      <c r="AI165" s="1471"/>
      <c r="AJ165" s="1471"/>
      <c r="AK165" s="1471"/>
      <c r="AL165" s="966"/>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5" t="s">
        <v>1706</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71" t="s">
        <v>59</v>
      </c>
      <c r="AG168" s="1471"/>
      <c r="AH168" s="1471"/>
      <c r="AI168" s="1471"/>
      <c r="AJ168" s="1471"/>
      <c r="AK168" s="1471"/>
      <c r="AL168" s="1471"/>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6"/>
      <c r="AF169" s="966"/>
      <c r="AG169" s="966"/>
      <c r="AH169" s="966"/>
      <c r="AI169" s="966"/>
      <c r="AJ169" s="966"/>
      <c r="AK169" s="966"/>
      <c r="AL169" s="966"/>
      <c r="AM169" s="20"/>
      <c r="AN169" s="281"/>
      <c r="AO169" s="4" t="s">
        <v>123</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196</v>
      </c>
      <c r="AP171" s="127">
        <v>4</v>
      </c>
    </row>
    <row r="172" spans="1:42" s="4" customFormat="1" ht="12.75" customHeight="1">
      <c r="B172" s="5"/>
      <c r="C172" s="45"/>
      <c r="D172" s="26" t="s">
        <v>731</v>
      </c>
      <c r="E172" s="1675" t="s">
        <v>1707</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71" t="s">
        <v>60</v>
      </c>
      <c r="AG172" s="1471"/>
      <c r="AH172" s="1471"/>
      <c r="AI172" s="1471"/>
      <c r="AJ172" s="1471"/>
      <c r="AK172" s="1471"/>
      <c r="AL172" s="1471"/>
      <c r="AM172" s="20"/>
      <c r="AN172" s="281"/>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5" t="s">
        <v>1464</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71" t="s">
        <v>102</v>
      </c>
      <c r="AG176" s="1471"/>
      <c r="AH176" s="1471"/>
      <c r="AI176" s="1471"/>
      <c r="AJ176" s="1471"/>
      <c r="AK176" s="1471"/>
      <c r="AL176" s="1471"/>
      <c r="AM176" s="20"/>
      <c r="AN176" s="281"/>
      <c r="AO176" s="26" t="s">
        <v>280</v>
      </c>
      <c r="AP176" s="4">
        <v>1</v>
      </c>
    </row>
    <row r="177" spans="1:61" s="4" customFormat="1" ht="23.1"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280</v>
      </c>
      <c r="E179" s="1675" t="s">
        <v>1465</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71" t="s">
        <v>317</v>
      </c>
      <c r="AG179" s="1471"/>
      <c r="AH179" s="1471"/>
      <c r="AI179" s="1471"/>
      <c r="AJ179" s="1471"/>
      <c r="AK179" s="1471"/>
      <c r="AL179" s="1471"/>
      <c r="AM179" s="20"/>
      <c r="AN179" s="281"/>
    </row>
    <row r="180" spans="1:61" s="4" customFormat="1" ht="23.1"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2" t="s">
        <v>580</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7">
        <f>VLOOKUP($H$182,$AO$169:$AP$176,2,FALSE)</f>
        <v>5</v>
      </c>
      <c r="AK184" s="1269"/>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2198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9" t="s">
        <v>2300</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D188" s="5"/>
      <c r="AF188" s="1303" t="s">
        <v>60</v>
      </c>
      <c r="AG188" s="1303"/>
      <c r="AH188" s="1303"/>
      <c r="AI188" s="1303"/>
      <c r="AJ188" s="1303"/>
      <c r="AK188" s="1303"/>
      <c r="AL188" s="1303"/>
      <c r="AN188" s="281"/>
    </row>
    <row r="189" spans="1:61" s="4" customFormat="1" ht="12.75" customHeight="1">
      <c r="A189" s="120"/>
      <c r="B189" s="5"/>
      <c r="C189" s="130"/>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5" t="s">
        <v>2223</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71" t="s">
        <v>60</v>
      </c>
      <c r="AG191" s="1471"/>
      <c r="AH191" s="1471"/>
      <c r="AI191" s="1471"/>
      <c r="AJ191" s="1471"/>
      <c r="AK191" s="1471"/>
      <c r="AL191" s="1471"/>
      <c r="AN191" s="281"/>
      <c r="AO191" s="26" t="s">
        <v>580</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71"/>
      <c r="AG192" s="1471"/>
      <c r="AH192" s="1471"/>
      <c r="AI192" s="1471"/>
      <c r="AJ192" s="1471"/>
      <c r="AK192" s="1471"/>
      <c r="AL192" s="1471"/>
      <c r="AN192" s="281"/>
      <c r="AO192" s="26" t="s">
        <v>196</v>
      </c>
      <c r="AP192" s="26">
        <f>3*$AO$197</f>
        <v>3</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889</v>
      </c>
      <c r="AP193" s="26">
        <f>2*$AO$197</f>
        <v>2</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5" t="s">
        <v>2224</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71" t="s">
        <v>102</v>
      </c>
      <c r="AG196" s="1471"/>
      <c r="AH196" s="1471"/>
      <c r="AI196" s="1471"/>
      <c r="AJ196" s="1471"/>
      <c r="AK196" s="1471"/>
      <c r="AL196" s="1471"/>
      <c r="AN196" s="281"/>
      <c r="AY196" s="4" t="s">
        <v>2225</v>
      </c>
      <c r="AZ196" s="958">
        <f>Application!AC215</f>
        <v>18</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71"/>
      <c r="AG197" s="1471"/>
      <c r="AH197" s="1471"/>
      <c r="AI197" s="1471"/>
      <c r="AJ197" s="1471"/>
      <c r="AK197" s="1471"/>
      <c r="AL197" s="1471"/>
      <c r="AN197" s="281"/>
      <c r="AO197" s="127" t="b">
        <f>IF(OR(Application!D214="Special Needs",Application!D211="At-Risk and Special Needs"),IF(BA203&gt;=0.25,TRUE,FALSE),IF(AZ203&gt;=0.25,TRUE,FALSE))</f>
        <v>1</v>
      </c>
      <c r="AY197" s="4" t="s">
        <v>2226</v>
      </c>
      <c r="AZ197" s="958">
        <f>Application!G730</f>
        <v>36</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2228</v>
      </c>
      <c r="AZ198" s="4">
        <f>Application!CC626</f>
        <v>9</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2229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2282</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2230</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2231</v>
      </c>
      <c r="AZ202">
        <f>AZ198+AZ199+AZ201</f>
        <v>9</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2232</v>
      </c>
      <c r="AZ203">
        <f>IFERROR(AZ202/AZ197,0)</f>
        <v>0.25</v>
      </c>
      <c r="BA203">
        <f>IFERROR(AZ202/(AZ197-AZ196),0)</f>
        <v>0.5</v>
      </c>
    </row>
    <row r="204" spans="1:53" customFormat="1" ht="12.75" customHeight="1">
      <c r="A204" s="4"/>
      <c r="B204" s="5"/>
      <c r="C204" s="45"/>
      <c r="D204" s="4" t="s">
        <v>146</v>
      </c>
      <c r="E204" s="116"/>
      <c r="F204" s="116"/>
      <c r="G204" s="116"/>
      <c r="H204" s="1812" t="s">
        <v>123</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2191</v>
      </c>
      <c r="AJ206" s="1267">
        <f>VLOOKUP($H$204,$AO$190:$AP$193,2,FALSE)</f>
        <v>0</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1" t="s">
        <v>1245</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60</v>
      </c>
      <c r="AG210" s="1711"/>
      <c r="AH210" s="1711"/>
      <c r="AI210" s="1711"/>
      <c r="AJ210" s="1711"/>
      <c r="AK210" s="1711"/>
      <c r="AL210" s="1711"/>
      <c r="AM210" s="4"/>
      <c r="AN210" s="204"/>
      <c r="AO210" s="4" t="s">
        <v>123</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580</v>
      </c>
      <c r="AP211" s="4">
        <v>3</v>
      </c>
    </row>
    <row r="212" spans="1:52" customFormat="1" ht="14.1"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196</v>
      </c>
      <c r="AP212" s="4">
        <v>2</v>
      </c>
    </row>
    <row r="213" spans="1:52" customFormat="1" ht="14.1" customHeight="1">
      <c r="A213" s="4"/>
      <c r="B213" s="5"/>
      <c r="C213" s="45"/>
      <c r="D213" s="26" t="s">
        <v>196</v>
      </c>
      <c r="E213" s="1876" t="s">
        <v>1246</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1" t="s">
        <v>102</v>
      </c>
      <c r="AG213" s="1711"/>
      <c r="AH213" s="1711"/>
      <c r="AI213" s="1711"/>
      <c r="AJ213" s="1711"/>
      <c r="AK213" s="1711"/>
      <c r="AL213" s="1711"/>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2" t="s">
        <v>123</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5" t="s">
        <v>1481</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1" t="s">
        <v>60</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1" t="s">
        <v>102</v>
      </c>
      <c r="AG225" s="1711"/>
      <c r="AH225" s="1711"/>
      <c r="AI225" s="1711"/>
      <c r="AJ225" s="1711"/>
      <c r="AK225" s="1711"/>
      <c r="AL225" s="1711"/>
      <c r="AM225" s="4"/>
      <c r="AN225" s="204"/>
      <c r="AO225" s="4" t="s">
        <v>123</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2" t="s">
        <v>123</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1114</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1" t="s">
        <v>60</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5" t="s">
        <v>1115</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1" t="s">
        <v>102</v>
      </c>
      <c r="AG238" s="1711"/>
      <c r="AH238" s="1711"/>
      <c r="AI238" s="1711"/>
      <c r="AJ238" s="1711"/>
      <c r="AK238" s="1711"/>
      <c r="AL238" s="1711"/>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2" t="s">
        <v>123</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7">
        <f>VLOOKUP($H$242,$AO$225:$AP$227,2,FALSE)</f>
        <v>0</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1" t="s">
        <v>102</v>
      </c>
      <c r="AG248" s="1711"/>
      <c r="AH248" s="1711"/>
      <c r="AI248" s="1711"/>
      <c r="AJ248" s="1711"/>
      <c r="AK248" s="1711"/>
      <c r="AL248" s="171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5" t="s">
        <v>1247</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1" t="s">
        <v>317</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2" t="s">
        <v>580</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5" t="s">
        <v>1939</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1" t="s">
        <v>102</v>
      </c>
      <c r="AG260" s="1711"/>
      <c r="AH260" s="1711"/>
      <c r="AI260" s="1711"/>
      <c r="AJ260" s="1711"/>
      <c r="AK260" s="1711"/>
      <c r="AL260" s="1711"/>
      <c r="AM260" s="104"/>
      <c r="AN260" s="204"/>
      <c r="AO260" s="4" t="s">
        <v>123</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1940</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1" t="s">
        <v>60</v>
      </c>
      <c r="AG264" s="1711"/>
      <c r="AH264" s="1711"/>
      <c r="AI264" s="1711"/>
      <c r="AJ264" s="1711"/>
      <c r="AK264" s="1711"/>
      <c r="AL264" s="1711"/>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2" t="s">
        <v>123</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5" t="s">
        <v>2199</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1" t="s">
        <v>1624</v>
      </c>
      <c r="AG275" s="1711"/>
      <c r="AH275" s="1711"/>
      <c r="AI275" s="1711"/>
      <c r="AJ275" s="1711"/>
      <c r="AK275" s="1711"/>
      <c r="AL275" s="1711"/>
      <c r="AM275" s="104"/>
      <c r="AN275" s="204"/>
      <c r="AO275" s="26" t="s">
        <v>107</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2" t="s">
        <v>107</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1713</v>
      </c>
      <c r="AJ281" s="1267">
        <f>VLOOKUP($H$279,$AO$274:$AP$275,2,FALSE)</f>
        <v>8</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25</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9" t="s">
        <v>2443</v>
      </c>
      <c r="I287" s="1109"/>
      <c r="J287" s="1109"/>
      <c r="K287" s="1109"/>
      <c r="L287" s="1109"/>
      <c r="M287" s="1109"/>
      <c r="N287" s="1109"/>
      <c r="O287" s="1109"/>
      <c r="P287" s="1109"/>
      <c r="Q287" s="1109"/>
      <c r="R287" s="1109"/>
      <c r="S287"/>
      <c r="T287" s="41" t="s">
        <v>88</v>
      </c>
      <c r="U287"/>
      <c r="V287" s="41"/>
      <c r="W287" s="41"/>
      <c r="X287" s="41"/>
      <c r="Y287" s="41"/>
      <c r="Z287"/>
      <c r="AA287" s="1109" t="s">
        <v>2449</v>
      </c>
      <c r="AB287" s="1109"/>
      <c r="AC287" s="1109"/>
      <c r="AD287" s="1109"/>
      <c r="AE287" s="1109"/>
      <c r="AF287" s="1109"/>
      <c r="AG287" s="1109"/>
      <c r="AH287" s="1109"/>
      <c r="AI287" s="1109"/>
      <c r="AJ287" s="1109"/>
      <c r="AK287" s="1109"/>
      <c r="AL287" s="10"/>
      <c r="AN287" s="281"/>
      <c r="AP287" t="s">
        <v>90</v>
      </c>
    </row>
    <row r="288" spans="1:82" s="4" customFormat="1" ht="12.75" customHeight="1">
      <c r="B288" s="41" t="s">
        <v>698</v>
      </c>
      <c r="C288" s="41"/>
      <c r="D288" s="41"/>
      <c r="E288" s="41"/>
      <c r="F288" s="41"/>
      <c r="G288"/>
      <c r="H288" s="1260" t="s">
        <v>2444</v>
      </c>
      <c r="I288" s="1260"/>
      <c r="J288" s="1260"/>
      <c r="K288" s="1260"/>
      <c r="L288" s="1260"/>
      <c r="M288" s="1260"/>
      <c r="N288" s="1260"/>
      <c r="O288" s="1260"/>
      <c r="P288" s="1260"/>
      <c r="Q288" s="1260"/>
      <c r="R288" s="1260"/>
      <c r="S288"/>
      <c r="T288" s="41" t="s">
        <v>698</v>
      </c>
      <c r="U288"/>
      <c r="V288" s="41"/>
      <c r="W288" s="41"/>
      <c r="X288" s="41"/>
      <c r="Y288" s="41"/>
      <c r="Z288"/>
      <c r="AA288" s="1260" t="s">
        <v>2450</v>
      </c>
      <c r="AB288" s="1260"/>
      <c r="AC288" s="1260"/>
      <c r="AD288" s="1260"/>
      <c r="AE288" s="1260"/>
      <c r="AF288" s="1260"/>
      <c r="AG288" s="1260"/>
      <c r="AH288" s="1260"/>
      <c r="AI288" s="1260"/>
      <c r="AJ288" s="1260"/>
      <c r="AK288" s="1260"/>
      <c r="AL288" s="10"/>
      <c r="AN288" s="281"/>
      <c r="AP288" t="s">
        <v>91</v>
      </c>
    </row>
    <row r="289" spans="1:42" s="4" customFormat="1" ht="12.75" customHeight="1">
      <c r="B289" s="41" t="s">
        <v>98</v>
      </c>
      <c r="C289" s="41"/>
      <c r="D289" s="41"/>
      <c r="E289" s="41"/>
      <c r="F289" s="41"/>
      <c r="G289"/>
      <c r="H289" s="1260" t="s">
        <v>2445</v>
      </c>
      <c r="I289" s="1260"/>
      <c r="J289" s="1260"/>
      <c r="K289" s="1260"/>
      <c r="L289" s="1260"/>
      <c r="M289" s="1260"/>
      <c r="N289" s="1260"/>
      <c r="O289" s="1260"/>
      <c r="P289" s="1260"/>
      <c r="Q289" s="1260"/>
      <c r="R289" s="1260"/>
      <c r="S289"/>
      <c r="T289" s="41" t="s">
        <v>98</v>
      </c>
      <c r="U289"/>
      <c r="V289" s="41"/>
      <c r="W289" s="41"/>
      <c r="X289" s="41"/>
      <c r="Y289" s="41"/>
      <c r="Z289"/>
      <c r="AA289" s="1260" t="s">
        <v>2445</v>
      </c>
      <c r="AB289" s="1260"/>
      <c r="AC289" s="1260"/>
      <c r="AD289" s="1260"/>
      <c r="AE289" s="1260"/>
      <c r="AF289" s="1260"/>
      <c r="AG289" s="1260"/>
      <c r="AH289" s="1260"/>
      <c r="AI289" s="1260"/>
      <c r="AJ289" s="1260"/>
      <c r="AK289" s="1260"/>
      <c r="AL289" s="10"/>
      <c r="AN289" s="281"/>
      <c r="AO289" s="211"/>
      <c r="AP289" t="s">
        <v>92</v>
      </c>
    </row>
    <row r="290" spans="1:42" s="4" customFormat="1" ht="12.75" customHeight="1">
      <c r="B290" s="41" t="s">
        <v>373</v>
      </c>
      <c r="C290" s="41"/>
      <c r="D290" s="41"/>
      <c r="E290" s="41"/>
      <c r="F290" s="41"/>
      <c r="G290"/>
      <c r="H290" s="1260" t="s">
        <v>2446</v>
      </c>
      <c r="I290" s="1260"/>
      <c r="J290" s="1260"/>
      <c r="K290" s="1260"/>
      <c r="L290" s="1260"/>
      <c r="M290" s="1260"/>
      <c r="N290" s="1260"/>
      <c r="O290" s="1260"/>
      <c r="P290" s="1260"/>
      <c r="Q290" s="1260"/>
      <c r="R290" s="1260"/>
      <c r="S290"/>
      <c r="T290" s="41" t="s">
        <v>373</v>
      </c>
      <c r="U290"/>
      <c r="V290" s="41"/>
      <c r="W290" s="41"/>
      <c r="X290" s="41"/>
      <c r="Y290" s="41"/>
      <c r="Z290"/>
      <c r="AA290" s="1260" t="s">
        <v>2451</v>
      </c>
      <c r="AB290" s="1260"/>
      <c r="AC290" s="1260"/>
      <c r="AD290" s="1260"/>
      <c r="AE290" s="1260"/>
      <c r="AF290" s="1260"/>
      <c r="AG290" s="1260"/>
      <c r="AH290" s="1260"/>
      <c r="AI290" s="1260"/>
      <c r="AJ290" s="1260"/>
      <c r="AK290" s="1260"/>
      <c r="AL290" s="10"/>
      <c r="AN290" s="281"/>
      <c r="AO290" s="211"/>
      <c r="AP290" t="s">
        <v>346</v>
      </c>
    </row>
    <row r="291" spans="1:42" s="4" customFormat="1" ht="12.75" customHeight="1">
      <c r="B291" s="41" t="s">
        <v>374</v>
      </c>
      <c r="C291" s="41"/>
      <c r="D291" s="41"/>
      <c r="E291" s="41"/>
      <c r="F291" s="41"/>
      <c r="G291" s="41"/>
      <c r="H291" s="1408" t="s">
        <v>2447</v>
      </c>
      <c r="I291" s="1408"/>
      <c r="J291" s="1408"/>
      <c r="K291" s="1408"/>
      <c r="L291" s="1408"/>
      <c r="M291" s="1408"/>
      <c r="N291" s="5" t="s">
        <v>817</v>
      </c>
      <c r="O291" s="5"/>
      <c r="P291" s="1396"/>
      <c r="Q291" s="1396"/>
      <c r="R291" s="1396"/>
      <c r="S291" s="41"/>
      <c r="T291" s="41" t="s">
        <v>374</v>
      </c>
      <c r="U291"/>
      <c r="V291" s="41"/>
      <c r="W291" s="41"/>
      <c r="X291" s="41"/>
      <c r="Y291" s="41"/>
      <c r="Z291"/>
      <c r="AA291" s="1408" t="s">
        <v>2452</v>
      </c>
      <c r="AB291" s="1408"/>
      <c r="AC291" s="1408"/>
      <c r="AD291" s="1408"/>
      <c r="AE291" s="1408"/>
      <c r="AF291" s="1408"/>
      <c r="AG291" s="5" t="s">
        <v>817</v>
      </c>
      <c r="AH291" s="5"/>
      <c r="AI291" s="1396"/>
      <c r="AJ291" s="1396"/>
      <c r="AK291" s="1396"/>
      <c r="AL291" s="10"/>
      <c r="AN291" s="281"/>
      <c r="AO291" s="211"/>
      <c r="AP291" t="s">
        <v>2306</v>
      </c>
    </row>
    <row r="292" spans="1:42" s="4" customFormat="1" ht="12.75" customHeight="1">
      <c r="B292" s="41" t="s">
        <v>87</v>
      </c>
      <c r="C292" s="41"/>
      <c r="D292" s="41"/>
      <c r="E292" s="41"/>
      <c r="F292" s="41"/>
      <c r="G292" s="41"/>
      <c r="H292" s="1260" t="s">
        <v>90</v>
      </c>
      <c r="I292" s="1260"/>
      <c r="J292" s="1260"/>
      <c r="K292" s="1260"/>
      <c r="L292" s="1260"/>
      <c r="M292" s="1260"/>
      <c r="N292" s="1260"/>
      <c r="O292" s="1260"/>
      <c r="P292" s="1260"/>
      <c r="Q292" s="1260"/>
      <c r="R292" s="1260"/>
      <c r="S292" s="41"/>
      <c r="T292" s="41" t="s">
        <v>87</v>
      </c>
      <c r="U292"/>
      <c r="V292" s="41"/>
      <c r="W292" s="41"/>
      <c r="X292" s="41"/>
      <c r="Y292" s="41"/>
      <c r="Z292"/>
      <c r="AA292" s="1260" t="s">
        <v>91</v>
      </c>
      <c r="AB292" s="1260"/>
      <c r="AC292" s="1260"/>
      <c r="AD292" s="1260"/>
      <c r="AE292" s="1260"/>
      <c r="AF292" s="1260"/>
      <c r="AG292" s="1260"/>
      <c r="AH292" s="1260"/>
      <c r="AI292" s="1260"/>
      <c r="AJ292" s="1260"/>
      <c r="AK292" s="1260"/>
      <c r="AL292" s="10"/>
      <c r="AN292" s="281"/>
      <c r="AO292" s="211"/>
      <c r="AP292" t="s">
        <v>99</v>
      </c>
    </row>
    <row r="293" spans="1:42" s="4" customFormat="1" ht="12.75" customHeight="1">
      <c r="B293" s="41" t="s">
        <v>89</v>
      </c>
      <c r="C293" s="41"/>
      <c r="D293" s="41"/>
      <c r="E293" s="41"/>
      <c r="F293" s="41"/>
      <c r="G293" s="41"/>
      <c r="H293" s="1260" t="s">
        <v>2448</v>
      </c>
      <c r="I293" s="1260"/>
      <c r="J293" s="1260"/>
      <c r="K293" s="1260"/>
      <c r="L293" s="1260"/>
      <c r="M293" s="1260"/>
      <c r="N293" s="1260"/>
      <c r="O293" s="1260"/>
      <c r="P293" s="1260"/>
      <c r="Q293" s="1260"/>
      <c r="R293" s="1260"/>
      <c r="S293" s="41"/>
      <c r="T293" s="41" t="s">
        <v>89</v>
      </c>
      <c r="U293"/>
      <c r="V293" s="41"/>
      <c r="W293" s="41"/>
      <c r="X293" s="41"/>
      <c r="Y293" s="41"/>
      <c r="Z293"/>
      <c r="AA293" s="1260" t="s">
        <v>2453</v>
      </c>
      <c r="AB293" s="1260"/>
      <c r="AC293" s="1260"/>
      <c r="AD293" s="1260"/>
      <c r="AE293" s="1260"/>
      <c r="AF293" s="1260"/>
      <c r="AG293" s="1260"/>
      <c r="AH293" s="1260"/>
      <c r="AI293" s="1260"/>
      <c r="AJ293" s="1260"/>
      <c r="AK293" s="1260"/>
      <c r="AL293" s="10"/>
      <c r="AN293" s="281"/>
      <c r="AP293" t="s">
        <v>96</v>
      </c>
    </row>
    <row r="294" spans="1:42" s="4" customFormat="1" ht="12.75" customHeight="1">
      <c r="B294" s="41" t="s">
        <v>100</v>
      </c>
      <c r="C294" s="41"/>
      <c r="D294" s="41"/>
      <c r="E294" s="41"/>
      <c r="F294" s="41"/>
      <c r="G294" s="41"/>
      <c r="H294" s="1674">
        <v>0.04</v>
      </c>
      <c r="I294" s="1674"/>
      <c r="J294" s="1674"/>
      <c r="K294" s="1674"/>
      <c r="L294" s="1674"/>
      <c r="M294" s="1674"/>
      <c r="N294" s="1674"/>
      <c r="O294" s="1674"/>
      <c r="P294" s="1674"/>
      <c r="Q294" s="1674"/>
      <c r="R294" s="1674"/>
      <c r="S294" s="41"/>
      <c r="T294" s="41" t="s">
        <v>100</v>
      </c>
      <c r="U294" s="41"/>
      <c r="V294" s="41"/>
      <c r="W294" s="41"/>
      <c r="X294" s="41"/>
      <c r="Y294" s="41"/>
      <c r="Z294" s="12"/>
      <c r="AA294" s="1674">
        <v>0.17</v>
      </c>
      <c r="AB294" s="1674"/>
      <c r="AC294" s="1674"/>
      <c r="AD294" s="1674"/>
      <c r="AE294" s="1674"/>
      <c r="AF294" s="1674"/>
      <c r="AG294" s="1674"/>
      <c r="AH294" s="1674"/>
      <c r="AI294" s="1674"/>
      <c r="AJ294" s="1674"/>
      <c r="AK294" s="1674"/>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9" t="s">
        <v>2454</v>
      </c>
      <c r="I296" s="1109"/>
      <c r="J296" s="1109"/>
      <c r="K296" s="1109"/>
      <c r="L296" s="1109"/>
      <c r="M296" s="1109"/>
      <c r="N296" s="1109"/>
      <c r="O296" s="1109"/>
      <c r="P296" s="1109"/>
      <c r="Q296" s="1109"/>
      <c r="R296" s="1109"/>
      <c r="S296"/>
      <c r="T296" s="41" t="s">
        <v>88</v>
      </c>
      <c r="U296"/>
      <c r="V296" s="41"/>
      <c r="W296" s="41"/>
      <c r="X296" s="41"/>
      <c r="Y296" s="41"/>
      <c r="Z296"/>
      <c r="AA296" s="1109" t="s">
        <v>2459</v>
      </c>
      <c r="AB296" s="1109"/>
      <c r="AC296" s="1109"/>
      <c r="AD296" s="1109"/>
      <c r="AE296" s="1109"/>
      <c r="AF296" s="1109"/>
      <c r="AG296" s="1109"/>
      <c r="AH296" s="1109"/>
      <c r="AI296" s="1109"/>
      <c r="AJ296" s="1109"/>
      <c r="AK296" s="1109"/>
      <c r="AL296" s="10"/>
      <c r="AN296" s="281"/>
      <c r="AP296" t="s">
        <v>95</v>
      </c>
    </row>
    <row r="297" spans="1:42" s="20" customFormat="1" ht="12.75" customHeight="1">
      <c r="A297" s="4"/>
      <c r="B297" s="41" t="s">
        <v>698</v>
      </c>
      <c r="C297" s="41"/>
      <c r="D297" s="41"/>
      <c r="E297" s="41"/>
      <c r="F297" s="41"/>
      <c r="G297"/>
      <c r="H297" s="1260" t="s">
        <v>2455</v>
      </c>
      <c r="I297" s="1260"/>
      <c r="J297" s="1260"/>
      <c r="K297" s="1260"/>
      <c r="L297" s="1260"/>
      <c r="M297" s="1260"/>
      <c r="N297" s="1260"/>
      <c r="O297" s="1260"/>
      <c r="P297" s="1260"/>
      <c r="Q297" s="1260"/>
      <c r="R297" s="1260"/>
      <c r="S297"/>
      <c r="T297" s="41" t="s">
        <v>698</v>
      </c>
      <c r="U297"/>
      <c r="V297" s="41"/>
      <c r="W297" s="41"/>
      <c r="X297" s="41"/>
      <c r="Y297" s="41"/>
      <c r="Z297"/>
      <c r="AA297" s="1260" t="s">
        <v>2455</v>
      </c>
      <c r="AB297" s="1260"/>
      <c r="AC297" s="1260"/>
      <c r="AD297" s="1260"/>
      <c r="AE297" s="1260"/>
      <c r="AF297" s="1260"/>
      <c r="AG297" s="1260"/>
      <c r="AH297" s="1260"/>
      <c r="AI297" s="1260"/>
      <c r="AJ297" s="1260"/>
      <c r="AK297" s="1260"/>
      <c r="AL297" s="10"/>
      <c r="AM297" s="4"/>
      <c r="AN297" s="281"/>
      <c r="AO297" s="4"/>
      <c r="AP297" s="48" t="s">
        <v>347</v>
      </c>
    </row>
    <row r="298" spans="1:42" s="20" customFormat="1" ht="12.75" customHeight="1">
      <c r="A298" s="4"/>
      <c r="B298" s="41" t="s">
        <v>98</v>
      </c>
      <c r="C298" s="41"/>
      <c r="D298" s="41"/>
      <c r="E298" s="41"/>
      <c r="F298" s="41"/>
      <c r="G298"/>
      <c r="H298" s="1260" t="s">
        <v>2445</v>
      </c>
      <c r="I298" s="1260"/>
      <c r="J298" s="1260"/>
      <c r="K298" s="1260"/>
      <c r="L298" s="1260"/>
      <c r="M298" s="1260"/>
      <c r="N298" s="1260"/>
      <c r="O298" s="1260"/>
      <c r="P298" s="1260"/>
      <c r="Q298" s="1260"/>
      <c r="R298" s="1260"/>
      <c r="S298"/>
      <c r="T298" s="41" t="s">
        <v>98</v>
      </c>
      <c r="U298"/>
      <c r="V298" s="41"/>
      <c r="W298" s="41"/>
      <c r="X298" s="41"/>
      <c r="Y298" s="41"/>
      <c r="Z298"/>
      <c r="AA298" s="1260" t="s">
        <v>2445</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373</v>
      </c>
      <c r="C299" s="41"/>
      <c r="D299" s="41"/>
      <c r="E299" s="41"/>
      <c r="F299" s="41"/>
      <c r="G299"/>
      <c r="H299" s="1260" t="s">
        <v>2456</v>
      </c>
      <c r="I299" s="1260"/>
      <c r="J299" s="1260"/>
      <c r="K299" s="1260"/>
      <c r="L299" s="1260"/>
      <c r="M299" s="1260"/>
      <c r="N299" s="1260"/>
      <c r="O299" s="1260"/>
      <c r="P299" s="1260"/>
      <c r="Q299" s="1260"/>
      <c r="R299" s="1260"/>
      <c r="S299"/>
      <c r="T299" s="41" t="s">
        <v>373</v>
      </c>
      <c r="U299"/>
      <c r="V299" s="41"/>
      <c r="W299" s="41"/>
      <c r="X299" s="41"/>
      <c r="Y299" s="41"/>
      <c r="Z299"/>
      <c r="AA299" s="1260" t="s">
        <v>2460</v>
      </c>
      <c r="AB299" s="1260"/>
      <c r="AC299" s="1260"/>
      <c r="AD299" s="1260"/>
      <c r="AE299" s="1260"/>
      <c r="AF299" s="1260"/>
      <c r="AG299" s="1260"/>
      <c r="AH299" s="1260"/>
      <c r="AI299" s="1260"/>
      <c r="AJ299" s="1260"/>
      <c r="AK299" s="1260"/>
      <c r="AL299" s="10"/>
      <c r="AN299" s="281"/>
    </row>
    <row r="300" spans="1:42" s="4" customFormat="1" ht="12.75" customHeight="1">
      <c r="B300" s="41" t="s">
        <v>374</v>
      </c>
      <c r="C300" s="41"/>
      <c r="D300" s="41"/>
      <c r="E300" s="41"/>
      <c r="F300" s="41"/>
      <c r="G300" s="41"/>
      <c r="H300" s="1408" t="s">
        <v>2457</v>
      </c>
      <c r="I300" s="1408"/>
      <c r="J300" s="1408"/>
      <c r="K300" s="1408"/>
      <c r="L300" s="1408"/>
      <c r="M300" s="1408"/>
      <c r="N300" s="5" t="s">
        <v>817</v>
      </c>
      <c r="O300" s="5"/>
      <c r="P300" s="1396"/>
      <c r="Q300" s="1396"/>
      <c r="R300" s="1396"/>
      <c r="S300" s="41"/>
      <c r="T300" s="41" t="s">
        <v>374</v>
      </c>
      <c r="U300"/>
      <c r="V300" s="41"/>
      <c r="W300" s="41"/>
      <c r="X300" s="41"/>
      <c r="Y300" s="41"/>
      <c r="Z300"/>
      <c r="AA300" s="1408" t="s">
        <v>2457</v>
      </c>
      <c r="AB300" s="1408"/>
      <c r="AC300" s="1408"/>
      <c r="AD300" s="1408"/>
      <c r="AE300" s="1408"/>
      <c r="AF300" s="1408"/>
      <c r="AG300" s="5" t="s">
        <v>817</v>
      </c>
      <c r="AH300" s="5"/>
      <c r="AI300" s="1396"/>
      <c r="AJ300" s="1396"/>
      <c r="AK300" s="1396"/>
      <c r="AL300" s="10"/>
      <c r="AN300" s="281"/>
    </row>
    <row r="301" spans="1:42" s="4" customFormat="1" ht="12.75" customHeight="1">
      <c r="B301" s="41" t="s">
        <v>87</v>
      </c>
      <c r="C301" s="41"/>
      <c r="D301" s="41"/>
      <c r="E301" s="41"/>
      <c r="F301" s="41"/>
      <c r="G301" s="41"/>
      <c r="H301" s="1260" t="s">
        <v>346</v>
      </c>
      <c r="I301" s="1260"/>
      <c r="J301" s="1260"/>
      <c r="K301" s="1260"/>
      <c r="L301" s="1260"/>
      <c r="M301" s="1260"/>
      <c r="N301" s="1260"/>
      <c r="O301" s="1260"/>
      <c r="P301" s="1260"/>
      <c r="Q301" s="1260"/>
      <c r="R301" s="1260"/>
      <c r="S301" s="41"/>
      <c r="T301" s="41" t="s">
        <v>87</v>
      </c>
      <c r="U301"/>
      <c r="V301" s="41"/>
      <c r="W301" s="41"/>
      <c r="X301" s="41"/>
      <c r="Y301" s="41"/>
      <c r="Z301"/>
      <c r="AA301" s="1260" t="s">
        <v>95</v>
      </c>
      <c r="AB301" s="1260"/>
      <c r="AC301" s="1260"/>
      <c r="AD301" s="1260"/>
      <c r="AE301" s="1260"/>
      <c r="AF301" s="1260"/>
      <c r="AG301" s="1260"/>
      <c r="AH301" s="1260"/>
      <c r="AI301" s="1260"/>
      <c r="AJ301" s="1260"/>
      <c r="AK301" s="1260"/>
      <c r="AL301" s="10"/>
      <c r="AN301" s="281"/>
    </row>
    <row r="302" spans="1:42" s="4" customFormat="1" ht="12.75" customHeight="1">
      <c r="B302" s="41" t="s">
        <v>89</v>
      </c>
      <c r="C302" s="41"/>
      <c r="D302" s="41"/>
      <c r="E302" s="41"/>
      <c r="F302" s="41"/>
      <c r="G302" s="41"/>
      <c r="H302" s="1260" t="s">
        <v>2458</v>
      </c>
      <c r="I302" s="1260"/>
      <c r="J302" s="1260"/>
      <c r="K302" s="1260"/>
      <c r="L302" s="1260"/>
      <c r="M302" s="1260"/>
      <c r="N302" s="1260"/>
      <c r="O302" s="1260"/>
      <c r="P302" s="1260"/>
      <c r="Q302" s="1260"/>
      <c r="R302" s="1260"/>
      <c r="S302" s="41"/>
      <c r="T302" s="41" t="s">
        <v>89</v>
      </c>
      <c r="U302"/>
      <c r="V302" s="41"/>
      <c r="W302" s="41"/>
      <c r="X302" s="41"/>
      <c r="Y302" s="41"/>
      <c r="Z302"/>
      <c r="AA302" s="1260" t="s">
        <v>2461</v>
      </c>
      <c r="AB302" s="1260"/>
      <c r="AC302" s="1260"/>
      <c r="AD302" s="1260"/>
      <c r="AE302" s="1260"/>
      <c r="AF302" s="1260"/>
      <c r="AG302" s="1260"/>
      <c r="AH302" s="1260"/>
      <c r="AI302" s="1260"/>
      <c r="AJ302" s="1260"/>
      <c r="AK302" s="1260"/>
      <c r="AL302" s="10"/>
      <c r="AN302" s="281"/>
    </row>
    <row r="303" spans="1:42" s="4" customFormat="1" ht="12.75" customHeight="1">
      <c r="B303" s="41" t="s">
        <v>100</v>
      </c>
      <c r="C303" s="41"/>
      <c r="D303" s="41"/>
      <c r="E303" s="41"/>
      <c r="F303" s="41"/>
      <c r="G303" s="41"/>
      <c r="H303" s="1674">
        <v>0.14000000000000001</v>
      </c>
      <c r="I303" s="1674"/>
      <c r="J303" s="1674"/>
      <c r="K303" s="1674"/>
      <c r="L303" s="1674"/>
      <c r="M303" s="1674"/>
      <c r="N303" s="1674"/>
      <c r="O303" s="1674"/>
      <c r="P303" s="1674"/>
      <c r="Q303" s="1674"/>
      <c r="R303" s="1674"/>
      <c r="S303" s="41"/>
      <c r="T303" s="41" t="s">
        <v>100</v>
      </c>
      <c r="U303" s="41"/>
      <c r="V303" s="41"/>
      <c r="W303" s="41"/>
      <c r="X303" s="41"/>
      <c r="Y303" s="41"/>
      <c r="Z303" s="12"/>
      <c r="AA303" s="1674">
        <v>0.14000000000000001</v>
      </c>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9" t="s">
        <v>2462</v>
      </c>
      <c r="I305" s="1109"/>
      <c r="J305" s="1109"/>
      <c r="K305" s="1109"/>
      <c r="L305" s="1109"/>
      <c r="M305" s="1109"/>
      <c r="N305" s="1109"/>
      <c r="O305" s="1109"/>
      <c r="P305" s="1109"/>
      <c r="Q305" s="1109"/>
      <c r="R305" s="1109"/>
      <c r="S305"/>
      <c r="T305" s="41" t="s">
        <v>88</v>
      </c>
      <c r="U305"/>
      <c r="V305" s="41"/>
      <c r="W305" s="41"/>
      <c r="X305" s="41"/>
      <c r="Y305" s="41"/>
      <c r="Z305"/>
      <c r="AA305" s="1109"/>
      <c r="AB305" s="1109"/>
      <c r="AC305" s="1109"/>
      <c r="AD305" s="1109"/>
      <c r="AE305" s="1109"/>
      <c r="AF305" s="1109"/>
      <c r="AG305" s="1109"/>
      <c r="AH305" s="1109"/>
      <c r="AI305" s="1109"/>
      <c r="AJ305" s="1109"/>
      <c r="AK305" s="1109"/>
      <c r="AL305" s="10"/>
      <c r="AN305" s="281"/>
    </row>
    <row r="306" spans="2:40" s="4" customFormat="1" ht="12.75" customHeight="1">
      <c r="B306" s="41" t="s">
        <v>698</v>
      </c>
      <c r="C306" s="41"/>
      <c r="D306" s="41"/>
      <c r="E306" s="41"/>
      <c r="F306" s="41"/>
      <c r="G306"/>
      <c r="H306" s="1260" t="s">
        <v>2463</v>
      </c>
      <c r="I306" s="1260"/>
      <c r="J306" s="1260"/>
      <c r="K306" s="1260"/>
      <c r="L306" s="1260"/>
      <c r="M306" s="1260"/>
      <c r="N306" s="1260"/>
      <c r="O306" s="1260"/>
      <c r="P306" s="1260"/>
      <c r="Q306" s="1260"/>
      <c r="R306" s="1260"/>
      <c r="S306"/>
      <c r="T306" s="41" t="s">
        <v>698</v>
      </c>
      <c r="U306"/>
      <c r="V306" s="41"/>
      <c r="W306" s="41"/>
      <c r="X306" s="41"/>
      <c r="Y306" s="41"/>
      <c r="Z306"/>
      <c r="AA306" s="1260"/>
      <c r="AB306" s="1260"/>
      <c r="AC306" s="1260"/>
      <c r="AD306" s="1260"/>
      <c r="AE306" s="1260"/>
      <c r="AF306" s="1260"/>
      <c r="AG306" s="1260"/>
      <c r="AH306" s="1260"/>
      <c r="AI306" s="1260"/>
      <c r="AJ306" s="1260"/>
      <c r="AK306" s="1260"/>
      <c r="AL306" s="10"/>
      <c r="AN306" s="281"/>
    </row>
    <row r="307" spans="2:40" s="4" customFormat="1" ht="12.75" customHeight="1">
      <c r="B307" s="41" t="s">
        <v>98</v>
      </c>
      <c r="C307" s="41"/>
      <c r="D307" s="41"/>
      <c r="E307" s="41"/>
      <c r="F307" s="41"/>
      <c r="G307"/>
      <c r="H307" s="1260" t="s">
        <v>2445</v>
      </c>
      <c r="I307" s="1260"/>
      <c r="J307" s="1260"/>
      <c r="K307" s="1260"/>
      <c r="L307" s="1260"/>
      <c r="M307" s="1260"/>
      <c r="N307" s="1260"/>
      <c r="O307" s="1260"/>
      <c r="P307" s="1260"/>
      <c r="Q307" s="1260"/>
      <c r="R307" s="1260"/>
      <c r="S307"/>
      <c r="T307" s="41" t="s">
        <v>98</v>
      </c>
      <c r="U307"/>
      <c r="V307" s="41"/>
      <c r="W307" s="41"/>
      <c r="X307" s="41"/>
      <c r="Y307" s="41"/>
      <c r="Z307"/>
      <c r="AA307" s="1260"/>
      <c r="AB307" s="1260"/>
      <c r="AC307" s="1260"/>
      <c r="AD307" s="1260"/>
      <c r="AE307" s="1260"/>
      <c r="AF307" s="1260"/>
      <c r="AG307" s="1260"/>
      <c r="AH307" s="1260"/>
      <c r="AI307" s="1260"/>
      <c r="AJ307" s="1260"/>
      <c r="AK307" s="1260"/>
      <c r="AL307" s="10"/>
      <c r="AN307" s="281"/>
    </row>
    <row r="308" spans="2:40" s="4" customFormat="1" ht="12.75" customHeight="1">
      <c r="B308" s="41" t="s">
        <v>373</v>
      </c>
      <c r="C308" s="41"/>
      <c r="D308" s="41"/>
      <c r="E308" s="41"/>
      <c r="F308" s="41"/>
      <c r="G308"/>
      <c r="H308" s="1260" t="s">
        <v>2464</v>
      </c>
      <c r="I308" s="1260"/>
      <c r="J308" s="1260"/>
      <c r="K308" s="1260"/>
      <c r="L308" s="1260"/>
      <c r="M308" s="1260"/>
      <c r="N308" s="1260"/>
      <c r="O308" s="1260"/>
      <c r="P308" s="1260"/>
      <c r="Q308" s="1260"/>
      <c r="R308" s="1260"/>
      <c r="S308"/>
      <c r="T308" s="41" t="s">
        <v>373</v>
      </c>
      <c r="U308"/>
      <c r="V308" s="41"/>
      <c r="W308" s="41"/>
      <c r="X308" s="41"/>
      <c r="Y308" s="41"/>
      <c r="Z308"/>
      <c r="AA308" s="1260"/>
      <c r="AB308" s="1260"/>
      <c r="AC308" s="1260"/>
      <c r="AD308" s="1260"/>
      <c r="AE308" s="1260"/>
      <c r="AF308" s="1260"/>
      <c r="AG308" s="1260"/>
      <c r="AH308" s="1260"/>
      <c r="AI308" s="1260"/>
      <c r="AJ308" s="1260"/>
      <c r="AK308" s="1260"/>
      <c r="AL308" s="10"/>
      <c r="AN308" s="281"/>
    </row>
    <row r="309" spans="2:40" s="4" customFormat="1" ht="12.75" customHeight="1">
      <c r="B309" s="41" t="s">
        <v>374</v>
      </c>
      <c r="C309" s="41"/>
      <c r="D309" s="41"/>
      <c r="E309" s="41"/>
      <c r="F309" s="41"/>
      <c r="G309" s="41"/>
      <c r="H309" s="1408" t="s">
        <v>2465</v>
      </c>
      <c r="I309" s="1408"/>
      <c r="J309" s="1408"/>
      <c r="K309" s="1408"/>
      <c r="L309" s="1408"/>
      <c r="M309" s="1408"/>
      <c r="N309" s="5" t="s">
        <v>817</v>
      </c>
      <c r="O309" s="5"/>
      <c r="P309" s="1396"/>
      <c r="Q309" s="1396"/>
      <c r="R309" s="1396"/>
      <c r="S309" s="41"/>
      <c r="T309" s="41" t="s">
        <v>374</v>
      </c>
      <c r="U309"/>
      <c r="V309" s="41"/>
      <c r="W309" s="41"/>
      <c r="X309" s="41"/>
      <c r="Y309" s="41"/>
      <c r="Z309"/>
      <c r="AA309" s="1408"/>
      <c r="AB309" s="1408"/>
      <c r="AC309" s="1408"/>
      <c r="AD309" s="1408"/>
      <c r="AE309" s="1408"/>
      <c r="AF309" s="1408"/>
      <c r="AG309" s="5" t="s">
        <v>817</v>
      </c>
      <c r="AH309" s="5"/>
      <c r="AI309" s="1396"/>
      <c r="AJ309" s="1396"/>
      <c r="AK309" s="1396"/>
      <c r="AL309" s="10"/>
      <c r="AN309" s="281"/>
    </row>
    <row r="310" spans="2:40" s="4" customFormat="1" ht="12.75" customHeight="1">
      <c r="B310" s="41" t="s">
        <v>87</v>
      </c>
      <c r="C310" s="41"/>
      <c r="D310" s="41"/>
      <c r="E310" s="41"/>
      <c r="F310" s="41"/>
      <c r="G310" s="41"/>
      <c r="H310" s="1260"/>
      <c r="I310" s="1260"/>
      <c r="J310" s="1260"/>
      <c r="K310" s="1260"/>
      <c r="L310" s="1260"/>
      <c r="M310" s="1260"/>
      <c r="N310" s="1260"/>
      <c r="O310" s="1260"/>
      <c r="P310" s="1260"/>
      <c r="Q310" s="1260"/>
      <c r="R310" s="1260"/>
      <c r="S310" s="41"/>
      <c r="T310" s="41" t="s">
        <v>87</v>
      </c>
      <c r="U310"/>
      <c r="V310" s="41"/>
      <c r="W310" s="41"/>
      <c r="X310" s="41"/>
      <c r="Y310" s="41"/>
      <c r="Z310"/>
      <c r="AA310" s="1260"/>
      <c r="AB310" s="1260"/>
      <c r="AC310" s="1260"/>
      <c r="AD310" s="1260"/>
      <c r="AE310" s="1260"/>
      <c r="AF310" s="1260"/>
      <c r="AG310" s="1260"/>
      <c r="AH310" s="1260"/>
      <c r="AI310" s="1260"/>
      <c r="AJ310" s="1260"/>
      <c r="AK310" s="1260"/>
      <c r="AL310" s="10"/>
      <c r="AN310" s="281"/>
    </row>
    <row r="311" spans="2:40" s="4" customFormat="1" ht="12.75" customHeight="1">
      <c r="B311" s="41" t="s">
        <v>89</v>
      </c>
      <c r="C311" s="41"/>
      <c r="D311" s="41"/>
      <c r="E311" s="41"/>
      <c r="F311" s="41"/>
      <c r="G311" s="41"/>
      <c r="H311" s="1260" t="s">
        <v>2466</v>
      </c>
      <c r="I311" s="1260"/>
      <c r="J311" s="1260"/>
      <c r="K311" s="1260"/>
      <c r="L311" s="1260"/>
      <c r="M311" s="1260"/>
      <c r="N311" s="1260"/>
      <c r="O311" s="1260"/>
      <c r="P311" s="1260"/>
      <c r="Q311" s="1260"/>
      <c r="R311" s="1260"/>
      <c r="S311" s="41"/>
      <c r="T311" s="41" t="s">
        <v>89</v>
      </c>
      <c r="U311"/>
      <c r="V311" s="41"/>
      <c r="W311" s="41"/>
      <c r="X311" s="41"/>
      <c r="Y311" s="41"/>
      <c r="Z311"/>
      <c r="AA311" s="1260"/>
      <c r="AB311" s="1260"/>
      <c r="AC311" s="1260"/>
      <c r="AD311" s="1260"/>
      <c r="AE311" s="1260"/>
      <c r="AF311" s="1260"/>
      <c r="AG311" s="1260"/>
      <c r="AH311" s="1260"/>
      <c r="AI311" s="1260"/>
      <c r="AJ311" s="1260"/>
      <c r="AK311" s="1260"/>
      <c r="AL311" s="10"/>
      <c r="AN311" s="281"/>
    </row>
    <row r="312" spans="2:40" s="4" customFormat="1" ht="12.75" customHeight="1">
      <c r="B312" s="41" t="s">
        <v>100</v>
      </c>
      <c r="C312" s="41"/>
      <c r="D312" s="41"/>
      <c r="E312" s="41"/>
      <c r="F312" s="41"/>
      <c r="G312" s="41"/>
      <c r="H312" s="1674">
        <v>0</v>
      </c>
      <c r="I312" s="1674"/>
      <c r="J312" s="1674"/>
      <c r="K312" s="1674"/>
      <c r="L312" s="1674"/>
      <c r="M312" s="1674"/>
      <c r="N312" s="1674"/>
      <c r="O312" s="1674"/>
      <c r="P312" s="1674"/>
      <c r="Q312" s="1674"/>
      <c r="R312" s="1674"/>
      <c r="S312" s="41"/>
      <c r="T312" s="41" t="s">
        <v>100</v>
      </c>
      <c r="U312" s="41"/>
      <c r="V312" s="41"/>
      <c r="W312" s="41"/>
      <c r="X312" s="41"/>
      <c r="Y312" s="41"/>
      <c r="Z312" s="12"/>
      <c r="AA312" s="1674"/>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9"/>
      <c r="I314" s="1109"/>
      <c r="J314" s="1109"/>
      <c r="K314" s="1109"/>
      <c r="L314" s="1109"/>
      <c r="M314" s="1109"/>
      <c r="N314" s="1109"/>
      <c r="O314" s="1109"/>
      <c r="P314" s="1109"/>
      <c r="Q314" s="1109"/>
      <c r="R314" s="1109"/>
      <c r="S314"/>
      <c r="T314" s="41" t="s">
        <v>88</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698</v>
      </c>
      <c r="C315" s="41"/>
      <c r="D315" s="41"/>
      <c r="E315" s="41"/>
      <c r="F315" s="41"/>
      <c r="G315"/>
      <c r="H315" s="1260"/>
      <c r="I315" s="1260"/>
      <c r="J315" s="1260"/>
      <c r="K315" s="1260"/>
      <c r="L315" s="1260"/>
      <c r="M315" s="1260"/>
      <c r="N315" s="1260"/>
      <c r="O315" s="1260"/>
      <c r="P315" s="1260"/>
      <c r="Q315" s="1260"/>
      <c r="R315" s="1260"/>
      <c r="S315"/>
      <c r="T315" s="41" t="s">
        <v>698</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98</v>
      </c>
      <c r="C316" s="41"/>
      <c r="D316" s="41"/>
      <c r="E316" s="41"/>
      <c r="F316" s="41"/>
      <c r="G316"/>
      <c r="H316" s="1260"/>
      <c r="I316" s="1260"/>
      <c r="J316" s="1260"/>
      <c r="K316" s="1260"/>
      <c r="L316" s="1260"/>
      <c r="M316" s="1260"/>
      <c r="N316" s="1260"/>
      <c r="O316" s="1260"/>
      <c r="P316" s="1260"/>
      <c r="Q316" s="1260"/>
      <c r="R316" s="1260"/>
      <c r="S316"/>
      <c r="T316" s="41" t="s">
        <v>98</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373</v>
      </c>
      <c r="C317" s="41"/>
      <c r="D317" s="41"/>
      <c r="E317" s="41"/>
      <c r="F317" s="41"/>
      <c r="G317"/>
      <c r="H317" s="1260"/>
      <c r="I317" s="1260"/>
      <c r="J317" s="1260"/>
      <c r="K317" s="1260"/>
      <c r="L317" s="1260"/>
      <c r="M317" s="1260"/>
      <c r="N317" s="1260"/>
      <c r="O317" s="1260"/>
      <c r="P317" s="1260"/>
      <c r="Q317" s="1260"/>
      <c r="R317" s="1260"/>
      <c r="S317"/>
      <c r="T317" s="41" t="s">
        <v>373</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374</v>
      </c>
      <c r="C318" s="41"/>
      <c r="D318" s="41"/>
      <c r="E318" s="41"/>
      <c r="F318" s="41"/>
      <c r="G318" s="41"/>
      <c r="H318" s="1408"/>
      <c r="I318" s="1408"/>
      <c r="J318" s="1408"/>
      <c r="K318" s="1408"/>
      <c r="L318" s="1408"/>
      <c r="M318" s="1408"/>
      <c r="N318" s="5" t="s">
        <v>817</v>
      </c>
      <c r="O318" s="5"/>
      <c r="P318" s="1396"/>
      <c r="Q318" s="1396"/>
      <c r="R318" s="1396"/>
      <c r="S318" s="41"/>
      <c r="T318" s="41" t="s">
        <v>374</v>
      </c>
      <c r="U318"/>
      <c r="V318" s="41"/>
      <c r="W318" s="41"/>
      <c r="X318" s="41"/>
      <c r="Y318" s="41"/>
      <c r="Z318"/>
      <c r="AA318" s="1408"/>
      <c r="AB318" s="1408"/>
      <c r="AC318" s="1408"/>
      <c r="AD318" s="1408"/>
      <c r="AE318" s="1408"/>
      <c r="AF318" s="1408"/>
      <c r="AG318" s="5" t="s">
        <v>817</v>
      </c>
      <c r="AH318" s="5"/>
      <c r="AI318" s="1396"/>
      <c r="AJ318" s="1396"/>
      <c r="AK318" s="1396"/>
      <c r="AL318" s="10"/>
      <c r="AN318" s="281"/>
    </row>
    <row r="319" spans="2:40" s="4" customFormat="1" ht="12.75" customHeight="1">
      <c r="B319" s="41" t="s">
        <v>87</v>
      </c>
      <c r="C319" s="41"/>
      <c r="D319" s="41"/>
      <c r="E319" s="41"/>
      <c r="F319" s="41"/>
      <c r="G319" s="41"/>
      <c r="H319" s="1260"/>
      <c r="I319" s="1260"/>
      <c r="J319" s="1260"/>
      <c r="K319" s="1260"/>
      <c r="L319" s="1260"/>
      <c r="M319" s="1260"/>
      <c r="N319" s="1260"/>
      <c r="O319" s="1260"/>
      <c r="P319" s="1260"/>
      <c r="Q319" s="1260"/>
      <c r="R319" s="1260"/>
      <c r="S319" s="41"/>
      <c r="T319" s="41" t="s">
        <v>87</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89</v>
      </c>
      <c r="C320" s="41"/>
      <c r="D320" s="41"/>
      <c r="E320" s="41"/>
      <c r="F320" s="41"/>
      <c r="G320" s="41"/>
      <c r="H320" s="1260"/>
      <c r="I320" s="1260"/>
      <c r="J320" s="1260"/>
      <c r="K320" s="1260"/>
      <c r="L320" s="1260"/>
      <c r="M320" s="1260"/>
      <c r="N320" s="1260"/>
      <c r="O320" s="1260"/>
      <c r="P320" s="1260"/>
      <c r="Q320" s="1260"/>
      <c r="R320" s="1260"/>
      <c r="S320" s="41"/>
      <c r="T320" s="41" t="s">
        <v>89</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100</v>
      </c>
      <c r="C321" s="41"/>
      <c r="D321" s="41"/>
      <c r="E321" s="41"/>
      <c r="F321" s="41"/>
      <c r="G321" s="41"/>
      <c r="H321" s="1674"/>
      <c r="I321" s="1674"/>
      <c r="J321" s="1674"/>
      <c r="K321" s="1674"/>
      <c r="L321" s="1674"/>
      <c r="M321" s="1674"/>
      <c r="N321" s="1674"/>
      <c r="O321" s="1674"/>
      <c r="P321" s="1674"/>
      <c r="Q321" s="1674"/>
      <c r="R321" s="1674"/>
      <c r="S321" s="41"/>
      <c r="T321" s="41" t="s">
        <v>100</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9"/>
      <c r="I323" s="1109"/>
      <c r="J323" s="1109"/>
      <c r="K323" s="1109"/>
      <c r="L323" s="1109"/>
      <c r="M323" s="1109"/>
      <c r="N323" s="1109"/>
      <c r="O323" s="1109"/>
      <c r="P323" s="1109"/>
      <c r="Q323" s="1109"/>
      <c r="R323" s="1109"/>
      <c r="S323"/>
      <c r="T323" s="41" t="s">
        <v>88</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698</v>
      </c>
      <c r="C324" s="41"/>
      <c r="D324" s="41"/>
      <c r="E324" s="41"/>
      <c r="F324" s="41"/>
      <c r="G324"/>
      <c r="H324" s="1260"/>
      <c r="I324" s="1260"/>
      <c r="J324" s="1260"/>
      <c r="K324" s="1260"/>
      <c r="L324" s="1260"/>
      <c r="M324" s="1260"/>
      <c r="N324" s="1260"/>
      <c r="O324" s="1260"/>
      <c r="P324" s="1260"/>
      <c r="Q324" s="1260"/>
      <c r="R324" s="1260"/>
      <c r="S324"/>
      <c r="T324" s="41" t="s">
        <v>698</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98</v>
      </c>
      <c r="C325" s="41"/>
      <c r="D325" s="41"/>
      <c r="E325" s="41"/>
      <c r="F325" s="41"/>
      <c r="G325"/>
      <c r="H325" s="1260"/>
      <c r="I325" s="1260"/>
      <c r="J325" s="1260"/>
      <c r="K325" s="1260"/>
      <c r="L325" s="1260"/>
      <c r="M325" s="1260"/>
      <c r="N325" s="1260"/>
      <c r="O325" s="1260"/>
      <c r="P325" s="1260"/>
      <c r="Q325" s="1260"/>
      <c r="R325" s="1260"/>
      <c r="S325"/>
      <c r="T325" s="41" t="s">
        <v>98</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373</v>
      </c>
      <c r="C326" s="41"/>
      <c r="D326" s="41"/>
      <c r="E326" s="41"/>
      <c r="F326" s="41"/>
      <c r="G326"/>
      <c r="H326" s="1260"/>
      <c r="I326" s="1260"/>
      <c r="J326" s="1260"/>
      <c r="K326" s="1260"/>
      <c r="L326" s="1260"/>
      <c r="M326" s="1260"/>
      <c r="N326" s="1260"/>
      <c r="O326" s="1260"/>
      <c r="P326" s="1260"/>
      <c r="Q326" s="1260"/>
      <c r="R326" s="1260"/>
      <c r="S326"/>
      <c r="T326" s="41" t="s">
        <v>373</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374</v>
      </c>
      <c r="C327" s="41"/>
      <c r="D327" s="41"/>
      <c r="E327" s="41"/>
      <c r="F327" s="41"/>
      <c r="G327" s="41"/>
      <c r="H327" s="1408"/>
      <c r="I327" s="1408"/>
      <c r="J327" s="1408"/>
      <c r="K327" s="1408"/>
      <c r="L327" s="1408"/>
      <c r="M327" s="1408"/>
      <c r="N327" s="5" t="s">
        <v>817</v>
      </c>
      <c r="O327" s="5"/>
      <c r="P327" s="1396"/>
      <c r="Q327" s="1396"/>
      <c r="R327" s="1396"/>
      <c r="S327" s="41"/>
      <c r="T327" s="41" t="s">
        <v>374</v>
      </c>
      <c r="U327"/>
      <c r="V327" s="41"/>
      <c r="W327" s="41"/>
      <c r="X327" s="41"/>
      <c r="Y327" s="41"/>
      <c r="Z327"/>
      <c r="AA327" s="1408"/>
      <c r="AB327" s="1408"/>
      <c r="AC327" s="1408"/>
      <c r="AD327" s="1408"/>
      <c r="AE327" s="1408"/>
      <c r="AF327" s="1408"/>
      <c r="AG327" s="5" t="s">
        <v>817</v>
      </c>
      <c r="AH327" s="5"/>
      <c r="AI327" s="1396"/>
      <c r="AJ327" s="1396"/>
      <c r="AK327" s="1396"/>
      <c r="AL327" s="41"/>
      <c r="AN327" s="281"/>
    </row>
    <row r="328" spans="1:76" s="4" customFormat="1" ht="12.75" customHeight="1">
      <c r="B328" s="41" t="s">
        <v>87</v>
      </c>
      <c r="C328" s="41"/>
      <c r="D328" s="41"/>
      <c r="E328" s="41"/>
      <c r="F328" s="41"/>
      <c r="G328" s="41"/>
      <c r="H328" s="1260"/>
      <c r="I328" s="1260"/>
      <c r="J328" s="1260"/>
      <c r="K328" s="1260"/>
      <c r="L328" s="1260"/>
      <c r="M328" s="1260"/>
      <c r="N328" s="1260"/>
      <c r="O328" s="1260"/>
      <c r="P328" s="1260"/>
      <c r="Q328" s="1260"/>
      <c r="R328" s="1260"/>
      <c r="S328" s="41"/>
      <c r="T328" s="41" t="s">
        <v>87</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89</v>
      </c>
      <c r="C329" s="41"/>
      <c r="D329" s="41"/>
      <c r="E329" s="41"/>
      <c r="F329" s="41"/>
      <c r="G329" s="41"/>
      <c r="H329" s="1260"/>
      <c r="I329" s="1260"/>
      <c r="J329" s="1260"/>
      <c r="K329" s="1260"/>
      <c r="L329" s="1260"/>
      <c r="M329" s="1260"/>
      <c r="N329" s="1260"/>
      <c r="O329" s="1260"/>
      <c r="P329" s="1260"/>
      <c r="Q329" s="1260"/>
      <c r="R329" s="1260"/>
      <c r="S329" s="41"/>
      <c r="T329" s="41" t="s">
        <v>89</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100</v>
      </c>
      <c r="C330" s="41"/>
      <c r="D330" s="41"/>
      <c r="E330" s="41"/>
      <c r="F330" s="41"/>
      <c r="G330" s="41"/>
      <c r="H330" s="1674"/>
      <c r="I330" s="1674"/>
      <c r="J330" s="1674"/>
      <c r="K330" s="1674"/>
      <c r="L330" s="1674"/>
      <c r="M330" s="1674"/>
      <c r="N330" s="1674"/>
      <c r="O330" s="1674"/>
      <c r="P330" s="1674"/>
      <c r="Q330" s="1674"/>
      <c r="R330" s="1674"/>
      <c r="S330" s="41"/>
      <c r="T330" s="41" t="s">
        <v>100</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1455</v>
      </c>
      <c r="C333" s="5"/>
      <c r="AC333" s="3"/>
      <c r="AE333" s="1723" t="s">
        <v>363</v>
      </c>
      <c r="AF333" s="1723"/>
      <c r="AG333" s="1723"/>
      <c r="AH333" s="1723"/>
      <c r="AI333" s="1723"/>
      <c r="AJ333" s="1723"/>
      <c r="AK333" s="1723"/>
      <c r="AL333" s="3"/>
      <c r="AM333" s="826"/>
      <c r="AN333" s="3"/>
    </row>
    <row r="334" spans="1:76" s="4" customFormat="1" ht="12.75" customHeight="1">
      <c r="A334" s="3"/>
      <c r="B334" s="5"/>
      <c r="C334" s="1714" t="s">
        <v>1829</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1830</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6"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2283</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1831</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3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899</v>
      </c>
      <c r="AP354" s="71">
        <f>IF(C379="Yes",5,0)</f>
        <v>5</v>
      </c>
      <c r="AS354" s="3" t="s">
        <v>1767</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2">
        <f>IF(AQ368=0,AQ381,AQ368)</f>
        <v>10</v>
      </c>
      <c r="AT355" s="1692"/>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900</v>
      </c>
      <c r="AP356" s="71">
        <f>IF(C389="Yes",5,0)</f>
        <v>0</v>
      </c>
      <c r="AS356" s="3" t="s">
        <v>1800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2">
        <f>IF(AND(AQ368&gt;0,AQ381&gt;0),(AQ368+AQ381)/2,0)</f>
        <v>0</v>
      </c>
      <c r="AT357" s="1692"/>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906</v>
      </c>
      <c r="AP358" s="71">
        <f>IF(C399="Yes",7,0)</f>
        <v>0</v>
      </c>
    </row>
    <row r="359" spans="1:46" s="4" customFormat="1" ht="12.75" customHeight="1">
      <c r="A359" s="27"/>
      <c r="B359" s="26"/>
      <c r="C359" s="1714" t="s">
        <v>1832</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5</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430</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0</v>
      </c>
    </row>
    <row r="363" spans="1:46" s="4" customFormat="1" ht="12.6"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170</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433</v>
      </c>
      <c r="AP365" s="71">
        <f>IF(C423="Yes",5,0)</f>
        <v>0</v>
      </c>
    </row>
    <row r="366" spans="1:46" s="4" customFormat="1" ht="12.75" customHeight="1">
      <c r="A366" s="27"/>
      <c r="B366" s="26"/>
      <c r="C366" s="1714" t="s">
        <v>1833</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609</v>
      </c>
      <c r="AP368" s="168">
        <f>SUM(AP354:AP367)</f>
        <v>10</v>
      </c>
      <c r="AQ368" s="1502">
        <f>IF(AP368&gt;0,AP368,0)</f>
        <v>10</v>
      </c>
      <c r="AR368" s="1502"/>
    </row>
    <row r="369" spans="1:153" s="4" customFormat="1" ht="12.6" customHeight="1">
      <c r="A369" s="27"/>
      <c r="B369" s="26"/>
      <c r="C369" s="4" t="s">
        <v>1482</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2307</v>
      </c>
      <c r="D370" s="692"/>
      <c r="E370" s="692"/>
      <c r="F370" s="692"/>
      <c r="G370" s="692"/>
      <c r="H370" s="692"/>
      <c r="I370" s="692"/>
      <c r="J370" s="692"/>
      <c r="K370" s="692"/>
      <c r="L370" s="692"/>
      <c r="M370" s="218"/>
      <c r="N370" s="218"/>
      <c r="O370" s="693"/>
      <c r="P370" s="692"/>
      <c r="Q370" s="692"/>
      <c r="R370" s="218"/>
      <c r="S370" s="218"/>
      <c r="T370" s="692"/>
      <c r="U370" s="1868">
        <f>Application!CQ649-U371</f>
        <v>63</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2308</v>
      </c>
      <c r="D371" s="170"/>
      <c r="E371" s="170"/>
      <c r="F371" s="170"/>
      <c r="G371" s="170"/>
      <c r="H371" s="170"/>
      <c r="I371" s="170"/>
      <c r="J371" s="170"/>
      <c r="K371" s="170"/>
      <c r="L371" s="170"/>
      <c r="M371" s="170"/>
      <c r="N371" s="170"/>
      <c r="O371" s="170"/>
      <c r="P371" s="170"/>
      <c r="Q371" s="170"/>
      <c r="R371" s="170"/>
      <c r="S371" s="170"/>
      <c r="T371" s="170"/>
      <c r="U371" s="1869">
        <f>IF(Application!D214="SRO",Application!CQ628,Application!AG733)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2284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2" t="s">
        <v>1776</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107</v>
      </c>
      <c r="D379" s="1100"/>
      <c r="E379" s="225"/>
      <c r="F379" s="346" t="s">
        <v>1768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1" t="s">
        <v>318</v>
      </c>
      <c r="AG379" s="1171"/>
      <c r="AH379" s="1171"/>
      <c r="AI379" s="1171"/>
      <c r="AJ379" s="1171"/>
      <c r="AK379" s="1171"/>
      <c r="AL379" s="1678"/>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2" t="s">
        <v>1775</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123</v>
      </c>
      <c r="D389" s="1100"/>
      <c r="E389" s="194"/>
      <c r="F389" s="346" t="s">
        <v>1769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318</v>
      </c>
      <c r="AG389" s="1171"/>
      <c r="AH389" s="1171"/>
      <c r="AI389" s="1171"/>
      <c r="AJ389" s="1171"/>
      <c r="AK389" s="1171"/>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1"/>
      <c r="D391" s="149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1"/>
      <c r="AG391" s="1171"/>
      <c r="AH391" s="1171"/>
      <c r="AI391" s="1171"/>
      <c r="AJ391" s="1171"/>
      <c r="AK391" s="1171"/>
      <c r="AL391" s="117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2" t="s">
        <v>1938</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123</v>
      </c>
      <c r="D399" s="1100"/>
      <c r="E399" s="194"/>
      <c r="F399" s="346" t="s">
        <v>1771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962</v>
      </c>
      <c r="AG399" s="1171"/>
      <c r="AH399" s="1171"/>
      <c r="AI399" s="1171"/>
      <c r="AJ399" s="1171"/>
      <c r="AK399" s="1171"/>
      <c r="AL399" s="1678"/>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107</v>
      </c>
      <c r="D401" s="1100"/>
      <c r="E401" s="194"/>
      <c r="F401" s="347" t="s">
        <v>1772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1" t="s">
        <v>318</v>
      </c>
      <c r="AG401" s="1171"/>
      <c r="AH401" s="1171"/>
      <c r="AI401" s="1171"/>
      <c r="AJ401" s="1171"/>
      <c r="AK401" s="1171"/>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2" t="s">
        <v>1774</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123</v>
      </c>
      <c r="D409" s="1100"/>
      <c r="E409" s="194"/>
      <c r="F409" s="346" t="s">
        <v>1773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318</v>
      </c>
      <c r="AG409" s="1171"/>
      <c r="AH409" s="1171"/>
      <c r="AI409" s="1171"/>
      <c r="AJ409" s="1171"/>
      <c r="AK409" s="1171"/>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123</v>
      </c>
      <c r="D411" s="1100"/>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1" t="s">
        <v>961</v>
      </c>
      <c r="AG411" s="1171"/>
      <c r="AH411" s="1171"/>
      <c r="AI411" s="1171"/>
      <c r="AJ411" s="1171"/>
      <c r="AK411" s="1171"/>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123</v>
      </c>
      <c r="D414" s="1100"/>
      <c r="E414" s="698" t="s">
        <v>192</v>
      </c>
      <c r="F414" s="1682" t="s">
        <v>1778</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1" t="s">
        <v>318</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2" t="s">
        <v>1780</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123</v>
      </c>
      <c r="D423" s="1100"/>
      <c r="E423" s="194"/>
      <c r="F423" s="346" t="s">
        <v>1777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318</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7" t="s">
        <v>123</v>
      </c>
      <c r="D425" s="1100"/>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961</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2285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2" t="s">
        <v>1781</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6"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123</v>
      </c>
      <c r="D432" s="1100"/>
      <c r="E432" s="194"/>
      <c r="F432" s="346" t="s">
        <v>1779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318</v>
      </c>
      <c r="AG432" s="1711"/>
      <c r="AH432" s="1711"/>
      <c r="AI432" s="1711"/>
      <c r="AJ432" s="1711"/>
      <c r="AK432" s="1711"/>
      <c r="AL432" s="1718"/>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2" t="s">
        <v>1782</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123</v>
      </c>
      <c r="D444" s="1100"/>
      <c r="E444" s="225"/>
      <c r="F444" s="20" t="s">
        <v>1783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318</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2" t="s">
        <v>1785</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123</v>
      </c>
      <c r="D451" s="1100"/>
      <c r="E451" s="225"/>
      <c r="F451" s="346" t="s">
        <v>1784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318</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966</v>
      </c>
      <c r="F455" s="1682" t="s">
        <v>968</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1" t="s">
        <v>318</v>
      </c>
      <c r="AG455" s="1721"/>
      <c r="AH455" s="1721"/>
      <c r="AI455" s="1721"/>
      <c r="AJ455" s="1721"/>
      <c r="AK455" s="1721"/>
      <c r="AL455" s="1722"/>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0" t="s">
        <v>123</v>
      </c>
      <c r="D459" s="1871"/>
      <c r="E459" s="698" t="s">
        <v>967</v>
      </c>
      <c r="F459" s="1682" t="s">
        <v>1822</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1" t="s">
        <v>318</v>
      </c>
      <c r="AG459" s="1721"/>
      <c r="AH459" s="1721"/>
      <c r="AI459" s="1721"/>
      <c r="AJ459" s="1721"/>
      <c r="AK459" s="1721"/>
      <c r="AL459" s="1722"/>
      <c r="AM459"/>
      <c r="AN459" s="670"/>
      <c r="AO459" s="4" t="s">
        <v>1326</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1322</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1323</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1324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1211</v>
      </c>
      <c r="AP463" s="4">
        <v>5</v>
      </c>
    </row>
    <row r="464" spans="1:49" s="4" customFormat="1" ht="12.75" customHeight="1">
      <c r="A464" s="5"/>
      <c r="B464" s="21"/>
      <c r="C464" s="696"/>
      <c r="D464" s="697"/>
      <c r="E464" s="698" t="s">
        <v>965</v>
      </c>
      <c r="F464" s="1682" t="s">
        <v>1823</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1325</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974</v>
      </c>
      <c r="BA465" s="345" t="s">
        <v>975</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1903</v>
      </c>
      <c r="AS467" s="35">
        <v>3</v>
      </c>
      <c r="AT467" s="29"/>
      <c r="AW467" s="348">
        <v>0.4</v>
      </c>
      <c r="AX467" s="29">
        <v>3</v>
      </c>
      <c r="BA467" s="348">
        <v>0.4</v>
      </c>
      <c r="BB467" s="29">
        <v>4</v>
      </c>
    </row>
    <row r="468" spans="1:54" s="4" customFormat="1" ht="12.75" customHeight="1">
      <c r="A468" s="5"/>
      <c r="B468" s="21"/>
      <c r="C468" s="1687" t="s">
        <v>123</v>
      </c>
      <c r="D468" s="1100"/>
      <c r="E468" s="225"/>
      <c r="F468" s="346" t="s">
        <v>1777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1" t="s">
        <v>318</v>
      </c>
      <c r="AG468" s="1171"/>
      <c r="AH468" s="1171"/>
      <c r="AI468" s="1171"/>
      <c r="AJ468" s="1171"/>
      <c r="AK468" s="1171"/>
      <c r="AL468" s="1678"/>
      <c r="AM468"/>
      <c r="AN468" s="281"/>
      <c r="AO468" s="348">
        <v>0.12</v>
      </c>
      <c r="AP468" s="35">
        <v>5</v>
      </c>
      <c r="AR468" s="4" t="s">
        <v>1904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1836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1456</v>
      </c>
      <c r="C477" s="3"/>
      <c r="E477" s="20"/>
      <c r="AE477" s="1171" t="s">
        <v>1248</v>
      </c>
      <c r="AF477" s="1171"/>
      <c r="AG477" s="1171"/>
      <c r="AH477" s="1171"/>
      <c r="AI477" s="1171"/>
      <c r="AJ477" s="1171"/>
      <c r="AK477" s="1171"/>
      <c r="AL477" s="18"/>
      <c r="AN477" s="281"/>
      <c r="AO477" s="4" t="s">
        <v>969</v>
      </c>
      <c r="AP477" s="4">
        <v>5</v>
      </c>
    </row>
    <row r="478" spans="1:54" s="4" customFormat="1" ht="12.75" hidden="1" customHeight="1">
      <c r="A478" s="3"/>
      <c r="B478" s="5" t="s">
        <v>1484</v>
      </c>
      <c r="C478" s="3"/>
      <c r="E478" s="20"/>
      <c r="AE478" s="18"/>
      <c r="AF478" s="18"/>
      <c r="AG478" s="18"/>
      <c r="AH478" s="18"/>
      <c r="AI478" s="18"/>
      <c r="AJ478" s="18"/>
      <c r="AK478" s="18"/>
      <c r="AL478" s="18"/>
      <c r="AN478" s="281"/>
      <c r="AO478" s="4" t="s">
        <v>1148</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1326</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1322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1323</v>
      </c>
      <c r="AP481" s="4">
        <v>5</v>
      </c>
      <c r="AQ481" s="3"/>
      <c r="AR481" s="3"/>
      <c r="AW481" s="120"/>
    </row>
    <row r="482" spans="1:50" s="4" customFormat="1" ht="12.75" hidden="1" customHeight="1">
      <c r="A482" s="3"/>
      <c r="C482" s="182" t="s">
        <v>1457</v>
      </c>
      <c r="D482"/>
      <c r="AE482" s="18"/>
      <c r="AF482" s="18"/>
      <c r="AG482" s="20"/>
      <c r="AH482" s="20"/>
      <c r="AI482" s="20"/>
      <c r="AJ482" s="20"/>
      <c r="AK482" s="20"/>
      <c r="AL482" s="20"/>
      <c r="AN482" s="281"/>
      <c r="AO482" s="4" t="s">
        <v>1324</v>
      </c>
      <c r="AP482" s="4">
        <v>5</v>
      </c>
      <c r="AW482" s="120"/>
    </row>
    <row r="483" spans="1:50" s="4" customFormat="1" ht="12.75" hidden="1" customHeight="1">
      <c r="A483" s="3"/>
      <c r="C483" s="1685" t="s">
        <v>123</v>
      </c>
      <c r="D483" s="1686"/>
      <c r="E483" s="749" t="s">
        <v>194</v>
      </c>
      <c r="F483" s="1719" t="s">
        <v>971</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1905</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1325</v>
      </c>
      <c r="AP484" s="4">
        <v>1</v>
      </c>
    </row>
    <row r="485" spans="1:50" s="4" customFormat="1" ht="12.75" hidden="1" customHeight="1">
      <c r="C485" s="727"/>
      <c r="D485" s="714"/>
      <c r="E485" s="728"/>
      <c r="F485" s="1363" t="s">
        <v>123</v>
      </c>
      <c r="G485" s="1363"/>
      <c r="H485" s="1363"/>
      <c r="I485" s="1363"/>
      <c r="J485" s="1363"/>
      <c r="K485" s="1363"/>
      <c r="L485" s="1363"/>
      <c r="M485" s="1363"/>
      <c r="N485" s="1363"/>
      <c r="O485" s="1363"/>
      <c r="P485" s="1363"/>
      <c r="Q485" s="1363"/>
      <c r="R485" s="1363"/>
      <c r="S485" s="1363"/>
      <c r="T485" s="1363"/>
      <c r="U485" s="1363"/>
      <c r="V485" s="1363"/>
      <c r="W485" s="1363"/>
      <c r="X485" s="1363"/>
      <c r="Y485" s="1363"/>
      <c r="Z485" s="1363"/>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301</v>
      </c>
      <c r="F487" s="733" t="s">
        <v>1330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1212</v>
      </c>
      <c r="F488" s="252" t="s">
        <v>1485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9" t="s">
        <v>123</v>
      </c>
      <c r="W490" s="1679"/>
      <c r="X490" s="1679"/>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1918</v>
      </c>
      <c r="G492" s="4"/>
      <c r="H492" s="4"/>
      <c r="I492" s="252"/>
      <c r="J492" s="252"/>
      <c r="K492" s="252"/>
      <c r="L492" s="252"/>
      <c r="M492" s="252"/>
      <c r="N492" s="252"/>
      <c r="O492" s="252"/>
      <c r="P492" s="252"/>
      <c r="Q492" s="252"/>
      <c r="R492" s="252"/>
      <c r="S492" s="252"/>
      <c r="T492" s="252"/>
      <c r="U492" s="252"/>
      <c r="V492" s="1679" t="s">
        <v>123</v>
      </c>
      <c r="W492" s="1679"/>
      <c r="X492" s="1679"/>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1329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1332</v>
      </c>
      <c r="AP494" s="35">
        <v>2</v>
      </c>
    </row>
    <row r="495" spans="1:50" s="4" customFormat="1" ht="12.75" hidden="1" customHeight="1">
      <c r="C495" s="726"/>
      <c r="F495" s="90" t="s">
        <v>1901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1902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1331</v>
      </c>
      <c r="M497" s="143"/>
      <c r="N497" s="143"/>
      <c r="O497" s="143"/>
      <c r="P497" s="143"/>
      <c r="Q497" s="19"/>
      <c r="R497" s="19"/>
      <c r="S497" s="19"/>
      <c r="T497" s="19"/>
      <c r="U497" s="19"/>
      <c r="V497" s="1679" t="s">
        <v>123</v>
      </c>
      <c r="W497" s="1679"/>
      <c r="X497" s="1679"/>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1213</v>
      </c>
      <c r="D499" s="697"/>
      <c r="E499" s="697"/>
      <c r="F499" s="741" t="s">
        <v>1328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8"/>
      <c r="E500" s="1338"/>
      <c r="F500" s="252" t="s">
        <v>1327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1338</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9" t="s">
        <v>123</v>
      </c>
      <c r="W501" s="1679"/>
      <c r="X501" s="1679"/>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1339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1918</v>
      </c>
      <c r="G503" s="729"/>
      <c r="H503" s="729"/>
      <c r="I503" s="714"/>
      <c r="J503" s="714"/>
      <c r="K503" s="714"/>
      <c r="L503" s="714"/>
      <c r="M503" s="714"/>
      <c r="N503" s="714"/>
      <c r="O503" s="714"/>
      <c r="P503" s="714"/>
      <c r="Q503" s="714"/>
      <c r="R503" s="714"/>
      <c r="S503" s="714"/>
      <c r="T503" s="714"/>
      <c r="U503" s="714"/>
      <c r="V503" s="1679" t="s">
        <v>123</v>
      </c>
      <c r="W503" s="1679"/>
      <c r="X503" s="1679"/>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6" t="s">
        <v>656</v>
      </c>
      <c r="AV504" s="1707"/>
      <c r="AW504" s="1707"/>
      <c r="AX504" s="1707"/>
      <c r="AY504" s="1707"/>
      <c r="AZ504" s="1707"/>
      <c r="BA504" s="1707"/>
      <c r="BB504" s="20"/>
      <c r="BC504" s="20"/>
      <c r="BE504" s="4"/>
      <c r="BF504" s="4"/>
      <c r="BG504" s="4"/>
      <c r="BH504" s="4"/>
      <c r="BI504" s="4"/>
      <c r="BJ504" s="1704" t="s">
        <v>30</v>
      </c>
      <c r="BK504" s="1705"/>
      <c r="BL504" s="1705"/>
      <c r="BM504" s="1705"/>
      <c r="BN504" s="1705"/>
      <c r="BO504" s="1705"/>
      <c r="BP504" s="170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1458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6"/>
      <c r="AV505" s="1707"/>
      <c r="AW505" s="1707"/>
      <c r="AX505" s="1707"/>
      <c r="AY505" s="1707"/>
      <c r="AZ505" s="1707"/>
      <c r="BA505" s="1707"/>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120"/>
      <c r="B506" s="4"/>
      <c r="C506" s="1685" t="s">
        <v>123</v>
      </c>
      <c r="D506" s="1686"/>
      <c r="E506" s="742" t="s">
        <v>194</v>
      </c>
      <c r="F506" s="1719" t="s">
        <v>971</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12" t="s">
        <v>1489</v>
      </c>
      <c r="AQ507" s="1513"/>
      <c r="AR507" s="1514"/>
      <c r="AS507" s="624">
        <v>80</v>
      </c>
      <c r="AT507" s="4">
        <v>0</v>
      </c>
      <c r="AU507" s="160">
        <v>10</v>
      </c>
      <c r="AV507" s="160">
        <v>25</v>
      </c>
      <c r="AW507" s="160">
        <v>37.5</v>
      </c>
      <c r="AX507" s="160">
        <v>35</v>
      </c>
      <c r="AY507" s="160">
        <v>37.5</v>
      </c>
      <c r="AZ507" s="160">
        <v>50</v>
      </c>
      <c r="BA507" s="160">
        <v>50</v>
      </c>
      <c r="BB507" s="21"/>
      <c r="BC507" s="21"/>
      <c r="BE507" s="1512" t="s">
        <v>1489</v>
      </c>
      <c r="BF507" s="1513"/>
      <c r="BG507" s="151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973</v>
      </c>
      <c r="AI508" s="731"/>
      <c r="AJ508" s="730"/>
      <c r="AK508" s="715"/>
      <c r="AL508" s="4"/>
      <c r="AM508" s="4"/>
      <c r="AN508" s="669"/>
      <c r="AO508" s="38"/>
      <c r="AP508" s="1515"/>
      <c r="AQ508" s="1516"/>
      <c r="AR508" s="1517"/>
      <c r="AS508" s="624">
        <v>75</v>
      </c>
      <c r="AT508" s="4">
        <v>0</v>
      </c>
      <c r="AU508" s="160">
        <v>10</v>
      </c>
      <c r="AV508" s="160">
        <v>25</v>
      </c>
      <c r="AW508" s="160">
        <v>37.5</v>
      </c>
      <c r="AX508" s="160">
        <v>35</v>
      </c>
      <c r="AY508" s="160">
        <v>37.5</v>
      </c>
      <c r="AZ508" s="160">
        <v>50</v>
      </c>
      <c r="BA508" s="160">
        <v>50</v>
      </c>
      <c r="BB508" s="21"/>
      <c r="BC508" s="21"/>
      <c r="BE508" s="1515"/>
      <c r="BF508" s="1516"/>
      <c r="BG508" s="151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5"/>
      <c r="AQ509" s="1516"/>
      <c r="AR509" s="1517"/>
      <c r="AS509" s="624">
        <v>70</v>
      </c>
      <c r="AT509" s="4">
        <v>0</v>
      </c>
      <c r="AU509" s="160">
        <v>10</v>
      </c>
      <c r="AV509" s="160">
        <v>25</v>
      </c>
      <c r="AW509" s="160">
        <v>37.5</v>
      </c>
      <c r="AX509" s="160">
        <v>35</v>
      </c>
      <c r="AY509" s="160">
        <v>37.5</v>
      </c>
      <c r="AZ509" s="160">
        <v>50</v>
      </c>
      <c r="BA509" s="160">
        <v>50</v>
      </c>
      <c r="BB509" s="21"/>
      <c r="BC509" s="21"/>
      <c r="BE509" s="1515"/>
      <c r="BF509" s="1516"/>
      <c r="BG509" s="151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123</v>
      </c>
      <c r="D510" s="1686"/>
      <c r="E510" s="742" t="s">
        <v>301</v>
      </c>
      <c r="F510" s="1872" t="s">
        <v>1149</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5"/>
      <c r="AQ510" s="1516"/>
      <c r="AR510" s="1517"/>
      <c r="AS510" s="624">
        <v>65</v>
      </c>
      <c r="AT510" s="4">
        <v>0</v>
      </c>
      <c r="AU510" s="160">
        <v>10</v>
      </c>
      <c r="AV510" s="160">
        <v>25</v>
      </c>
      <c r="AW510" s="160">
        <v>37.5</v>
      </c>
      <c r="AX510" s="160">
        <v>35</v>
      </c>
      <c r="AY510" s="160">
        <v>37.5</v>
      </c>
      <c r="AZ510" s="160">
        <v>50</v>
      </c>
      <c r="BA510" s="160">
        <v>50</v>
      </c>
      <c r="BB510" s="21"/>
      <c r="BC510" s="21"/>
      <c r="BE510" s="1515"/>
      <c r="BF510" s="1516"/>
      <c r="BG510" s="151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5"/>
      <c r="AQ511" s="1516"/>
      <c r="AR511" s="1517"/>
      <c r="AS511" s="624">
        <v>60</v>
      </c>
      <c r="AT511" s="4">
        <v>0</v>
      </c>
      <c r="AU511" s="160">
        <v>10</v>
      </c>
      <c r="AV511" s="160">
        <v>25</v>
      </c>
      <c r="AW511" s="160">
        <v>37.5</v>
      </c>
      <c r="AX511" s="160">
        <v>35</v>
      </c>
      <c r="AY511" s="160">
        <v>37.5</v>
      </c>
      <c r="AZ511" s="160">
        <v>50</v>
      </c>
      <c r="BA511" s="160">
        <v>50</v>
      </c>
      <c r="BB511" s="21"/>
      <c r="BC511" s="21"/>
      <c r="BE511" s="1515"/>
      <c r="BF511" s="1516"/>
      <c r="BG511" s="151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5"/>
      <c r="AQ512" s="1516"/>
      <c r="AR512" s="1517"/>
      <c r="AS512" s="624">
        <v>55</v>
      </c>
      <c r="AT512" s="4">
        <v>0</v>
      </c>
      <c r="AU512" s="160">
        <v>10</v>
      </c>
      <c r="AV512" s="160">
        <v>25</v>
      </c>
      <c r="AW512" s="160">
        <v>37.5</v>
      </c>
      <c r="AX512" s="160">
        <v>35</v>
      </c>
      <c r="AY512" s="160">
        <v>37.5</v>
      </c>
      <c r="AZ512" s="160">
        <v>50</v>
      </c>
      <c r="BA512" s="160">
        <v>50</v>
      </c>
      <c r="BE512" s="1515"/>
      <c r="BF512" s="1516"/>
      <c r="BG512" s="151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5"/>
      <c r="AQ513" s="1516"/>
      <c r="AR513" s="1517"/>
      <c r="AS513" s="159">
        <v>50</v>
      </c>
      <c r="AT513" s="4">
        <v>0</v>
      </c>
      <c r="AU513" s="160">
        <v>10</v>
      </c>
      <c r="AV513" s="160">
        <v>25</v>
      </c>
      <c r="AW513" s="160">
        <v>37.5</v>
      </c>
      <c r="AX513" s="160">
        <v>35</v>
      </c>
      <c r="AY513" s="160">
        <v>37.5</v>
      </c>
      <c r="AZ513" s="160">
        <v>50</v>
      </c>
      <c r="BA513" s="160">
        <v>50</v>
      </c>
      <c r="BE513" s="1515"/>
      <c r="BF513" s="1516"/>
      <c r="BG513" s="151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5"/>
      <c r="AQ514" s="1516"/>
      <c r="AR514" s="1517"/>
      <c r="AS514" s="159">
        <v>45</v>
      </c>
      <c r="AT514" s="4">
        <v>0</v>
      </c>
      <c r="AU514" s="160">
        <v>10</v>
      </c>
      <c r="AV514" s="160">
        <v>22.5</v>
      </c>
      <c r="AW514" s="160">
        <v>33.799999999999997</v>
      </c>
      <c r="AX514" s="160">
        <v>35</v>
      </c>
      <c r="AY514" s="160">
        <v>37.5</v>
      </c>
      <c r="AZ514" s="160">
        <v>50</v>
      </c>
      <c r="BA514" s="160">
        <v>50</v>
      </c>
      <c r="BE514" s="1515"/>
      <c r="BF514" s="1516"/>
      <c r="BG514" s="151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123</v>
      </c>
      <c r="D515" s="1686"/>
      <c r="E515" s="742" t="s">
        <v>1251</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5"/>
      <c r="AQ515" s="1516"/>
      <c r="AR515" s="1517"/>
      <c r="AS515" s="159">
        <v>40</v>
      </c>
      <c r="AT515" s="4">
        <v>0</v>
      </c>
      <c r="AU515" s="160">
        <v>10</v>
      </c>
      <c r="AV515" s="160">
        <v>20</v>
      </c>
      <c r="AW515" s="160">
        <v>30</v>
      </c>
      <c r="AX515" s="160">
        <v>35</v>
      </c>
      <c r="AY515" s="160">
        <v>37.5</v>
      </c>
      <c r="AZ515" s="160">
        <v>50</v>
      </c>
      <c r="BA515" s="160">
        <v>50</v>
      </c>
      <c r="BE515" s="1515"/>
      <c r="BF515" s="1516"/>
      <c r="BG515" s="151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5"/>
      <c r="AQ516" s="1516"/>
      <c r="AR516" s="1517"/>
      <c r="AS516" s="159">
        <v>35</v>
      </c>
      <c r="AT516" s="4">
        <v>0</v>
      </c>
      <c r="AU516" s="160">
        <v>8.8000000000000007</v>
      </c>
      <c r="AV516" s="160">
        <v>17.5</v>
      </c>
      <c r="AW516" s="160">
        <v>26.3</v>
      </c>
      <c r="AX516" s="160">
        <v>35</v>
      </c>
      <c r="AY516" s="160">
        <v>37.5</v>
      </c>
      <c r="AZ516" s="160">
        <v>50</v>
      </c>
      <c r="BA516" s="160">
        <v>50</v>
      </c>
      <c r="BE516" s="1515"/>
      <c r="BF516" s="1516"/>
      <c r="BG516" s="151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8"/>
      <c r="E517" s="189"/>
      <c r="F517" s="19" t="s">
        <v>1253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5"/>
      <c r="AQ517" s="1516"/>
      <c r="AR517" s="1517"/>
      <c r="AS517" s="159">
        <v>30</v>
      </c>
      <c r="AT517" s="4">
        <v>0</v>
      </c>
      <c r="AU517" s="160">
        <v>7.5</v>
      </c>
      <c r="AV517" s="160">
        <v>15</v>
      </c>
      <c r="AW517" s="160">
        <v>22.5</v>
      </c>
      <c r="AX517" s="160">
        <v>30</v>
      </c>
      <c r="AY517" s="160">
        <v>37.5</v>
      </c>
      <c r="AZ517" s="160">
        <v>45</v>
      </c>
      <c r="BA517" s="160">
        <v>50</v>
      </c>
      <c r="BE517" s="1515"/>
      <c r="BF517" s="1516"/>
      <c r="BG517" s="151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123</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5"/>
      <c r="AQ518" s="1516"/>
      <c r="AR518" s="1517"/>
      <c r="AS518" s="159">
        <v>25</v>
      </c>
      <c r="AT518" s="4">
        <v>0</v>
      </c>
      <c r="AU518" s="160">
        <v>6.3</v>
      </c>
      <c r="AV518" s="160">
        <v>12.5</v>
      </c>
      <c r="AW518" s="160">
        <v>18.8</v>
      </c>
      <c r="AX518" s="160">
        <v>25</v>
      </c>
      <c r="AY518" s="160">
        <v>31.3</v>
      </c>
      <c r="AZ518" s="160">
        <v>37.5</v>
      </c>
      <c r="BA518" s="160">
        <v>50</v>
      </c>
      <c r="BE518" s="1515"/>
      <c r="BF518" s="1516"/>
      <c r="BG518" s="151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5"/>
      <c r="AQ519" s="1516"/>
      <c r="AR519" s="1517"/>
      <c r="AS519" s="159">
        <v>20</v>
      </c>
      <c r="AT519" s="4">
        <v>0</v>
      </c>
      <c r="AU519" s="160">
        <v>5</v>
      </c>
      <c r="AV519" s="160">
        <v>10</v>
      </c>
      <c r="AW519" s="160">
        <v>15</v>
      </c>
      <c r="AX519" s="160">
        <v>20</v>
      </c>
      <c r="AY519" s="160">
        <v>25</v>
      </c>
      <c r="AZ519" s="160">
        <v>30</v>
      </c>
      <c r="BA519" s="160">
        <v>40</v>
      </c>
      <c r="BE519" s="1515"/>
      <c r="BF519" s="1516"/>
      <c r="BG519" s="151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123</v>
      </c>
      <c r="D520" s="1691"/>
      <c r="F520" s="19" t="s">
        <v>1254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5"/>
      <c r="AQ520" s="1516"/>
      <c r="AR520" s="1517"/>
      <c r="AS520" s="159">
        <v>15</v>
      </c>
      <c r="AT520" s="4">
        <v>0</v>
      </c>
      <c r="AU520" s="160">
        <v>3.8</v>
      </c>
      <c r="AV520" s="160">
        <v>7.5</v>
      </c>
      <c r="AW520" s="160">
        <v>11.3</v>
      </c>
      <c r="AX520" s="160">
        <v>15</v>
      </c>
      <c r="AY520" s="160">
        <v>18.8</v>
      </c>
      <c r="AZ520" s="160">
        <v>22.5</v>
      </c>
      <c r="BA520" s="160">
        <v>30</v>
      </c>
      <c r="BE520" s="1515"/>
      <c r="BF520" s="1516"/>
      <c r="BG520" s="151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8"/>
      <c r="AQ521" s="1519"/>
      <c r="AR521" s="1520"/>
      <c r="AS521" s="159">
        <v>10</v>
      </c>
      <c r="AT521" s="4">
        <v>0</v>
      </c>
      <c r="AU521" s="160">
        <v>2.5</v>
      </c>
      <c r="AV521" s="160">
        <v>5</v>
      </c>
      <c r="AW521" s="160">
        <v>7.5</v>
      </c>
      <c r="AX521" s="160">
        <v>10</v>
      </c>
      <c r="AY521" s="160">
        <v>12.5</v>
      </c>
      <c r="AZ521" s="160">
        <v>15</v>
      </c>
      <c r="BA521" s="160">
        <v>20</v>
      </c>
      <c r="BE521" s="1518"/>
      <c r="BF521" s="1519"/>
      <c r="BG521" s="152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1249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123</v>
      </c>
      <c r="D524" s="1691"/>
      <c r="F524" s="496"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3">
        <f>BJ528</f>
        <v>36</v>
      </c>
      <c r="BE524" s="1703"/>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1120</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3">
        <f>SUM(E581:J589)</f>
        <v>22</v>
      </c>
      <c r="BE525" s="1703"/>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1">
        <v>0</v>
      </c>
      <c r="BK526" s="170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1">
        <f>Application!AG431</f>
        <v>0</v>
      </c>
      <c r="BK527" s="1702"/>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123</v>
      </c>
      <c r="D528" s="1100"/>
      <c r="E528" s="495" t="s">
        <v>1252</v>
      </c>
      <c r="F528" s="252" t="s">
        <v>1340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1">
        <f>Application!AG433</f>
        <v>36</v>
      </c>
      <c r="BK528" s="1702"/>
      <c r="BM528" s="1698"/>
      <c r="BN528" s="1700"/>
      <c r="BO528" s="1698"/>
      <c r="BP528" s="1700"/>
      <c r="BQ528" s="1708"/>
      <c r="BR528" s="1710"/>
      <c r="BS528" s="1708"/>
      <c r="BT528" s="1710"/>
      <c r="BU528" s="1698">
        <f>IF(T611&gt;0,1,0)</f>
        <v>1</v>
      </c>
      <c r="BV528" s="1700"/>
      <c r="BW528" s="1698">
        <f>IF(Y611&gt;=0.1,1,0)</f>
        <v>1</v>
      </c>
      <c r="BX528" s="1700"/>
      <c r="BY528" s="1708"/>
      <c r="BZ528" s="1710"/>
      <c r="CA528" s="1708"/>
      <c r="CB528" s="1710"/>
      <c r="CC528" s="1698"/>
      <c r="CD528" s="1700"/>
      <c r="CE528" s="1698"/>
      <c r="CF528" s="1700"/>
      <c r="CG528"/>
      <c r="CH528"/>
      <c r="CI528"/>
      <c r="CJ528"/>
    </row>
    <row r="529" spans="1:101" s="4" customFormat="1" ht="12.75" hidden="1" customHeight="1">
      <c r="C529" s="699"/>
      <c r="E529" s="143"/>
      <c r="F529" s="1101" t="s">
        <v>123</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8"/>
      <c r="BN529" s="1700"/>
      <c r="BO529" s="1698"/>
      <c r="BP529" s="1700"/>
      <c r="BQ529" s="1708"/>
      <c r="BR529" s="1710"/>
      <c r="BS529" s="1708"/>
      <c r="BT529" s="1710"/>
      <c r="BU529" s="1698"/>
      <c r="BV529" s="1700"/>
      <c r="BW529" s="1698"/>
      <c r="BX529" s="1700"/>
      <c r="BY529" s="1708">
        <f>IF(T612&gt;0,1,0)</f>
        <v>1</v>
      </c>
      <c r="BZ529" s="1710"/>
      <c r="CA529" s="1708">
        <f>IF(Y612&gt;=0.1,1,0)</f>
        <v>1</v>
      </c>
      <c r="CB529" s="1710"/>
      <c r="CC529" s="1698"/>
      <c r="CD529" s="1700"/>
      <c r="CE529" s="1698"/>
      <c r="CF529" s="1700"/>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8"/>
      <c r="BN530" s="1700"/>
      <c r="BO530" s="1698"/>
      <c r="BP530" s="1700"/>
      <c r="BQ530" s="1708"/>
      <c r="BR530" s="1710"/>
      <c r="BS530" s="1708"/>
      <c r="BT530" s="1710"/>
      <c r="BU530" s="1698"/>
      <c r="BV530" s="1700"/>
      <c r="BW530" s="1698"/>
      <c r="BX530" s="1700"/>
      <c r="BY530" s="1708"/>
      <c r="BZ530" s="1710"/>
      <c r="CA530" s="1708"/>
      <c r="CB530" s="1710"/>
      <c r="CC530" s="1698">
        <f>IF(T613&gt;0,1,0)</f>
        <v>0</v>
      </c>
      <c r="CD530" s="1700"/>
      <c r="CE530" s="1698">
        <f>IF(Y613&gt;=0.1,1,0)</f>
        <v>0</v>
      </c>
      <c r="CF530" s="170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8">
        <f>SUM(BM526:BN530)</f>
        <v>0</v>
      </c>
      <c r="BN531" s="1700"/>
      <c r="BO531" s="1698">
        <f>SUM(BO526:BP530)</f>
        <v>0</v>
      </c>
      <c r="BP531" s="1700"/>
      <c r="BQ531" s="1698">
        <f>SUM(BQ526:BR530)</f>
        <v>1</v>
      </c>
      <c r="BR531" s="1700"/>
      <c r="BS531" s="1698">
        <f>SUM(BS526:BT530)</f>
        <v>1</v>
      </c>
      <c r="BT531" s="1700"/>
      <c r="BU531" s="1698">
        <f>SUM(BU526:BV530)</f>
        <v>1</v>
      </c>
      <c r="BV531" s="1700"/>
      <c r="BW531" s="1698">
        <f>SUM(BW526:BX530)</f>
        <v>1</v>
      </c>
      <c r="BX531" s="1700"/>
      <c r="BY531" s="1698">
        <f>SUM(BY526:BZ530)</f>
        <v>1</v>
      </c>
      <c r="BZ531" s="1700"/>
      <c r="CA531" s="1698">
        <f>SUM(CA526:CB530)</f>
        <v>1</v>
      </c>
      <c r="CB531" s="1700"/>
      <c r="CC531" s="1698">
        <f>SUM(CC526:CD530)</f>
        <v>0</v>
      </c>
      <c r="CD531" s="1700"/>
      <c r="CE531" s="1698">
        <f>SUM(CE526:CF530)</f>
        <v>0</v>
      </c>
      <c r="CF531" s="1700"/>
      <c r="CG531"/>
      <c r="CH531"/>
      <c r="CI531"/>
      <c r="CJ531"/>
    </row>
    <row r="532" spans="1:101" s="4" customFormat="1" ht="12.75" hidden="1" customHeight="1">
      <c r="A532" s="35"/>
      <c r="B532" s="4" t="s">
        <v>1333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454</v>
      </c>
      <c r="AQ532" s="1716"/>
      <c r="AR532" s="1716"/>
      <c r="AS532" s="1716"/>
      <c r="AT532" s="1717"/>
      <c r="AU532" s="1715" t="s">
        <v>455</v>
      </c>
      <c r="AV532" s="1716"/>
      <c r="AW532" s="1716"/>
      <c r="AX532" s="1716"/>
      <c r="AY532" s="1717"/>
      <c r="BM532" s="1708">
        <f>SUM(BM531:BP531)</f>
        <v>0</v>
      </c>
      <c r="BN532" s="1709"/>
      <c r="BO532" s="1709"/>
      <c r="BP532" s="1710"/>
      <c r="BQ532" s="1708">
        <f>SUM(BQ531:BT531)</f>
        <v>2</v>
      </c>
      <c r="BR532" s="1709"/>
      <c r="BS532" s="1709"/>
      <c r="BT532" s="1710"/>
      <c r="BU532" s="1708">
        <f>SUM(BU531:BX531)</f>
        <v>2</v>
      </c>
      <c r="BV532" s="1709"/>
      <c r="BW532" s="1709"/>
      <c r="BX532" s="1710"/>
      <c r="BY532" s="1708">
        <f>SUM(BY531:CB531)</f>
        <v>2</v>
      </c>
      <c r="BZ532" s="1709"/>
      <c r="CA532" s="1709"/>
      <c r="CB532" s="1710"/>
      <c r="CC532" s="1708">
        <f>SUM(CC531:CF531)</f>
        <v>0</v>
      </c>
      <c r="CD532" s="1709"/>
      <c r="CE532" s="1709"/>
      <c r="CF532" s="1710"/>
      <c r="CG532"/>
      <c r="CH532"/>
      <c r="CI532"/>
      <c r="CJ532"/>
    </row>
    <row r="533" spans="1:101" s="4" customFormat="1" ht="12.75" hidden="1" customHeight="1">
      <c r="A533" s="35"/>
      <c r="B533" s="4" t="s">
        <v>1334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3">
        <f>RANK(T609,$T$609:$X$613,0)+COUNTIF($T$609:$X$613,T609)-1</f>
        <v>5</v>
      </c>
      <c r="AQ533" s="1694"/>
      <c r="AR533" s="1694"/>
      <c r="AS533" s="1694"/>
      <c r="AT533" s="1695"/>
      <c r="AU533" s="1693">
        <f>RANK(Y609,$Y$609:$AC$613,0)+COUNTIF($Y$609:$AC$613,Y609)-1</f>
        <v>5</v>
      </c>
      <c r="AV533" s="1694"/>
      <c r="AW533" s="1694"/>
      <c r="AX533" s="1694"/>
      <c r="AY533" s="1695"/>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2106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3">
        <f>RANK(T610,$T$609:$X$613,0)+COUNTIF($T$609:$X$613,T610)-1</f>
        <v>3</v>
      </c>
      <c r="AQ534" s="1694"/>
      <c r="AR534" s="1694"/>
      <c r="AS534" s="1694"/>
      <c r="AT534" s="1695"/>
      <c r="AU534" s="1693">
        <f>RANK(Y610,$Y$609:$AC$613,0)+COUNTIF($Y$609:$AC$613,Y610)-1</f>
        <v>3</v>
      </c>
      <c r="AV534" s="1694"/>
      <c r="AW534" s="1694"/>
      <c r="AX534" s="1694"/>
      <c r="AY534" s="1695"/>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1486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3">
        <f>RANK(T611,$T$609:$X$613,0)+COUNTIF($T$609:$X$613,T611)-1</f>
        <v>3</v>
      </c>
      <c r="AQ535" s="1694"/>
      <c r="AR535" s="1694"/>
      <c r="AS535" s="1694"/>
      <c r="AT535" s="1695"/>
      <c r="AU535" s="1693">
        <f>RANK(Y611,$Y$609:$AC$613,0)+COUNTIF($Y$609:$AC$613,Y611)-1</f>
        <v>3</v>
      </c>
      <c r="AV535" s="1694"/>
      <c r="AW535" s="1694"/>
      <c r="AX535" s="1694"/>
      <c r="AY535" s="1695"/>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2107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3">
        <f>RANK(T612,$T$609:$X$613,0)+COUNTIF($T$609:$X$613,T612)-1</f>
        <v>1</v>
      </c>
      <c r="AQ536" s="1694"/>
      <c r="AR536" s="1694"/>
      <c r="AS536" s="1694"/>
      <c r="AT536" s="1695"/>
      <c r="AU536" s="1693">
        <f>RANK(Y612,$Y$609:$AC$613,0)+COUNTIF($Y$609:$AC$613,Y612)-1</f>
        <v>1</v>
      </c>
      <c r="AV536" s="1694"/>
      <c r="AW536" s="1694"/>
      <c r="AX536" s="1694"/>
      <c r="AY536" s="1695"/>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1487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3">
        <f>RANK(T613,$T$609:$X$613,0)+COUNTIF($T$609:$X$613,T613)-1</f>
        <v>5</v>
      </c>
      <c r="AQ537" s="1694"/>
      <c r="AR537" s="1694"/>
      <c r="AS537" s="1694"/>
      <c r="AT537" s="1695"/>
      <c r="AU537" s="1693">
        <f>RANK(Y613,$Y$609:$AC$613,0)+COUNTIF($Y$609:$AC$613,Y613)-1</f>
        <v>5</v>
      </c>
      <c r="AV537" s="1694"/>
      <c r="AW537" s="1694"/>
      <c r="AX537" s="1694"/>
      <c r="AY537" s="1695"/>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1488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7">
        <f>SUM(AG484:AG529)</f>
        <v>0</v>
      </c>
      <c r="AL540" s="1268"/>
      <c r="AM540" s="1269"/>
      <c r="AN540" s="281"/>
      <c r="AP540" s="145" t="s">
        <v>613</v>
      </c>
      <c r="AQ540" s="146"/>
      <c r="AR540" s="146"/>
      <c r="AS540" s="146"/>
      <c r="AT540" s="146"/>
      <c r="AU540" s="146"/>
      <c r="AV540" s="146"/>
      <c r="AW540" s="146"/>
      <c r="AX540" s="146"/>
      <c r="AY540" s="146"/>
      <c r="AZ540" s="147"/>
      <c r="CH540" s="63" t="s">
        <v>1120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8">
        <f>SUM(O609:S613)</f>
        <v>36</v>
      </c>
      <c r="AZ541" s="1700"/>
      <c r="CG541"/>
      <c r="CH541" s="1830" t="s">
        <v>774</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8" t="str">
        <f>IF(AY541=BK568,"passed","failed")</f>
        <v>passed</v>
      </c>
      <c r="AT542" s="1699"/>
      <c r="AU542" s="1700"/>
      <c r="AV542" s="151"/>
      <c r="AW542" s="151"/>
      <c r="AX542" s="151"/>
      <c r="AY542" s="151"/>
      <c r="AZ542" s="152"/>
      <c r="CG542"/>
      <c r="CH542" s="1235"/>
      <c r="CI542" s="1236"/>
      <c r="CJ542" s="1236"/>
      <c r="CK542" s="1237"/>
    </row>
    <row r="543" spans="1:101" s="4" customFormat="1" ht="12.75" customHeight="1">
      <c r="A543" s="3" t="s">
        <v>1933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364</v>
      </c>
      <c r="AF543" s="1723"/>
      <c r="AG543" s="1723"/>
      <c r="AH543" s="1723"/>
      <c r="AI543" s="1723"/>
      <c r="AJ543" s="1723"/>
      <c r="AK543" s="1723"/>
      <c r="AL543" s="18"/>
      <c r="AM543" s="21"/>
      <c r="AN543" s="281"/>
      <c r="BE543"/>
      <c r="BF543"/>
      <c r="BG543"/>
      <c r="BH543"/>
      <c r="BI543"/>
      <c r="BJ543"/>
      <c r="BK543"/>
      <c r="BL543"/>
      <c r="BM543"/>
      <c r="BN543"/>
      <c r="BO543"/>
      <c r="BP543"/>
      <c r="BQ543"/>
      <c r="BR543" s="62" t="s">
        <v>1120</v>
      </c>
      <c r="BS543"/>
      <c r="BT543"/>
      <c r="BU543"/>
      <c r="BV543"/>
      <c r="BW543"/>
      <c r="BX543"/>
      <c r="BY543"/>
      <c r="BZ543"/>
      <c r="CA543"/>
      <c r="CB543"/>
      <c r="CC543"/>
      <c r="CG543"/>
      <c r="CH543" s="1235"/>
      <c r="CI543" s="1236"/>
      <c r="CJ543" s="1236"/>
      <c r="CK543" s="1237"/>
    </row>
    <row r="544" spans="1:101" s="4" customFormat="1" ht="12.75" customHeight="1">
      <c r="B544" s="128" t="s">
        <v>1934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181</v>
      </c>
      <c r="AH544" s="1711"/>
      <c r="AI544" s="1711"/>
      <c r="AJ544" s="1711"/>
      <c r="AK544" s="18"/>
      <c r="AL544" s="18"/>
      <c r="AM544" s="21"/>
      <c r="AN544" s="281"/>
      <c r="BE544" s="1708" t="s">
        <v>222</v>
      </c>
      <c r="BF544" s="1709"/>
      <c r="BG544" s="1709"/>
      <c r="BH544" s="1710"/>
      <c r="BI544" s="1708" t="s">
        <v>715</v>
      </c>
      <c r="BJ544" s="1709"/>
      <c r="BK544" s="1709"/>
      <c r="BL544" s="1710"/>
      <c r="BM544" s="1708" t="s">
        <v>716</v>
      </c>
      <c r="BN544" s="1709"/>
      <c r="BO544" s="1709"/>
      <c r="BP544" s="1710"/>
      <c r="BQ544" s="1708" t="s">
        <v>717</v>
      </c>
      <c r="BR544" s="1709"/>
      <c r="BS544" s="1709"/>
      <c r="BT544" s="1710"/>
      <c r="BU544" s="1708" t="s">
        <v>718</v>
      </c>
      <c r="BV544" s="1709"/>
      <c r="BW544" s="1709"/>
      <c r="BX544" s="1710"/>
      <c r="BY544" s="1708" t="s">
        <v>223</v>
      </c>
      <c r="BZ544" s="1709"/>
      <c r="CA544" s="1709"/>
      <c r="CB544" s="1710"/>
      <c r="CC544"/>
      <c r="CG544"/>
      <c r="CH544" s="1235"/>
      <c r="CI544" s="1236"/>
      <c r="CJ544" s="1236"/>
      <c r="CK544" s="1237"/>
    </row>
    <row r="545" spans="1:89" s="4" customFormat="1" ht="12.75" customHeight="1">
      <c r="A545" s="3"/>
      <c r="B545" s="1673" t="s">
        <v>1710</v>
      </c>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K545" s="21"/>
      <c r="AL545" s="21"/>
      <c r="AN545" s="281"/>
      <c r="AP545" s="434" t="s">
        <v>612</v>
      </c>
      <c r="AQ545" s="435"/>
      <c r="AR545" s="435"/>
      <c r="AS545" s="435"/>
      <c r="AT545" s="435"/>
      <c r="AU545" s="435"/>
      <c r="AV545" s="436"/>
      <c r="AW545" s="435"/>
      <c r="AX545" s="435"/>
      <c r="AY545" s="436"/>
      <c r="BE545" s="1698">
        <f>IF(CH546=1,0,1)</f>
        <v>0</v>
      </c>
      <c r="BF545" s="1699"/>
      <c r="BG545" s="1699"/>
      <c r="BH545" s="1700"/>
      <c r="BI545" s="1698"/>
      <c r="BJ545" s="1699"/>
      <c r="BK545" s="1699"/>
      <c r="BL545" s="1700"/>
      <c r="BM545" s="1698"/>
      <c r="BN545" s="1699"/>
      <c r="BO545" s="1699"/>
      <c r="BP545" s="1700"/>
      <c r="BQ545" s="1698"/>
      <c r="BR545" s="1699"/>
      <c r="BS545" s="1699"/>
      <c r="BT545" s="1700"/>
      <c r="BU545" s="1708"/>
      <c r="BV545" s="1709"/>
      <c r="BW545" s="1709"/>
      <c r="BX545" s="1710"/>
      <c r="BY545" s="1708"/>
      <c r="BZ545" s="1709"/>
      <c r="CA545" s="1709"/>
      <c r="CB545" s="1710"/>
      <c r="CC545"/>
      <c r="CG545"/>
      <c r="CH545" s="1238"/>
      <c r="CI545" s="1239"/>
      <c r="CJ545" s="1239"/>
      <c r="CK545" s="1240"/>
    </row>
    <row r="546" spans="1:89" s="4" customFormat="1" ht="12.75" customHeight="1">
      <c r="A546" s="20"/>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K546" s="163"/>
      <c r="AL546" s="163"/>
      <c r="AM546" s="163"/>
      <c r="AN546" s="281"/>
      <c r="AP546" s="437" t="s">
        <v>610</v>
      </c>
      <c r="AQ546" s="438"/>
      <c r="AR546" s="438"/>
      <c r="AS546" s="438"/>
      <c r="AT546" s="438"/>
      <c r="AU546" s="1696">
        <f>ROUNDUP(BK568*0.1,0)</f>
        <v>4</v>
      </c>
      <c r="AV546" s="1697"/>
      <c r="AW546" s="438"/>
      <c r="AX546" s="438">
        <f>AU546-AP548</f>
        <v>-18</v>
      </c>
      <c r="AY546" s="439"/>
      <c r="BE546" s="1698"/>
      <c r="BF546" s="1699"/>
      <c r="BG546" s="1699"/>
      <c r="BH546" s="1700"/>
      <c r="BI546" s="1698">
        <f>IF(AND(CH547=1,BE545=0),0,1)</f>
        <v>0</v>
      </c>
      <c r="BJ546" s="1699"/>
      <c r="BK546" s="1699"/>
      <c r="BL546" s="1700"/>
      <c r="BM546" s="1698"/>
      <c r="BN546" s="1699"/>
      <c r="BO546" s="1699"/>
      <c r="BP546" s="1700"/>
      <c r="BQ546" s="1698"/>
      <c r="BR546" s="1699"/>
      <c r="BS546" s="1699"/>
      <c r="BT546" s="1700"/>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AP547" s="437"/>
      <c r="AQ547" s="438"/>
      <c r="AR547" s="438"/>
      <c r="AS547" s="438"/>
      <c r="AT547" s="438"/>
      <c r="AU547" s="438"/>
      <c r="AV547" s="439"/>
      <c r="AW547" s="438"/>
      <c r="AX547" s="438"/>
      <c r="AY547" s="439"/>
      <c r="BE547" s="1698"/>
      <c r="BF547" s="1699"/>
      <c r="BG547" s="1699"/>
      <c r="BH547" s="1700"/>
      <c r="BI547" s="1698"/>
      <c r="BJ547" s="1699"/>
      <c r="BK547" s="1699"/>
      <c r="BL547" s="1700"/>
      <c r="BM547" s="1698">
        <f>IF(AND(AND(CH548=1,BI546=0,BE545=0)),0,1)</f>
        <v>0</v>
      </c>
      <c r="BN547" s="1699"/>
      <c r="BO547" s="1699"/>
      <c r="BP547" s="1700"/>
      <c r="BQ547" s="1698"/>
      <c r="BR547" s="1699"/>
      <c r="BS547" s="1699"/>
      <c r="BT547" s="1700"/>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3"/>
      <c r="C548" s="1673"/>
      <c r="D548" s="1673"/>
      <c r="E548" s="1673"/>
      <c r="F548" s="1673"/>
      <c r="G548" s="1673"/>
      <c r="H548" s="1673"/>
      <c r="I548" s="1673"/>
      <c r="J548" s="1673"/>
      <c r="K548" s="1673"/>
      <c r="L548" s="1673"/>
      <c r="M548" s="1673"/>
      <c r="N548" s="1673"/>
      <c r="O548" s="1673"/>
      <c r="P548" s="1673"/>
      <c r="Q548" s="1673"/>
      <c r="R548" s="1673"/>
      <c r="S548" s="1673"/>
      <c r="T548" s="1673"/>
      <c r="U548" s="1673"/>
      <c r="V548" s="1673"/>
      <c r="W548" s="1673"/>
      <c r="X548" s="1673"/>
      <c r="Y548" s="1673"/>
      <c r="Z548" s="1673"/>
      <c r="AA548" s="1673"/>
      <c r="AB548" s="1673"/>
      <c r="AC548" s="1673"/>
      <c r="AD548" s="1673"/>
      <c r="AE548" s="1673"/>
      <c r="AF548" s="1673"/>
      <c r="AG548" s="1673"/>
      <c r="AH548" s="162"/>
      <c r="AI548" s="162"/>
      <c r="AJ548" s="162"/>
      <c r="AK548" s="163"/>
      <c r="AL548" s="163"/>
      <c r="AM548" s="163"/>
      <c r="AN548" s="281"/>
      <c r="AP548" s="1738">
        <f>SUM(T609:X613)</f>
        <v>22</v>
      </c>
      <c r="AQ548" s="1739"/>
      <c r="AR548" s="1739"/>
      <c r="AS548" s="1739"/>
      <c r="AT548" s="1740"/>
      <c r="AU548" s="438"/>
      <c r="AV548" s="439"/>
      <c r="AW548" s="438"/>
      <c r="AX548" s="438"/>
      <c r="AY548" s="439"/>
      <c r="BE548" s="1698"/>
      <c r="BF548" s="1699"/>
      <c r="BG548" s="1699"/>
      <c r="BH548" s="1700"/>
      <c r="BI548" s="1698"/>
      <c r="BJ548" s="1699"/>
      <c r="BK548" s="1699"/>
      <c r="BL548" s="1700"/>
      <c r="BM548" s="1698"/>
      <c r="BN548" s="1699"/>
      <c r="BO548" s="1699"/>
      <c r="BP548" s="1700"/>
      <c r="BQ548" s="1698">
        <f>IF(AND(AND(AND(CH549=1,BM547=0,BI546=0,BE545=0))),0,1)</f>
        <v>0</v>
      </c>
      <c r="BR548" s="1699"/>
      <c r="BS548" s="1699"/>
      <c r="BT548" s="1700"/>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3"/>
      <c r="Z549" s="1673"/>
      <c r="AA549" s="1673"/>
      <c r="AB549" s="1673"/>
      <c r="AC549" s="1673"/>
      <c r="AD549" s="1673"/>
      <c r="AE549" s="1673"/>
      <c r="AF549" s="1673"/>
      <c r="AG549" s="1673"/>
      <c r="AH549" s="162"/>
      <c r="AI549" s="162"/>
      <c r="AJ549" s="162"/>
      <c r="AK549" s="163"/>
      <c r="AL549" s="163"/>
      <c r="AM549" s="163"/>
      <c r="AN549" s="281"/>
      <c r="AP549" s="440"/>
      <c r="AQ549" s="441"/>
      <c r="AR549" s="441"/>
      <c r="AS549" s="441"/>
      <c r="AT549" s="442" t="s">
        <v>605</v>
      </c>
      <c r="AU549" s="1696" t="str">
        <f>IF(AP548&gt;=AU546,"passed","failed")</f>
        <v>passed</v>
      </c>
      <c r="AV549" s="1841"/>
      <c r="AW549" s="1697"/>
      <c r="AX549" s="443"/>
      <c r="AY549" s="444"/>
      <c r="BE549" s="1698"/>
      <c r="BF549" s="1699"/>
      <c r="BG549" s="1699"/>
      <c r="BH549" s="1700"/>
      <c r="BI549" s="1698"/>
      <c r="BJ549" s="1699"/>
      <c r="BK549" s="1699"/>
      <c r="BL549" s="1700"/>
      <c r="BM549" s="1698"/>
      <c r="BN549" s="1699"/>
      <c r="BO549" s="1699"/>
      <c r="BP549" s="1700"/>
      <c r="BQ549" s="1698"/>
      <c r="BR549" s="1699"/>
      <c r="BS549" s="1699"/>
      <c r="BT549" s="1700"/>
      <c r="BU549" s="1698">
        <f>IF(AND(AND(AND(AND(CH550=1,BQ548=0,BM547=0,BI546=0,BE545=0)))),0,1)</f>
        <v>0</v>
      </c>
      <c r="BV549" s="1699"/>
      <c r="BW549" s="1699"/>
      <c r="BX549" s="1700"/>
      <c r="BY549" s="1708"/>
      <c r="BZ549" s="1709"/>
      <c r="CA549" s="1709"/>
      <c r="CB549" s="1710"/>
      <c r="CC549"/>
      <c r="CD549"/>
      <c r="CE549"/>
      <c r="CF549"/>
      <c r="CG549"/>
      <c r="CH549" s="1708">
        <f>IF(OR(Y612=0,Y612&gt;=0.1),1,0)</f>
        <v>1</v>
      </c>
      <c r="CI549" s="1709"/>
      <c r="CJ549" s="1709"/>
      <c r="CK549" s="1710"/>
    </row>
    <row r="550" spans="1:89" s="4" customFormat="1" ht="13.65" customHeight="1">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3"/>
      <c r="Z550" s="1673"/>
      <c r="AA550" s="1673"/>
      <c r="AB550" s="1673"/>
      <c r="AC550" s="1673"/>
      <c r="AD550" s="1673"/>
      <c r="AE550" s="1673"/>
      <c r="AF550" s="1673"/>
      <c r="AG550" s="1673"/>
      <c r="AH550" s="162"/>
      <c r="AI550" s="162"/>
      <c r="AJ550" s="162"/>
      <c r="AK550" s="163"/>
      <c r="AL550" s="163"/>
      <c r="AM550" s="163"/>
      <c r="AN550" s="281"/>
      <c r="BE550" s="1698">
        <f>SUM(BE545:BH549)</f>
        <v>0</v>
      </c>
      <c r="BF550" s="1699"/>
      <c r="BG550" s="1699"/>
      <c r="BH550" s="1700"/>
      <c r="BI550" s="1698">
        <f>SUM(BI545:BL549)</f>
        <v>0</v>
      </c>
      <c r="BJ550" s="1699"/>
      <c r="BK550" s="1699"/>
      <c r="BL550" s="1700"/>
      <c r="BM550" s="1698">
        <f>SUM(BM545:BP549)</f>
        <v>0</v>
      </c>
      <c r="BN550" s="1699"/>
      <c r="BO550" s="1699"/>
      <c r="BP550" s="1700"/>
      <c r="BQ550" s="1698">
        <f>SUM(BQ545:BT549)</f>
        <v>0</v>
      </c>
      <c r="BR550" s="1699"/>
      <c r="BS550" s="1699"/>
      <c r="BT550" s="1700"/>
      <c r="BU550" s="1698">
        <f>SUM(BU545:BX549)</f>
        <v>0</v>
      </c>
      <c r="BV550" s="1699"/>
      <c r="BW550" s="1699"/>
      <c r="BX550" s="1700"/>
      <c r="BY550" s="1698">
        <f>SUM(BY545:CB549)</f>
        <v>0</v>
      </c>
      <c r="BZ550" s="1699"/>
      <c r="CA550" s="1699"/>
      <c r="CB550" s="1700"/>
      <c r="CC550" s="1708">
        <f>IF(AND(CH546=1,T609&gt;0),0,SUM(BE550:CB550))</f>
        <v>0</v>
      </c>
      <c r="CD550" s="1709"/>
      <c r="CE550" s="1709"/>
      <c r="CF550" s="1710"/>
      <c r="CG550"/>
      <c r="CH550" s="1708">
        <f>IF(OR(Y613=0,Y613&gt;=0.1),1,0)</f>
        <v>1</v>
      </c>
      <c r="CI550" s="1709"/>
      <c r="CJ550" s="1709"/>
      <c r="CK550" s="1710"/>
    </row>
    <row r="551" spans="1:89" s="4" customFormat="1" ht="12.6" customHeight="1">
      <c r="B551" s="1845" t="s">
        <v>1490</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5" t="s">
        <v>1752</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605</v>
      </c>
      <c r="AU554" s="151"/>
      <c r="AV554" s="1698" t="str">
        <f>IF(BJ590&gt;0,"failed","passed")</f>
        <v>failed</v>
      </c>
      <c r="AW554" s="1699"/>
      <c r="AX554" s="1699"/>
      <c r="AY554" s="1700"/>
    </row>
    <row r="555" spans="1:89" s="4" customFormat="1" ht="12.6" customHeight="1">
      <c r="B555" s="681" t="s">
        <v>1494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1491</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1751</v>
      </c>
      <c r="R559" s="1684"/>
      <c r="S559" s="1756" t="s">
        <v>203</v>
      </c>
      <c r="T559" s="1756"/>
      <c r="U559" s="1683">
        <v>0.5</v>
      </c>
      <c r="V559" s="1684"/>
      <c r="W559" s="1683">
        <v>0.45</v>
      </c>
      <c r="X559" s="1684"/>
      <c r="Y559" s="1683">
        <v>0.4</v>
      </c>
      <c r="Z559" s="1684"/>
      <c r="AA559" s="1683">
        <v>0.35</v>
      </c>
      <c r="AB559" s="1684"/>
      <c r="AC559" s="1839">
        <v>0.3</v>
      </c>
      <c r="AD559" s="1840"/>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80"/>
      <c r="R560" s="1846"/>
      <c r="S560" s="1854"/>
      <c r="T560" s="1854"/>
      <c r="U560" s="1846"/>
      <c r="V560" s="1846"/>
      <c r="W560" s="1846"/>
      <c r="X560" s="1846"/>
      <c r="Y560" s="1846"/>
      <c r="Z560" s="1846"/>
      <c r="AA560" s="1849"/>
      <c r="AB560" s="1849"/>
      <c r="AC560" s="1846"/>
      <c r="AD560" s="1846"/>
      <c r="AE560" s="1837"/>
      <c r="AF560" s="1838"/>
      <c r="AN560" s="281"/>
      <c r="AP560" s="144" t="s">
        <v>712</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80"/>
      <c r="P561" s="1681"/>
      <c r="Q561" s="1853"/>
      <c r="R561" s="1688"/>
      <c r="S561" s="1688"/>
      <c r="T561" s="1688"/>
      <c r="U561" s="1688"/>
      <c r="V561" s="1688"/>
      <c r="W561" s="1688"/>
      <c r="X561" s="1688"/>
      <c r="Y561" s="1654"/>
      <c r="Z561" s="1654"/>
      <c r="AA561" s="1688"/>
      <c r="AB561" s="1688"/>
      <c r="AC561" s="1654"/>
      <c r="AD561" s="1654"/>
      <c r="AE561" s="1731"/>
      <c r="AF561" s="1732"/>
      <c r="AN561" s="281"/>
      <c r="AP561"/>
      <c r="AQ561"/>
      <c r="AR561"/>
      <c r="AS561"/>
      <c r="AT561"/>
      <c r="AU561"/>
      <c r="AV561"/>
      <c r="AW561"/>
      <c r="AX561"/>
      <c r="AY561"/>
    </row>
    <row r="562" spans="1:96" s="4" customFormat="1" ht="12.75" customHeight="1">
      <c r="B562" s="63"/>
      <c r="I562" s="220"/>
      <c r="J562" s="162"/>
      <c r="N562" s="5"/>
      <c r="O562" s="1680"/>
      <c r="P562" s="1681"/>
      <c r="Q562" s="1853"/>
      <c r="R562" s="1688"/>
      <c r="S562" s="1688"/>
      <c r="T562" s="1688"/>
      <c r="U562" s="1688"/>
      <c r="V562" s="1688"/>
      <c r="W562" s="1688"/>
      <c r="X562" s="1688"/>
      <c r="Y562" s="1688"/>
      <c r="Z562" s="1688"/>
      <c r="AA562" s="1654"/>
      <c r="AB562" s="1654"/>
      <c r="AC562" s="1688"/>
      <c r="AD562" s="1688"/>
      <c r="AE562" s="1733"/>
      <c r="AF562" s="1734"/>
      <c r="AN562" s="281"/>
      <c r="AP562" s="153" t="s">
        <v>606</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0"/>
      <c r="P563" s="1681"/>
      <c r="Q563" s="1853"/>
      <c r="R563" s="1688"/>
      <c r="S563" s="1688"/>
      <c r="T563" s="1688"/>
      <c r="U563" s="1688"/>
      <c r="V563" s="1688"/>
      <c r="W563" s="1688"/>
      <c r="X563" s="1688"/>
      <c r="Y563" s="1654"/>
      <c r="Z563" s="1654"/>
      <c r="AA563" s="1688"/>
      <c r="AB563" s="1688"/>
      <c r="AC563" s="1654"/>
      <c r="AD563" s="1654"/>
      <c r="AE563" s="1731"/>
      <c r="AF563" s="1732"/>
      <c r="AN563" s="281"/>
    </row>
    <row r="564" spans="1:96" s="4" customFormat="1" ht="12.75" customHeight="1">
      <c r="B564" s="63"/>
      <c r="I564" s="220"/>
      <c r="J564" s="162"/>
      <c r="N564" s="5"/>
      <c r="O564" s="1680"/>
      <c r="P564" s="1681"/>
      <c r="Q564" s="1853"/>
      <c r="R564" s="1688"/>
      <c r="S564" s="1688"/>
      <c r="T564" s="1688"/>
      <c r="U564" s="1688"/>
      <c r="V564" s="1688"/>
      <c r="W564" s="1654"/>
      <c r="X564" s="1654"/>
      <c r="Y564" s="1688"/>
      <c r="Z564" s="1688"/>
      <c r="AA564" s="1654"/>
      <c r="AB564" s="1654"/>
      <c r="AC564" s="1688"/>
      <c r="AD564" s="1688"/>
      <c r="AE564" s="1733"/>
      <c r="AF564" s="1734"/>
      <c r="AN564" s="281"/>
    </row>
    <row r="565" spans="1:96" s="4" customFormat="1" ht="12.75" customHeight="1">
      <c r="B565" s="63"/>
      <c r="I565" s="220"/>
      <c r="J565" s="162"/>
      <c r="N565" s="5"/>
      <c r="O565" s="1680"/>
      <c r="P565" s="1681"/>
      <c r="Q565" s="1853"/>
      <c r="R565" s="1688"/>
      <c r="S565" s="1688"/>
      <c r="T565" s="1688"/>
      <c r="U565" s="1688"/>
      <c r="V565" s="1688"/>
      <c r="W565" s="1688"/>
      <c r="X565" s="1688"/>
      <c r="Y565" s="1654"/>
      <c r="Z565" s="1654"/>
      <c r="AA565" s="1688"/>
      <c r="AB565" s="1688"/>
      <c r="AC565" s="1654"/>
      <c r="AD565" s="1654"/>
      <c r="AE565" s="1731"/>
      <c r="AF565" s="1732"/>
      <c r="AN565" s="281"/>
      <c r="AU565" s="21"/>
      <c r="AV565" s="21"/>
      <c r="AW565" s="8"/>
      <c r="AX565" s="9"/>
      <c r="AY565" s="9"/>
      <c r="AZ565" s="60" t="s">
        <v>1117</v>
      </c>
      <c r="BA565" s="1822" t="s">
        <v>713</v>
      </c>
      <c r="BB565" s="1823"/>
      <c r="BC565" s="1823"/>
      <c r="BD565" s="1823"/>
      <c r="BE565" s="1824"/>
      <c r="BF565" s="1850">
        <f>SUM(O609:S613)</f>
        <v>36</v>
      </c>
      <c r="BG565" s="1851"/>
      <c r="BH565" s="1851"/>
      <c r="BI565" s="1851"/>
      <c r="BJ565" s="1852"/>
      <c r="BK565" s="1658">
        <f>SUM(T609:X613)</f>
        <v>22</v>
      </c>
      <c r="BL565" s="1659"/>
      <c r="BM565" s="1659"/>
      <c r="BN565" s="1659"/>
      <c r="BO565" s="1660"/>
    </row>
    <row r="566" spans="1:96" s="4" customFormat="1" ht="12.75" customHeight="1">
      <c r="B566" s="35"/>
      <c r="I566" s="1515" t="s">
        <v>1489</v>
      </c>
      <c r="J566" s="1516"/>
      <c r="K566" s="1516"/>
      <c r="L566" s="1516"/>
      <c r="M566" s="1516"/>
      <c r="N566" s="1517"/>
      <c r="O566" s="1680">
        <v>0.5</v>
      </c>
      <c r="P566" s="1681"/>
      <c r="Q566" s="1893"/>
      <c r="R566" s="1730"/>
      <c r="S566" s="1688"/>
      <c r="T566" s="1688"/>
      <c r="U566" s="1874" t="s">
        <v>1493</v>
      </c>
      <c r="V566" s="1874"/>
      <c r="W566" s="1867">
        <v>37.5</v>
      </c>
      <c r="X566" s="1867"/>
      <c r="Y566" s="1730"/>
      <c r="Z566" s="1730"/>
      <c r="AA566" s="1867"/>
      <c r="AB566" s="1867"/>
      <c r="AC566" s="1730"/>
      <c r="AD566" s="1730"/>
      <c r="AE566" s="1847"/>
      <c r="AF566" s="1848"/>
      <c r="AN566" s="281"/>
      <c r="CL566"/>
      <c r="CM566"/>
    </row>
    <row r="567" spans="1:96" s="4" customFormat="1" ht="12.75" customHeight="1">
      <c r="B567" s="120"/>
      <c r="C567" s="61"/>
      <c r="I567" s="1515"/>
      <c r="J567" s="1516"/>
      <c r="K567" s="1516"/>
      <c r="L567" s="1516"/>
      <c r="M567" s="1516"/>
      <c r="N567" s="1517"/>
      <c r="O567" s="1680">
        <v>0.45</v>
      </c>
      <c r="P567" s="1681"/>
      <c r="Q567" s="1853"/>
      <c r="R567" s="1688"/>
      <c r="S567" s="1688"/>
      <c r="T567" s="1688"/>
      <c r="U567" s="1653" t="s">
        <v>129</v>
      </c>
      <c r="V567" s="1653"/>
      <c r="W567" s="1654">
        <v>33.799999999999997</v>
      </c>
      <c r="X567" s="1654"/>
      <c r="Y567" s="1654"/>
      <c r="Z567" s="1654"/>
      <c r="AA567" s="1688"/>
      <c r="AB567" s="1688"/>
      <c r="AC567" s="1654"/>
      <c r="AD567" s="1654"/>
      <c r="AE567" s="1731"/>
      <c r="AF567" s="1732"/>
      <c r="AN567" s="281"/>
      <c r="CL567"/>
      <c r="CM567"/>
    </row>
    <row r="568" spans="1:96" s="4" customFormat="1" ht="12.75" customHeight="1">
      <c r="B568" s="5"/>
      <c r="C568" s="5"/>
      <c r="D568" s="5"/>
      <c r="E568" s="5"/>
      <c r="I568" s="1515"/>
      <c r="J568" s="1516"/>
      <c r="K568" s="1516"/>
      <c r="L568" s="1516"/>
      <c r="M568" s="1516"/>
      <c r="N568" s="1517"/>
      <c r="O568" s="1680">
        <v>0.4</v>
      </c>
      <c r="P568" s="1681"/>
      <c r="Q568" s="1853"/>
      <c r="R568" s="1688"/>
      <c r="S568" s="1653" t="s">
        <v>1492</v>
      </c>
      <c r="T568" s="1653"/>
      <c r="U568" s="1654">
        <v>20</v>
      </c>
      <c r="V568" s="1654"/>
      <c r="W568" s="1654">
        <v>30</v>
      </c>
      <c r="X568" s="1654"/>
      <c r="Y568" s="1654"/>
      <c r="Z568" s="1654"/>
      <c r="AA568" s="1654"/>
      <c r="AB568" s="1654"/>
      <c r="AC568" s="1654"/>
      <c r="AD568" s="1654"/>
      <c r="AE568" s="1731"/>
      <c r="AF568" s="1732"/>
      <c r="AN568" s="281"/>
      <c r="AP568" s="1757" t="s">
        <v>204</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1">
        <f>BF565</f>
        <v>36</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5"/>
      <c r="J569" s="1516"/>
      <c r="K569" s="1516"/>
      <c r="L569" s="1516"/>
      <c r="M569" s="1516"/>
      <c r="N569" s="1517"/>
      <c r="O569" s="1680">
        <v>0.35</v>
      </c>
      <c r="P569" s="1681"/>
      <c r="Q569" s="1853"/>
      <c r="R569" s="1688"/>
      <c r="S569" s="1653" t="s">
        <v>1753</v>
      </c>
      <c r="T569" s="1653"/>
      <c r="U569" s="1654">
        <v>17.5</v>
      </c>
      <c r="V569" s="1654"/>
      <c r="W569" s="1654">
        <v>26.3</v>
      </c>
      <c r="X569" s="1654"/>
      <c r="Y569" s="1654">
        <v>35</v>
      </c>
      <c r="Z569" s="1654"/>
      <c r="AA569" s="1654"/>
      <c r="AB569" s="1654"/>
      <c r="AC569" s="1654">
        <v>50</v>
      </c>
      <c r="AD569" s="1654"/>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5"/>
      <c r="J570" s="1516"/>
      <c r="K570" s="1516"/>
      <c r="L570" s="1516"/>
      <c r="M570" s="1516"/>
      <c r="N570" s="1517"/>
      <c r="O570" s="1680">
        <v>0.3</v>
      </c>
      <c r="P570" s="1681"/>
      <c r="Q570" s="1853"/>
      <c r="R570" s="1688"/>
      <c r="S570" s="1653" t="s">
        <v>1754</v>
      </c>
      <c r="T570" s="1653"/>
      <c r="U570" s="1654">
        <v>15</v>
      </c>
      <c r="V570" s="1654"/>
      <c r="W570" s="1654">
        <v>22.5</v>
      </c>
      <c r="X570" s="1654"/>
      <c r="Y570" s="1654">
        <v>30</v>
      </c>
      <c r="Z570" s="1654"/>
      <c r="AA570" s="1654">
        <v>37.5</v>
      </c>
      <c r="AB570" s="1654"/>
      <c r="AC570" s="1654">
        <v>45</v>
      </c>
      <c r="AD570" s="1654"/>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8">
        <v>5</v>
      </c>
      <c r="BK570" s="1139"/>
      <c r="BL570" s="1139"/>
      <c r="BM570" s="1139"/>
      <c r="BN570" s="1140"/>
      <c r="BO570" s="1138">
        <v>4</v>
      </c>
      <c r="BP570" s="1139"/>
      <c r="BQ570" s="1139"/>
      <c r="BR570" s="1139"/>
      <c r="BS570" s="1140"/>
      <c r="BT570" s="1138">
        <v>3</v>
      </c>
      <c r="BU570" s="1139"/>
      <c r="BV570" s="1139"/>
      <c r="BW570" s="1139"/>
      <c r="BX570" s="1140"/>
      <c r="BY570" s="1138">
        <v>2</v>
      </c>
      <c r="BZ570" s="1139"/>
      <c r="CA570" s="1139"/>
      <c r="CB570" s="1139"/>
      <c r="CC570" s="1140"/>
      <c r="CD570" s="1138">
        <v>1</v>
      </c>
      <c r="CE570" s="1139"/>
      <c r="CF570" s="1139"/>
      <c r="CG570" s="1139"/>
      <c r="CH570" s="1140"/>
      <c r="CI570" s="1138">
        <v>0</v>
      </c>
      <c r="CJ570" s="1139"/>
      <c r="CK570" s="1139"/>
      <c r="CL570" s="1139"/>
      <c r="CM570" s="1140"/>
      <c r="CN570" s="21"/>
      <c r="CO570" s="21"/>
      <c r="CP570" s="21"/>
      <c r="CQ570" s="21"/>
      <c r="CR570" s="21"/>
    </row>
    <row r="571" spans="1:96" s="4" customFormat="1" ht="12.75" customHeight="1">
      <c r="B571" s="5"/>
      <c r="C571" s="5"/>
      <c r="D571" s="5"/>
      <c r="E571" s="5"/>
      <c r="I571" s="1515"/>
      <c r="J571" s="1516"/>
      <c r="K571" s="1516"/>
      <c r="L571" s="1516"/>
      <c r="M571" s="1516"/>
      <c r="N571" s="1517"/>
      <c r="O571" s="1680">
        <v>0.25</v>
      </c>
      <c r="P571" s="1681"/>
      <c r="Q571" s="1853"/>
      <c r="R571" s="1688"/>
      <c r="S571" s="1653" t="s">
        <v>1755</v>
      </c>
      <c r="T571" s="1653"/>
      <c r="U571" s="1654">
        <v>12.5</v>
      </c>
      <c r="V571" s="1654"/>
      <c r="W571" s="1654">
        <v>18.8</v>
      </c>
      <c r="X571" s="1654"/>
      <c r="Y571" s="1654">
        <v>25</v>
      </c>
      <c r="Z571" s="1654"/>
      <c r="AA571" s="1654">
        <v>31.3</v>
      </c>
      <c r="AB571" s="1654"/>
      <c r="AC571" s="1654">
        <v>37.5</v>
      </c>
      <c r="AD571" s="1654"/>
      <c r="AE571" s="1731">
        <v>50</v>
      </c>
      <c r="AF571" s="1732"/>
      <c r="AN571" s="281"/>
      <c r="AP571" s="1827" t="str">
        <f t="shared" ref="AP571:AP577" si="0">J608</f>
        <v>5 BR</v>
      </c>
      <c r="AQ571" s="1828"/>
      <c r="AR571" s="1828"/>
      <c r="AS571" s="1828"/>
      <c r="AT571" s="1829"/>
      <c r="AU571" s="1142">
        <f t="shared" ref="AU571:AU576" si="1">O608</f>
        <v>0</v>
      </c>
      <c r="AV571" s="1143"/>
      <c r="AW571" s="1143"/>
      <c r="AX571" s="1143"/>
      <c r="AY571" s="1144"/>
      <c r="AZ571" s="1142">
        <f t="shared" ref="AZ571:AZ576" si="2">T608</f>
        <v>0</v>
      </c>
      <c r="BA571" s="1143"/>
      <c r="BB571" s="1143"/>
      <c r="BC571" s="1143"/>
      <c r="BD571" s="1144"/>
      <c r="BE571" s="1819">
        <f t="shared" ref="BE571:BE576" si="3">Y608</f>
        <v>0</v>
      </c>
      <c r="BF571" s="1820"/>
      <c r="BG571" s="1820"/>
      <c r="BH571" s="1820"/>
      <c r="BI571" s="1821"/>
      <c r="BJ571" s="1138">
        <f>IF(OR(AP581=0,BE571&gt;=0.1),0,1)</f>
        <v>0</v>
      </c>
      <c r="BK571" s="1139"/>
      <c r="BL571" s="1139"/>
      <c r="BM571" s="1139"/>
      <c r="BN571" s="1140"/>
      <c r="BO571" s="1138"/>
      <c r="BP571" s="1139"/>
      <c r="BQ571" s="1139"/>
      <c r="BR571" s="1139"/>
      <c r="BS571" s="1140"/>
      <c r="BT571" s="1138"/>
      <c r="BU571" s="1139"/>
      <c r="BV571" s="1139"/>
      <c r="BW571" s="1139"/>
      <c r="BX571" s="1140"/>
      <c r="BY571" s="1138"/>
      <c r="BZ571" s="1139"/>
      <c r="CA571" s="1139"/>
      <c r="CB571" s="1139"/>
      <c r="CC571" s="1140"/>
      <c r="CD571" s="1138"/>
      <c r="CE571" s="1139"/>
      <c r="CF571" s="1139"/>
      <c r="CG571" s="1139"/>
      <c r="CH571" s="1140"/>
      <c r="CI571" s="1138"/>
      <c r="CJ571" s="1139"/>
      <c r="CK571" s="1139"/>
      <c r="CL571" s="1139"/>
      <c r="CM571" s="1140"/>
      <c r="CN571" s="21"/>
      <c r="CO571" s="21"/>
      <c r="CP571" s="21"/>
      <c r="CQ571" s="21"/>
      <c r="CR571" s="21"/>
    </row>
    <row r="572" spans="1:96" s="4" customFormat="1" ht="12.75" customHeight="1">
      <c r="A572" s="120"/>
      <c r="B572" s="5"/>
      <c r="C572" s="5"/>
      <c r="D572" s="5"/>
      <c r="E572" s="5"/>
      <c r="I572" s="1515"/>
      <c r="J572" s="1516"/>
      <c r="K572" s="1516"/>
      <c r="L572" s="1516"/>
      <c r="M572" s="1516"/>
      <c r="N572" s="1517"/>
      <c r="O572" s="1680">
        <v>0.2</v>
      </c>
      <c r="P572" s="1681"/>
      <c r="Q572" s="1853"/>
      <c r="R572" s="1688"/>
      <c r="S572" s="1879" t="s">
        <v>1758</v>
      </c>
      <c r="T572" s="1879"/>
      <c r="U572" s="1654">
        <v>10</v>
      </c>
      <c r="V572" s="1654"/>
      <c r="W572" s="1654">
        <v>15</v>
      </c>
      <c r="X572" s="1654"/>
      <c r="Y572" s="1654">
        <v>20</v>
      </c>
      <c r="Z572" s="1654"/>
      <c r="AA572" s="1654">
        <v>25</v>
      </c>
      <c r="AB572" s="1654"/>
      <c r="AC572" s="1654">
        <v>30</v>
      </c>
      <c r="AD572" s="1654"/>
      <c r="AE572" s="1731">
        <v>40</v>
      </c>
      <c r="AF572" s="1732"/>
      <c r="AN572" s="281"/>
      <c r="AP572" s="1827" t="str">
        <f t="shared" si="0"/>
        <v>4 BR</v>
      </c>
      <c r="AQ572" s="1828"/>
      <c r="AR572" s="1828"/>
      <c r="AS572" s="1828"/>
      <c r="AT572" s="1829"/>
      <c r="AU572" s="1142">
        <f t="shared" si="1"/>
        <v>0</v>
      </c>
      <c r="AV572" s="1143"/>
      <c r="AW572" s="1143"/>
      <c r="AX572" s="1143"/>
      <c r="AY572" s="1144"/>
      <c r="AZ572" s="1142">
        <f t="shared" si="2"/>
        <v>0</v>
      </c>
      <c r="BA572" s="1143"/>
      <c r="BB572" s="1143"/>
      <c r="BC572" s="1143"/>
      <c r="BD572" s="1144"/>
      <c r="BE572" s="1819">
        <f t="shared" si="3"/>
        <v>0</v>
      </c>
      <c r="BF572" s="1820"/>
      <c r="BG572" s="1820"/>
      <c r="BH572" s="1820"/>
      <c r="BI572" s="1821"/>
      <c r="BJ572" s="1138"/>
      <c r="BK572" s="1139"/>
      <c r="BL572" s="1139"/>
      <c r="BM572" s="1139"/>
      <c r="BN572" s="1140"/>
      <c r="BO572" s="1138">
        <f>IF(AND(AND(AZ571=0,BJ571=0,AP582=1)),1,0)</f>
        <v>0</v>
      </c>
      <c r="BP572" s="1139"/>
      <c r="BQ572" s="1139"/>
      <c r="BR572" s="1139"/>
      <c r="BS572" s="1140"/>
      <c r="BT572" s="1138"/>
      <c r="BU572" s="1139"/>
      <c r="BV572" s="1139"/>
      <c r="BW572" s="1139"/>
      <c r="BX572" s="1140"/>
      <c r="BY572" s="1138"/>
      <c r="BZ572" s="1139"/>
      <c r="CA572" s="1139"/>
      <c r="CB572" s="1139"/>
      <c r="CC572" s="1140"/>
      <c r="CD572" s="1138"/>
      <c r="CE572" s="1139"/>
      <c r="CF572" s="1139"/>
      <c r="CG572" s="1139"/>
      <c r="CH572" s="1140"/>
      <c r="CI572" s="1138"/>
      <c r="CJ572" s="1139"/>
      <c r="CK572" s="1139"/>
      <c r="CL572" s="1139"/>
      <c r="CM572" s="1140"/>
      <c r="CN572" s="21"/>
      <c r="CO572" s="21"/>
      <c r="CP572" s="21"/>
      <c r="CQ572" s="21"/>
      <c r="CR572" s="21"/>
    </row>
    <row r="573" spans="1:96" s="4" customFormat="1" ht="12.75" customHeight="1">
      <c r="A573" s="120"/>
      <c r="B573" s="5"/>
      <c r="C573" s="5"/>
      <c r="D573" s="5"/>
      <c r="E573" s="5"/>
      <c r="I573" s="1515"/>
      <c r="J573" s="1516"/>
      <c r="K573" s="1516"/>
      <c r="L573" s="1516"/>
      <c r="M573" s="1516"/>
      <c r="N573" s="1517"/>
      <c r="O573" s="1680">
        <v>0.15</v>
      </c>
      <c r="P573" s="1681"/>
      <c r="Q573" s="1853"/>
      <c r="R573" s="1688"/>
      <c r="S573" s="1653" t="s">
        <v>1756</v>
      </c>
      <c r="T573" s="1653"/>
      <c r="U573" s="1654">
        <v>7.5</v>
      </c>
      <c r="V573" s="1654"/>
      <c r="W573" s="1654">
        <v>11.3</v>
      </c>
      <c r="X573" s="1654"/>
      <c r="Y573" s="1654">
        <v>15</v>
      </c>
      <c r="Z573" s="1654"/>
      <c r="AA573" s="1654">
        <v>18.8</v>
      </c>
      <c r="AB573" s="1654"/>
      <c r="AC573" s="1654">
        <v>22.5</v>
      </c>
      <c r="AD573" s="1654"/>
      <c r="AE573" s="1731">
        <v>30</v>
      </c>
      <c r="AF573" s="1732"/>
      <c r="AN573" s="281"/>
      <c r="AP573" s="1827" t="str">
        <f t="shared" si="0"/>
        <v>3 BR</v>
      </c>
      <c r="AQ573" s="1828"/>
      <c r="AR573" s="1828"/>
      <c r="AS573" s="1828"/>
      <c r="AT573" s="1829"/>
      <c r="AU573" s="1142">
        <f t="shared" si="1"/>
        <v>9</v>
      </c>
      <c r="AV573" s="1143"/>
      <c r="AW573" s="1143"/>
      <c r="AX573" s="1143"/>
      <c r="AY573" s="1144"/>
      <c r="AZ573" s="1142">
        <f t="shared" si="2"/>
        <v>2</v>
      </c>
      <c r="BA573" s="1143"/>
      <c r="BB573" s="1143"/>
      <c r="BC573" s="1143"/>
      <c r="BD573" s="1144"/>
      <c r="BE573" s="1819">
        <f t="shared" si="3"/>
        <v>0.22222222222222221</v>
      </c>
      <c r="BF573" s="1820"/>
      <c r="BG573" s="1820"/>
      <c r="BH573" s="1820"/>
      <c r="BI573" s="1821"/>
      <c r="BJ573" s="1138"/>
      <c r="BK573" s="1139"/>
      <c r="BL573" s="1139"/>
      <c r="BM573" s="1139"/>
      <c r="BN573" s="1140"/>
      <c r="BO573" s="1138"/>
      <c r="BP573" s="1139"/>
      <c r="BQ573" s="1139"/>
      <c r="BR573" s="1139"/>
      <c r="BS573" s="1140"/>
      <c r="BT573" s="1138">
        <f>IF(AND(AND(AZ571+AZ572=0,BJ571+BO572=0,AP583=1)),1,0)</f>
        <v>0</v>
      </c>
      <c r="BU573" s="1139"/>
      <c r="BV573" s="1139"/>
      <c r="BW573" s="1139"/>
      <c r="BX573" s="1140"/>
      <c r="BY573" s="1138"/>
      <c r="BZ573" s="1139"/>
      <c r="CA573" s="1139"/>
      <c r="CB573" s="1139"/>
      <c r="CC573" s="1140"/>
      <c r="CD573" s="1138"/>
      <c r="CE573" s="1139"/>
      <c r="CF573" s="1139"/>
      <c r="CG573" s="1139"/>
      <c r="CH573" s="1140"/>
      <c r="CI573" s="1138"/>
      <c r="CJ573" s="1139"/>
      <c r="CK573" s="1139"/>
      <c r="CL573" s="1139"/>
      <c r="CM573" s="1140"/>
      <c r="CN573" s="21"/>
      <c r="CO573" s="21"/>
      <c r="CP573" s="21"/>
      <c r="CQ573" s="21"/>
      <c r="CR573" s="21"/>
    </row>
    <row r="574" spans="1:96" s="4" customFormat="1" ht="12.75" customHeight="1" thickBot="1">
      <c r="B574" s="5"/>
      <c r="C574" s="5"/>
      <c r="D574" s="5"/>
      <c r="E574" s="5"/>
      <c r="I574" s="1518"/>
      <c r="J574" s="1519"/>
      <c r="K574" s="1519"/>
      <c r="L574" s="1519"/>
      <c r="M574" s="1519"/>
      <c r="N574" s="1520"/>
      <c r="O574" s="1680">
        <v>0.1</v>
      </c>
      <c r="P574" s="1681"/>
      <c r="Q574" s="1877"/>
      <c r="R574" s="1878"/>
      <c r="S574" s="1653" t="s">
        <v>1757</v>
      </c>
      <c r="T574" s="1653"/>
      <c r="U574" s="1741">
        <v>5</v>
      </c>
      <c r="V574" s="1741"/>
      <c r="W574" s="1741">
        <v>7.5</v>
      </c>
      <c r="X574" s="1741"/>
      <c r="Y574" s="1741">
        <v>10</v>
      </c>
      <c r="Z574" s="1741"/>
      <c r="AA574" s="1741">
        <v>12.5</v>
      </c>
      <c r="AB574" s="1741"/>
      <c r="AC574" s="1741">
        <v>15</v>
      </c>
      <c r="AD574" s="1741"/>
      <c r="AE574" s="1671">
        <v>20</v>
      </c>
      <c r="AF574" s="1672"/>
      <c r="AK574" s="167"/>
      <c r="AL574" s="167"/>
      <c r="AM574" s="5"/>
      <c r="AN574" s="281"/>
      <c r="AP574" s="1827" t="str">
        <f t="shared" si="0"/>
        <v>2 BR</v>
      </c>
      <c r="AQ574" s="1828"/>
      <c r="AR574" s="1828"/>
      <c r="AS574" s="1828"/>
      <c r="AT574" s="1829"/>
      <c r="AU574" s="1142">
        <f t="shared" si="1"/>
        <v>9</v>
      </c>
      <c r="AV574" s="1143"/>
      <c r="AW574" s="1143"/>
      <c r="AX574" s="1143"/>
      <c r="AY574" s="1144"/>
      <c r="AZ574" s="1142">
        <f t="shared" si="2"/>
        <v>2</v>
      </c>
      <c r="BA574" s="1143"/>
      <c r="BB574" s="1143"/>
      <c r="BC574" s="1143"/>
      <c r="BD574" s="1144"/>
      <c r="BE574" s="1819">
        <f t="shared" si="3"/>
        <v>0.22222222222222221</v>
      </c>
      <c r="BF574" s="1820"/>
      <c r="BG574" s="1820"/>
      <c r="BH574" s="1820"/>
      <c r="BI574" s="1821"/>
      <c r="BJ574" s="1138"/>
      <c r="BK574" s="1139"/>
      <c r="BL574" s="1139"/>
      <c r="BM574" s="1139"/>
      <c r="BN574" s="1140"/>
      <c r="BO574" s="1138"/>
      <c r="BP574" s="1139"/>
      <c r="BQ574" s="1139"/>
      <c r="BR574" s="1139"/>
      <c r="BS574" s="1140"/>
      <c r="BT574" s="1138"/>
      <c r="BU574" s="1139"/>
      <c r="BV574" s="1139"/>
      <c r="BW574" s="1139"/>
      <c r="BX574" s="1140"/>
      <c r="BY574" s="1138">
        <f>IF(AND(AND(AZ571+AZ572+AZ573=0,BO572+BT573+BJ571=0,AP584=1)),1,0)</f>
        <v>0</v>
      </c>
      <c r="BZ574" s="1139"/>
      <c r="CA574" s="1139"/>
      <c r="CB574" s="1139"/>
      <c r="CC574" s="1140"/>
      <c r="CD574" s="1138"/>
      <c r="CE574" s="1139"/>
      <c r="CF574" s="1139"/>
      <c r="CG574" s="1139"/>
      <c r="CH574" s="1140"/>
      <c r="CI574" s="1138"/>
      <c r="CJ574" s="1139"/>
      <c r="CK574" s="1139"/>
      <c r="CL574" s="1139"/>
      <c r="CM574" s="1140"/>
      <c r="CN574" s="21"/>
      <c r="CO574" s="21"/>
      <c r="CP574" s="21"/>
      <c r="CQ574" s="21"/>
      <c r="CR574" s="21"/>
    </row>
    <row r="575" spans="1:96" s="4" customFormat="1" ht="12.75" customHeight="1">
      <c r="B575" s="5"/>
      <c r="C575" s="5"/>
      <c r="D575" s="5"/>
      <c r="E575" s="1555" t="s">
        <v>938</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7"/>
      <c r="AL575" s="167"/>
      <c r="AM575" s="5"/>
      <c r="AN575" s="281"/>
      <c r="AP575" s="1827" t="str">
        <f t="shared" si="0"/>
        <v>1 BR</v>
      </c>
      <c r="AQ575" s="1828"/>
      <c r="AR575" s="1828"/>
      <c r="AS575" s="1828"/>
      <c r="AT575" s="1829"/>
      <c r="AU575" s="1142">
        <f t="shared" si="1"/>
        <v>18</v>
      </c>
      <c r="AV575" s="1143"/>
      <c r="AW575" s="1143"/>
      <c r="AX575" s="1143"/>
      <c r="AY575" s="1144"/>
      <c r="AZ575" s="1142">
        <f t="shared" si="2"/>
        <v>18</v>
      </c>
      <c r="BA575" s="1143"/>
      <c r="BB575" s="1143"/>
      <c r="BC575" s="1143"/>
      <c r="BD575" s="1144"/>
      <c r="BE575" s="1819">
        <f t="shared" si="3"/>
        <v>1</v>
      </c>
      <c r="BF575" s="1820"/>
      <c r="BG575" s="1820"/>
      <c r="BH575" s="1820"/>
      <c r="BI575" s="1821"/>
      <c r="BJ575" s="1138"/>
      <c r="BK575" s="1139"/>
      <c r="BL575" s="1139"/>
      <c r="BM575" s="1139"/>
      <c r="BN575" s="1140"/>
      <c r="BO575" s="1138"/>
      <c r="BP575" s="1139"/>
      <c r="BQ575" s="1139"/>
      <c r="BR575" s="1139"/>
      <c r="BS575" s="1140"/>
      <c r="BT575" s="1138"/>
      <c r="BU575" s="1139"/>
      <c r="BV575" s="1139"/>
      <c r="BW575" s="1139"/>
      <c r="BX575" s="1140"/>
      <c r="BY575" s="1138"/>
      <c r="BZ575" s="1139"/>
      <c r="CA575" s="1139"/>
      <c r="CB575" s="1139"/>
      <c r="CC575" s="1140"/>
      <c r="CD575" s="1138">
        <f>IF(AND(AND(BE572+BE573+BE574+BE571=0,BT573+BY574+BO572+BJ571=0,AP585=1)),1,0)</f>
        <v>0</v>
      </c>
      <c r="CE575" s="1139"/>
      <c r="CF575" s="1139"/>
      <c r="CG575" s="1139"/>
      <c r="CH575" s="1140"/>
      <c r="CI575" s="1138"/>
      <c r="CJ575" s="1139"/>
      <c r="CK575" s="1139"/>
      <c r="CL575" s="1139"/>
      <c r="CM575" s="1140"/>
      <c r="CN575" s="21"/>
      <c r="CO575" s="21"/>
      <c r="CP575" s="21"/>
      <c r="CQ575" s="21"/>
      <c r="CR575" s="21"/>
    </row>
    <row r="576" spans="1:96" s="4" customFormat="1" ht="12.75" customHeight="1">
      <c r="E576" s="1745"/>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46"/>
      <c r="AN576" s="281"/>
      <c r="AP576" s="1827" t="str">
        <f t="shared" si="0"/>
        <v>SRO</v>
      </c>
      <c r="AQ576" s="1828"/>
      <c r="AR576" s="1828"/>
      <c r="AS576" s="1828"/>
      <c r="AT576" s="1829"/>
      <c r="AU576" s="1142">
        <f t="shared" si="1"/>
        <v>0</v>
      </c>
      <c r="AV576" s="1143"/>
      <c r="AW576" s="1143"/>
      <c r="AX576" s="1143"/>
      <c r="AY576" s="1144"/>
      <c r="AZ576" s="1142">
        <f t="shared" si="2"/>
        <v>0</v>
      </c>
      <c r="BA576" s="1143"/>
      <c r="BB576" s="1143"/>
      <c r="BC576" s="1143"/>
      <c r="BD576" s="1144"/>
      <c r="BE576" s="1819">
        <f t="shared" si="3"/>
        <v>0</v>
      </c>
      <c r="BF576" s="1820"/>
      <c r="BG576" s="1820"/>
      <c r="BH576" s="1820"/>
      <c r="BI576" s="1821"/>
      <c r="BJ576" s="1138"/>
      <c r="BK576" s="1139"/>
      <c r="BL576" s="1139"/>
      <c r="BM576" s="1139"/>
      <c r="BN576" s="1140"/>
      <c r="BO576" s="1138"/>
      <c r="BP576" s="1139"/>
      <c r="BQ576" s="1139"/>
      <c r="BR576" s="1139"/>
      <c r="BS576" s="1140"/>
      <c r="BT576" s="1138"/>
      <c r="BU576" s="1139"/>
      <c r="BV576" s="1139"/>
      <c r="BW576" s="1139"/>
      <c r="BX576" s="1140"/>
      <c r="BY576" s="1138"/>
      <c r="BZ576" s="1139"/>
      <c r="CA576" s="1139"/>
      <c r="CB576" s="1139"/>
      <c r="CC576" s="1140"/>
      <c r="CD576" s="1138"/>
      <c r="CE576" s="1139"/>
      <c r="CF576" s="1139"/>
      <c r="CG576" s="1139"/>
      <c r="CH576" s="1140"/>
      <c r="CI576" s="1138">
        <f>IF(AND(AND(AZ573+AZ574+AZ575+AZ572+AZ571=0,BY574+CD575+BT573+BO572+BJ571=0,AP586=1)),1,0)</f>
        <v>0</v>
      </c>
      <c r="CJ576" s="1139"/>
      <c r="CK576" s="1139"/>
      <c r="CL576" s="1139"/>
      <c r="CM576" s="1140"/>
      <c r="CN576" s="21"/>
      <c r="CO576" s="21"/>
      <c r="CP576" s="21"/>
      <c r="CQ576" s="21"/>
      <c r="CR576" s="21"/>
    </row>
    <row r="577" spans="5:96" s="4" customFormat="1" ht="12.75" customHeight="1">
      <c r="E577" s="1661" t="s">
        <v>1499</v>
      </c>
      <c r="F577" s="1662"/>
      <c r="G577" s="1662"/>
      <c r="H577" s="1662"/>
      <c r="I577" s="1662"/>
      <c r="J577" s="1663"/>
      <c r="K577" s="1661" t="s">
        <v>1749</v>
      </c>
      <c r="L577" s="1662"/>
      <c r="M577" s="1662"/>
      <c r="N577" s="1662"/>
      <c r="O577" s="1662"/>
      <c r="P577" s="1663"/>
      <c r="Q577" s="1512" t="s">
        <v>1495</v>
      </c>
      <c r="R577" s="1513"/>
      <c r="S577" s="1513"/>
      <c r="T577" s="1513"/>
      <c r="U577" s="1513"/>
      <c r="V577" s="1514"/>
      <c r="W577" s="1512" t="str">
        <f>I566</f>
        <v>Percent of Low-Income Units (exclusive of manager’s units)</v>
      </c>
      <c r="X577" s="1513"/>
      <c r="Y577" s="1513"/>
      <c r="Z577" s="1513"/>
      <c r="AA577" s="1513"/>
      <c r="AB577" s="1514"/>
      <c r="AC577" s="1512" t="s">
        <v>1498</v>
      </c>
      <c r="AD577" s="1513"/>
      <c r="AE577" s="1513"/>
      <c r="AF577" s="1513"/>
      <c r="AG577" s="1513"/>
      <c r="AH577" s="1514"/>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8">
        <f>SUM(BJ571:BN576)</f>
        <v>0</v>
      </c>
      <c r="BK577" s="1139"/>
      <c r="BL577" s="1139"/>
      <c r="BM577" s="1139"/>
      <c r="BN577" s="1140"/>
      <c r="BO577" s="1138">
        <f>SUM(BO571:BS576)</f>
        <v>0</v>
      </c>
      <c r="BP577" s="1139"/>
      <c r="BQ577" s="1139"/>
      <c r="BR577" s="1139"/>
      <c r="BS577" s="1140"/>
      <c r="BT577" s="1138">
        <f>SUM(BT571:BX576)</f>
        <v>0</v>
      </c>
      <c r="BU577" s="1139"/>
      <c r="BV577" s="1139"/>
      <c r="BW577" s="1139"/>
      <c r="BX577" s="1140"/>
      <c r="BY577" s="1138">
        <f>SUM(BY571:CC576)</f>
        <v>0</v>
      </c>
      <c r="BZ577" s="1139"/>
      <c r="CA577" s="1139"/>
      <c r="CB577" s="1139"/>
      <c r="CC577" s="1140"/>
      <c r="CD577" s="1138">
        <f>SUM(CD571:CH576)</f>
        <v>0</v>
      </c>
      <c r="CE577" s="1139"/>
      <c r="CF577" s="1139"/>
      <c r="CG577" s="1139"/>
      <c r="CH577" s="1140"/>
      <c r="CI577" s="1138">
        <f>SUM(CI571:CM576)</f>
        <v>0</v>
      </c>
      <c r="CJ577" s="1139"/>
      <c r="CK577" s="1139"/>
      <c r="CL577" s="1139"/>
      <c r="CM577" s="1140"/>
      <c r="CN577" s="1138">
        <f>SUM(BJ577:CM577)</f>
        <v>0</v>
      </c>
      <c r="CO577" s="1139"/>
      <c r="CP577" s="1139"/>
      <c r="CQ577" s="1139"/>
      <c r="CR577" s="1140"/>
    </row>
    <row r="578" spans="5:96" s="4" customFormat="1" ht="12.75" customHeight="1">
      <c r="E578" s="1664"/>
      <c r="F578" s="1665"/>
      <c r="G578" s="1665"/>
      <c r="H578" s="1665"/>
      <c r="I578" s="1665"/>
      <c r="J578" s="1666"/>
      <c r="K578" s="1664"/>
      <c r="L578" s="1665"/>
      <c r="M578" s="1665"/>
      <c r="N578" s="1665"/>
      <c r="O578" s="1665"/>
      <c r="P578" s="1666"/>
      <c r="Q578" s="1515"/>
      <c r="R578" s="1516"/>
      <c r="S578" s="1516"/>
      <c r="T578" s="1516"/>
      <c r="U578" s="1516"/>
      <c r="V578" s="1517"/>
      <c r="W578" s="1515"/>
      <c r="X578" s="1516"/>
      <c r="Y578" s="1516"/>
      <c r="Z578" s="1516"/>
      <c r="AA578" s="1516"/>
      <c r="AB578" s="1517"/>
      <c r="AC578" s="1515"/>
      <c r="AD578" s="1516"/>
      <c r="AE578" s="1516"/>
      <c r="AF578" s="1516"/>
      <c r="AG578" s="1516"/>
      <c r="AH578" s="1517"/>
      <c r="AN578" s="281"/>
    </row>
    <row r="579" spans="5:96" s="4" customFormat="1" ht="12.75" customHeight="1">
      <c r="E579" s="1664"/>
      <c r="F579" s="1665"/>
      <c r="G579" s="1665"/>
      <c r="H579" s="1665"/>
      <c r="I579" s="1665"/>
      <c r="J579" s="1666"/>
      <c r="K579" s="1664"/>
      <c r="L579" s="1665"/>
      <c r="M579" s="1665"/>
      <c r="N579" s="1665"/>
      <c r="O579" s="1665"/>
      <c r="P579" s="1666"/>
      <c r="Q579" s="1515"/>
      <c r="R579" s="1516"/>
      <c r="S579" s="1516"/>
      <c r="T579" s="1516"/>
      <c r="U579" s="1516"/>
      <c r="V579" s="1517"/>
      <c r="W579" s="1515"/>
      <c r="X579" s="1516"/>
      <c r="Y579" s="1516"/>
      <c r="Z579" s="1516"/>
      <c r="AA579" s="1516"/>
      <c r="AB579" s="1517"/>
      <c r="AC579" s="1515"/>
      <c r="AD579" s="1516"/>
      <c r="AE579" s="1516"/>
      <c r="AF579" s="1516"/>
      <c r="AG579" s="1516"/>
      <c r="AH579" s="1517"/>
      <c r="AN579" s="281"/>
    </row>
    <row r="580" spans="5:96" s="4" customFormat="1" ht="12.75" customHeight="1">
      <c r="E580" s="1664"/>
      <c r="F580" s="1665"/>
      <c r="G580" s="1665"/>
      <c r="H580" s="1665"/>
      <c r="I580" s="1665"/>
      <c r="J580" s="1666"/>
      <c r="K580" s="1664"/>
      <c r="L580" s="1665"/>
      <c r="M580" s="1665"/>
      <c r="N580" s="1665"/>
      <c r="O580" s="1665"/>
      <c r="P580" s="1666"/>
      <c r="Q580" s="1515"/>
      <c r="R580" s="1516"/>
      <c r="S580" s="1516"/>
      <c r="T580" s="1516"/>
      <c r="U580" s="1516"/>
      <c r="V580" s="1517"/>
      <c r="W580" s="1515"/>
      <c r="X580" s="1516"/>
      <c r="Y580" s="1516"/>
      <c r="Z580" s="1516"/>
      <c r="AA580" s="1516"/>
      <c r="AB580" s="1517"/>
      <c r="AC580" s="1515"/>
      <c r="AD580" s="1516"/>
      <c r="AE580" s="1516"/>
      <c r="AF580" s="1516"/>
      <c r="AG580" s="1516"/>
      <c r="AH580" s="1517"/>
      <c r="AN580" s="281"/>
      <c r="AP580" s="3" t="s">
        <v>1118</v>
      </c>
      <c r="BH580" s="3" t="s">
        <v>1119</v>
      </c>
    </row>
    <row r="581" spans="5:96" s="4" customFormat="1" ht="12.75" customHeight="1">
      <c r="E581" s="1655"/>
      <c r="F581" s="1656"/>
      <c r="G581" s="1656"/>
      <c r="H581" s="1656"/>
      <c r="I581" s="1656"/>
      <c r="J581" s="1657"/>
      <c r="K581" s="1658">
        <v>20</v>
      </c>
      <c r="L581" s="1659"/>
      <c r="M581" s="1659"/>
      <c r="N581" s="1659"/>
      <c r="O581" s="1659"/>
      <c r="P581" s="1660"/>
      <c r="Q581" s="1727">
        <f>IF(ISERROR(IF((((E581/$BJ$528)*100)&gt;100),"EXCESSIVE VALUE",(E581/$BJ$528)*100)),0,IF((((E581/$BJ$528)*100)&gt;100),"EXCESSIVE VALUE",(E581/$BJ$528)*100))</f>
        <v>0</v>
      </c>
      <c r="R581" s="1728"/>
      <c r="S581" s="1728"/>
      <c r="T581" s="1728"/>
      <c r="U581" s="1728"/>
      <c r="V581" s="1729"/>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58">
        <f t="shared" ref="AP581:AP586" si="5">IF(OR(BE571&gt;=0.1,BE571=0),0,1)</f>
        <v>0</v>
      </c>
      <c r="AQ581" s="1659"/>
      <c r="AR581" s="1659"/>
      <c r="AS581" s="1659"/>
      <c r="AT581" s="1660"/>
      <c r="AX581" s="1698" t="s">
        <v>793</v>
      </c>
      <c r="AY581" s="1699"/>
      <c r="AZ581" s="1699"/>
      <c r="BA581" s="1699"/>
      <c r="BB581" s="1699"/>
      <c r="BC581" s="1699"/>
      <c r="BD581" s="1699"/>
      <c r="BE581" s="1699"/>
      <c r="BF581" s="1699"/>
      <c r="BG581" s="1699"/>
      <c r="BH581" s="1699"/>
      <c r="BI581" s="1699"/>
      <c r="BJ581" s="1699"/>
      <c r="BK581" s="1699"/>
      <c r="BL581" s="1699"/>
      <c r="BM581" s="1699"/>
      <c r="BN581" s="1699"/>
      <c r="BO581" s="1699"/>
      <c r="BP581" s="1699"/>
      <c r="BQ581" s="1700"/>
    </row>
    <row r="582" spans="5:96" s="4" customFormat="1" ht="12.75" customHeight="1">
      <c r="E582" s="1655">
        <v>22</v>
      </c>
      <c r="F582" s="1656"/>
      <c r="G582" s="1656"/>
      <c r="H582" s="1656"/>
      <c r="I582" s="1656"/>
      <c r="J582" s="1657"/>
      <c r="K582" s="1658">
        <v>30</v>
      </c>
      <c r="L582" s="1659"/>
      <c r="M582" s="1659"/>
      <c r="N582" s="1659"/>
      <c r="O582" s="1659"/>
      <c r="P582" s="1660"/>
      <c r="Q582" s="1727">
        <f>IF(ISERROR(IF((((E582/$BJ$528)*100)&gt;100),"EXCESSIVE VALUE",(E582/$BJ$528)*100)),0,IF((((E582/$BJ$528)*100)&gt;100),"EXCESSIVE VALUE",(E582/$BJ$528)*100))</f>
        <v>61.111111111111114</v>
      </c>
      <c r="R582" s="1728"/>
      <c r="S582" s="1728"/>
      <c r="T582" s="1728"/>
      <c r="U582" s="1728"/>
      <c r="V582" s="1729"/>
      <c r="W582" s="1667">
        <f>IF(FLOOR(Q582,5)&gt;80,80,FLOOR(Q582,5))</f>
        <v>60</v>
      </c>
      <c r="X582" s="1668"/>
      <c r="Y582" s="1668"/>
      <c r="Z582" s="1668"/>
      <c r="AA582" s="1668"/>
      <c r="AB582" s="1669"/>
      <c r="AC582" s="1667">
        <f t="shared" si="4"/>
        <v>50</v>
      </c>
      <c r="AD582" s="1668"/>
      <c r="AE582" s="1668"/>
      <c r="AF582" s="1668"/>
      <c r="AG582" s="1668"/>
      <c r="AH582" s="1669"/>
      <c r="AN582" s="281"/>
      <c r="AO582" s="4">
        <v>4</v>
      </c>
      <c r="AP582" s="1658">
        <f t="shared" si="5"/>
        <v>0</v>
      </c>
      <c r="AQ582" s="1659"/>
      <c r="AR582" s="1659"/>
      <c r="AS582" s="1659"/>
      <c r="AT582" s="1660"/>
      <c r="AX582" s="1779" t="s">
        <v>615</v>
      </c>
      <c r="AY582" s="1780"/>
      <c r="AZ582" s="1273" t="s">
        <v>615</v>
      </c>
      <c r="BA582" s="1275"/>
      <c r="BB582" s="1779" t="s">
        <v>264</v>
      </c>
      <c r="BC582" s="1780"/>
      <c r="BD582" s="1708" t="s">
        <v>264</v>
      </c>
      <c r="BE582" s="1710"/>
      <c r="BF582" s="1779" t="s">
        <v>263</v>
      </c>
      <c r="BG582" s="1780"/>
      <c r="BH582" s="1708" t="s">
        <v>263</v>
      </c>
      <c r="BI582" s="1710"/>
      <c r="BJ582" s="1779" t="s">
        <v>262</v>
      </c>
      <c r="BK582" s="1780"/>
      <c r="BL582" s="1708" t="s">
        <v>262</v>
      </c>
      <c r="BM582" s="1710"/>
      <c r="BN582" s="1779" t="s">
        <v>614</v>
      </c>
      <c r="BO582" s="1780"/>
      <c r="BP582" s="1708" t="s">
        <v>614</v>
      </c>
      <c r="BQ582" s="1710"/>
    </row>
    <row r="583" spans="5:96" s="4" customFormat="1" ht="12.75" customHeight="1">
      <c r="E583" s="1655"/>
      <c r="F583" s="1656"/>
      <c r="G583" s="1656"/>
      <c r="H583" s="1656"/>
      <c r="I583" s="1656"/>
      <c r="J583" s="1657"/>
      <c r="K583" s="1658">
        <v>35</v>
      </c>
      <c r="L583" s="1659"/>
      <c r="M583" s="1659"/>
      <c r="N583" s="1659"/>
      <c r="O583" s="1659"/>
      <c r="P583" s="1660"/>
      <c r="Q583" s="1727">
        <f t="shared" ref="Q583:Q589" si="6">IF(ISERROR(IF((((E583/$BJ$528)*100)&gt;100),"EXCESSIVE VALUE",(E583/$BJ$528)*100)),0,IF((((E583/$BJ$528)*100)&gt;100),"EXCESSIVE VALUE",(E583/$BJ$528)*100))</f>
        <v>0</v>
      </c>
      <c r="R583" s="1728"/>
      <c r="S583" s="1728"/>
      <c r="T583" s="1728"/>
      <c r="U583" s="1728"/>
      <c r="V583" s="1729"/>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58">
        <f t="shared" si="5"/>
        <v>0</v>
      </c>
      <c r="AQ583" s="1659"/>
      <c r="AR583" s="1659"/>
      <c r="AS583" s="1659"/>
      <c r="AT583" s="1660"/>
      <c r="AX583" s="1779">
        <f>IF(AP533=1,1,0)</f>
        <v>0</v>
      </c>
      <c r="AY583" s="1780"/>
      <c r="AZ583" s="1698"/>
      <c r="BA583" s="1700"/>
      <c r="BB583" s="1825"/>
      <c r="BC583" s="1826"/>
      <c r="BD583" s="1708">
        <f>IF(AND(T609&gt;0,AP533&gt;0),1,0)</f>
        <v>0</v>
      </c>
      <c r="BE583" s="1710"/>
      <c r="BF583" s="1825"/>
      <c r="BG583" s="1826"/>
      <c r="BH583" s="1708">
        <f>IF(AND(T609&gt;0,AP533&gt;0),1,0)</f>
        <v>0</v>
      </c>
      <c r="BI583" s="1710"/>
      <c r="BJ583" s="1825"/>
      <c r="BK583" s="1826"/>
      <c r="BL583" s="1708">
        <f>IF(AND(T609&gt;0,AP533&gt;0),1,0)</f>
        <v>0</v>
      </c>
      <c r="BM583" s="1710"/>
      <c r="BN583" s="1825"/>
      <c r="BO583" s="1826"/>
      <c r="BP583" s="1708">
        <f>IF(AND(T609&gt;0,AP533&gt;0),1,0)</f>
        <v>0</v>
      </c>
      <c r="BQ583" s="1710"/>
    </row>
    <row r="584" spans="5:96" s="4" customFormat="1" ht="12.75" customHeight="1">
      <c r="E584" s="1655"/>
      <c r="F584" s="1656"/>
      <c r="G584" s="1656"/>
      <c r="H584" s="1656"/>
      <c r="I584" s="1656"/>
      <c r="J584" s="1657"/>
      <c r="K584" s="1658">
        <v>40</v>
      </c>
      <c r="L584" s="1659"/>
      <c r="M584" s="1659"/>
      <c r="N584" s="1659"/>
      <c r="O584" s="1659"/>
      <c r="P584" s="1660"/>
      <c r="Q584" s="1727">
        <f t="shared" si="6"/>
        <v>0</v>
      </c>
      <c r="R584" s="1728"/>
      <c r="S584" s="1728"/>
      <c r="T584" s="1728"/>
      <c r="U584" s="1728"/>
      <c r="V584" s="1729"/>
      <c r="W584" s="1667">
        <f t="shared" si="7"/>
        <v>0</v>
      </c>
      <c r="X584" s="1668"/>
      <c r="Y584" s="1668"/>
      <c r="Z584" s="1668"/>
      <c r="AA584" s="1668"/>
      <c r="AB584" s="1669"/>
      <c r="AC584" s="1667">
        <f t="shared" si="4"/>
        <v>0</v>
      </c>
      <c r="AD584" s="1668"/>
      <c r="AE584" s="1668"/>
      <c r="AF584" s="1668"/>
      <c r="AG584" s="1668"/>
      <c r="AH584" s="1669"/>
      <c r="AN584" s="281"/>
      <c r="AO584" s="4">
        <v>2</v>
      </c>
      <c r="AP584" s="1658">
        <f t="shared" si="5"/>
        <v>0</v>
      </c>
      <c r="AQ584" s="1659"/>
      <c r="AR584" s="1659"/>
      <c r="AS584" s="1659"/>
      <c r="AT584" s="1660"/>
      <c r="AX584" s="1825"/>
      <c r="AY584" s="1826"/>
      <c r="AZ584" s="1698"/>
      <c r="BA584" s="1700"/>
      <c r="BB584" s="1779">
        <f>IF(AP534=1,1,0)</f>
        <v>0</v>
      </c>
      <c r="BC584" s="1780"/>
      <c r="BD584" s="1698"/>
      <c r="BE584" s="1700"/>
      <c r="BF584" s="1825"/>
      <c r="BG584" s="1826"/>
      <c r="BH584" s="1708">
        <f>IF(AND(T610&gt;0,AP534&gt;0),1,0)</f>
        <v>1</v>
      </c>
      <c r="BI584" s="1710"/>
      <c r="BJ584" s="1825"/>
      <c r="BK584" s="1826"/>
      <c r="BL584" s="1708">
        <f>IF(AND(T610&gt;0,AP534&gt;0),1,0)</f>
        <v>1</v>
      </c>
      <c r="BM584" s="1710"/>
      <c r="BN584" s="1825"/>
      <c r="BO584" s="1826"/>
      <c r="BP584" s="1708">
        <f>IF(AND(T610&gt;0,AP534&gt;0),1,0)</f>
        <v>1</v>
      </c>
      <c r="BQ584" s="1710"/>
    </row>
    <row r="585" spans="5:96" s="4" customFormat="1" ht="12.75" customHeight="1">
      <c r="E585" s="1655"/>
      <c r="F585" s="1656"/>
      <c r="G585" s="1656"/>
      <c r="H585" s="1656"/>
      <c r="I585" s="1656"/>
      <c r="J585" s="1657"/>
      <c r="K585" s="1658">
        <v>45</v>
      </c>
      <c r="L585" s="1659"/>
      <c r="M585" s="1659"/>
      <c r="N585" s="1659"/>
      <c r="O585" s="1659"/>
      <c r="P585" s="1660"/>
      <c r="Q585" s="1727">
        <f t="shared" si="6"/>
        <v>0</v>
      </c>
      <c r="R585" s="1728"/>
      <c r="S585" s="1728"/>
      <c r="T585" s="1728"/>
      <c r="U585" s="1728"/>
      <c r="V585" s="1729"/>
      <c r="W585" s="1667">
        <f>IF(FLOOR(Q585,5)&gt;65,65,FLOOR(Q585,5))</f>
        <v>0</v>
      </c>
      <c r="X585" s="1668"/>
      <c r="Y585" s="1668"/>
      <c r="Z585" s="1668"/>
      <c r="AA585" s="1668"/>
      <c r="AB585" s="1669"/>
      <c r="AC585" s="1667">
        <f t="shared" si="4"/>
        <v>0</v>
      </c>
      <c r="AD585" s="1668"/>
      <c r="AE585" s="1668"/>
      <c r="AF585" s="1668"/>
      <c r="AG585" s="1668"/>
      <c r="AH585" s="1669"/>
      <c r="AN585" s="281"/>
      <c r="AO585" s="4">
        <v>1</v>
      </c>
      <c r="AP585" s="1658">
        <f t="shared" si="5"/>
        <v>0</v>
      </c>
      <c r="AQ585" s="1659"/>
      <c r="AR585" s="1659"/>
      <c r="AS585" s="1659"/>
      <c r="AT585" s="1660"/>
      <c r="AX585" s="1825"/>
      <c r="AY585" s="1826"/>
      <c r="AZ585" s="1698"/>
      <c r="BA585" s="1700"/>
      <c r="BB585" s="1825"/>
      <c r="BC585" s="1826"/>
      <c r="BD585" s="1698"/>
      <c r="BE585" s="1700"/>
      <c r="BF585" s="1779">
        <f>IF(AP535=1,1,0)</f>
        <v>0</v>
      </c>
      <c r="BG585" s="1780"/>
      <c r="BH585" s="1698"/>
      <c r="BI585" s="1700"/>
      <c r="BJ585" s="1825"/>
      <c r="BK585" s="1826"/>
      <c r="BL585" s="1708">
        <f>IF(AND(T611&gt;0,AP535&gt;0),1,0)</f>
        <v>1</v>
      </c>
      <c r="BM585" s="1710"/>
      <c r="BN585" s="1825"/>
      <c r="BO585" s="1826"/>
      <c r="BP585" s="1708">
        <f>IF(AND(T611&gt;0,AP535&gt;0),1,0)</f>
        <v>1</v>
      </c>
      <c r="BQ585" s="1710"/>
    </row>
    <row r="586" spans="5:96" s="4" customFormat="1" ht="12.75" customHeight="1">
      <c r="E586" s="1655"/>
      <c r="F586" s="1656"/>
      <c r="G586" s="1656"/>
      <c r="H586" s="1656"/>
      <c r="I586" s="1656"/>
      <c r="J586" s="1657"/>
      <c r="K586" s="1658">
        <f>IF(OR(Application!D211="Rural",Application!D211="Rural apportionment (Section 514)",Application!D211="Rural apportionment (Section 515)",Application!D211="Rural apportionment (CDBG-DR)",Application!D211="Rural apportionment (HOME)",Application!D211="Rural (Native American apportionment)"),"",50)</f>
        <v>50</v>
      </c>
      <c r="L586" s="1659"/>
      <c r="M586" s="1659"/>
      <c r="N586" s="1659"/>
      <c r="O586" s="1659"/>
      <c r="P586" s="1660"/>
      <c r="Q586" s="1727">
        <f t="shared" si="6"/>
        <v>0</v>
      </c>
      <c r="R586" s="1728"/>
      <c r="S586" s="1728"/>
      <c r="T586" s="1728"/>
      <c r="U586" s="1728"/>
      <c r="V586" s="1729"/>
      <c r="W586" s="1667">
        <f>IF(FLOOR(Q586,5)&gt;40,40,FLOOR(Q586,5))</f>
        <v>0</v>
      </c>
      <c r="X586" s="1668"/>
      <c r="Y586" s="1668"/>
      <c r="Z586" s="1668"/>
      <c r="AA586" s="1668"/>
      <c r="AB586" s="1669"/>
      <c r="AC586" s="1667">
        <f t="shared" si="4"/>
        <v>0</v>
      </c>
      <c r="AD586" s="1668"/>
      <c r="AE586" s="1668"/>
      <c r="AF586" s="1668"/>
      <c r="AG586" s="1668"/>
      <c r="AH586" s="1669"/>
      <c r="AN586" s="281"/>
      <c r="AO586" s="4">
        <v>0</v>
      </c>
      <c r="AP586" s="1658">
        <f t="shared" si="5"/>
        <v>0</v>
      </c>
      <c r="AQ586" s="1659"/>
      <c r="AR586" s="1659"/>
      <c r="AS586" s="1659"/>
      <c r="AT586" s="1660"/>
      <c r="AX586" s="1825"/>
      <c r="AY586" s="1826"/>
      <c r="AZ586" s="1698"/>
      <c r="BA586" s="1700"/>
      <c r="BB586" s="1825"/>
      <c r="BC586" s="1826"/>
      <c r="BD586" s="1698"/>
      <c r="BE586" s="1700"/>
      <c r="BF586" s="1825"/>
      <c r="BG586" s="1826"/>
      <c r="BH586" s="1698"/>
      <c r="BI586" s="1700"/>
      <c r="BJ586" s="1779">
        <f>IF(AP536=1,1,0)</f>
        <v>1</v>
      </c>
      <c r="BK586" s="1780"/>
      <c r="BL586" s="1825"/>
      <c r="BM586" s="1826"/>
      <c r="BN586" s="1825"/>
      <c r="BO586" s="1826"/>
      <c r="BP586" s="1708">
        <f>IF(AND(T612&gt;0,AP536&gt;0),1,0)</f>
        <v>1</v>
      </c>
      <c r="BQ586" s="1710"/>
    </row>
    <row r="587" spans="5:96" s="4" customFormat="1" ht="12.75" customHeight="1">
      <c r="E587" s="1753"/>
      <c r="F587" s="1754"/>
      <c r="G587" s="1754"/>
      <c r="H587" s="1754"/>
      <c r="I587" s="1754"/>
      <c r="J587" s="1755"/>
      <c r="K587" s="1861" t="str">
        <f>IF(OR(Application!D211="Rural",Application!D211="Rural apportionment (Section 514)",Application!D211="Rural apportionment (Section 515)",Application!D211="Rural apportionment (HOME)",Application!D211="Rural apportionment (CDBG-DR)",Application!D211="Rural (Native American apportionment)"),50,"")</f>
        <v/>
      </c>
      <c r="L587" s="1862"/>
      <c r="M587" s="1863" t="s">
        <v>2302</v>
      </c>
      <c r="N587" s="1863"/>
      <c r="O587" s="1863"/>
      <c r="P587" s="1864"/>
      <c r="Q587" s="1727">
        <f t="shared" si="6"/>
        <v>0</v>
      </c>
      <c r="R587" s="1728"/>
      <c r="S587" s="1728"/>
      <c r="T587" s="1728"/>
      <c r="U587" s="1728"/>
      <c r="V587" s="1729"/>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58"/>
      <c r="AQ587" s="1659"/>
      <c r="AR587" s="1659"/>
      <c r="AS587" s="1659"/>
      <c r="AT587" s="1660"/>
      <c r="AX587" s="1825"/>
      <c r="AY587" s="1826"/>
      <c r="AZ587" s="1698"/>
      <c r="BA587" s="1700"/>
      <c r="BB587" s="1825"/>
      <c r="BC587" s="1826"/>
      <c r="BD587" s="1698"/>
      <c r="BE587" s="1700"/>
      <c r="BF587" s="1825"/>
      <c r="BG587" s="1826"/>
      <c r="BH587" s="1698"/>
      <c r="BI587" s="1700"/>
      <c r="BJ587" s="1825"/>
      <c r="BK587" s="1826"/>
      <c r="BL587" s="1825"/>
      <c r="BM587" s="1826"/>
      <c r="BN587" s="1779">
        <f>IF(AP537=1,1,0)</f>
        <v>0</v>
      </c>
      <c r="BO587" s="1780"/>
      <c r="BP587" s="1698"/>
      <c r="BQ587" s="1700"/>
    </row>
    <row r="588" spans="5:96" s="4" customFormat="1" ht="12.75" customHeight="1">
      <c r="E588" s="1753"/>
      <c r="F588" s="1754"/>
      <c r="G588" s="1754"/>
      <c r="H588" s="1754"/>
      <c r="I588" s="1754"/>
      <c r="J588" s="1755"/>
      <c r="K588" s="1861" t="str">
        <f>IF(OR(Application!D211="Rural",Application!D211="Rural apportionment (Section 514)",Application!D211="Rural apportionment (Section 515)",Application!D211="Rural apportionment (HOME)",Application!D211="Rural apportionment (CDBG-DR)",Application!D211="Rural (Native American apportionment)"),55,"")</f>
        <v/>
      </c>
      <c r="L588" s="1862"/>
      <c r="M588" s="1863" t="s">
        <v>2302</v>
      </c>
      <c r="N588" s="1863"/>
      <c r="O588" s="1863"/>
      <c r="P588" s="1864"/>
      <c r="Q588" s="1727">
        <f t="shared" si="6"/>
        <v>0</v>
      </c>
      <c r="R588" s="1728"/>
      <c r="S588" s="1728"/>
      <c r="T588" s="1728"/>
      <c r="U588" s="1728"/>
      <c r="V588" s="1729"/>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79">
        <f>SUM(AX583:AY587)</f>
        <v>0</v>
      </c>
      <c r="AY588" s="1780"/>
      <c r="AZ588" s="1708">
        <f>SUM(AZ584:BA587)</f>
        <v>0</v>
      </c>
      <c r="BA588" s="1710"/>
      <c r="BB588" s="1779">
        <f>SUM(BB584:BC587)</f>
        <v>0</v>
      </c>
      <c r="BC588" s="1780"/>
      <c r="BD588" s="1708">
        <f>SUM(BD583:BE587)</f>
        <v>0</v>
      </c>
      <c r="BE588" s="1710"/>
      <c r="BF588" s="1779">
        <f>SUM(BF585:BG587)</f>
        <v>0</v>
      </c>
      <c r="BG588" s="1780"/>
      <c r="BH588" s="1708">
        <f>SUM(BH583:BI587)</f>
        <v>1</v>
      </c>
      <c r="BI588" s="1710"/>
      <c r="BJ588" s="1779">
        <f>SUM(BJ583:BK587)</f>
        <v>1</v>
      </c>
      <c r="BK588" s="1780"/>
      <c r="BL588" s="1708">
        <f>SUM(BL583:BM587)</f>
        <v>2</v>
      </c>
      <c r="BM588" s="1710"/>
      <c r="BN588" s="1779">
        <f>SUM(BN583:BO587)</f>
        <v>0</v>
      </c>
      <c r="BO588" s="1780"/>
      <c r="BP588" s="1708">
        <f>SUM(BP583:BQ587)</f>
        <v>3</v>
      </c>
      <c r="BQ588" s="1710"/>
    </row>
    <row r="589" spans="5:96" s="4" customFormat="1" ht="12.75" customHeight="1">
      <c r="E589" s="1655"/>
      <c r="F589" s="1656"/>
      <c r="G589" s="1656"/>
      <c r="H589" s="1656"/>
      <c r="I589" s="1656"/>
      <c r="J589" s="1657"/>
      <c r="K589" s="1658" t="s">
        <v>2118</v>
      </c>
      <c r="L589" s="1659"/>
      <c r="M589" s="1659"/>
      <c r="N589" s="1659"/>
      <c r="O589" s="1659"/>
      <c r="P589" s="1660"/>
      <c r="Q589" s="1727">
        <f t="shared" si="6"/>
        <v>0</v>
      </c>
      <c r="R589" s="1728"/>
      <c r="S589" s="1728"/>
      <c r="T589" s="1728"/>
      <c r="U589" s="1728"/>
      <c r="V589" s="1729"/>
      <c r="W589" s="1667">
        <f t="shared" si="7"/>
        <v>0</v>
      </c>
      <c r="X589" s="1668"/>
      <c r="Y589" s="1668"/>
      <c r="Z589" s="1668"/>
      <c r="AA589" s="1668"/>
      <c r="AB589" s="1669"/>
      <c r="AC589" s="1667">
        <v>0</v>
      </c>
      <c r="AD589" s="1668"/>
      <c r="AE589" s="1668"/>
      <c r="AF589" s="1668"/>
      <c r="AG589" s="1668"/>
      <c r="AH589" s="1669"/>
      <c r="AN589" s="281"/>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1</v>
      </c>
      <c r="BK589" s="1794"/>
      <c r="BL589" s="1794"/>
      <c r="BM589" s="1795"/>
      <c r="BN589" s="1793">
        <f>IF(AND(BN588=1,BP588&gt;=1),1,0)</f>
        <v>0</v>
      </c>
      <c r="BO589" s="1794"/>
      <c r="BP589" s="1794"/>
      <c r="BQ589" s="1795"/>
    </row>
    <row r="590" spans="5:96" s="4" customFormat="1" ht="12.75" customHeight="1">
      <c r="E590" s="1655">
        <v>7</v>
      </c>
      <c r="F590" s="1656"/>
      <c r="G590" s="1656"/>
      <c r="H590" s="1656"/>
      <c r="I590" s="1656"/>
      <c r="J590" s="1657"/>
      <c r="K590" s="1658" t="s">
        <v>2119</v>
      </c>
      <c r="L590" s="1659"/>
      <c r="M590" s="1659"/>
      <c r="N590" s="1659"/>
      <c r="O590" s="1659"/>
      <c r="P590" s="1660"/>
      <c r="Q590" s="1727">
        <f>IF(ISERROR(IF((((E590/$BJ$528)*100)&gt;100),"EXCESSIVE VALUE",(E590/$BJ$528)*100)),0,IF((((E590/$BJ$528)*100)&gt;100),"EXCESSIVE VALUE",(E590/$BJ$528)*100))</f>
        <v>19.444444444444446</v>
      </c>
      <c r="R590" s="1728"/>
      <c r="S590" s="1728"/>
      <c r="T590" s="1728"/>
      <c r="U590" s="1728"/>
      <c r="V590" s="1729"/>
      <c r="W590" s="1667">
        <f>IF(FLOOR(Q590,5)&gt;80,80,FLOOR(Q590,5))</f>
        <v>15</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609</v>
      </c>
      <c r="BJ590" s="1793">
        <f>AX589+BB589+BF589+BJ589+BN589</f>
        <v>1</v>
      </c>
      <c r="BK590" s="1794"/>
      <c r="BL590" s="1794"/>
      <c r="BM590" s="1795"/>
      <c r="BN590"/>
      <c r="BO590"/>
      <c r="BP590"/>
      <c r="BQ590"/>
    </row>
    <row r="591" spans="5:96" s="4" customFormat="1" ht="12.75" customHeight="1">
      <c r="E591" s="1655">
        <v>7</v>
      </c>
      <c r="F591" s="1656"/>
      <c r="G591" s="1656"/>
      <c r="H591" s="1656"/>
      <c r="I591" s="1656"/>
      <c r="J591" s="1657"/>
      <c r="K591" s="1658" t="s">
        <v>2120</v>
      </c>
      <c r="L591" s="1659"/>
      <c r="M591" s="1659"/>
      <c r="N591" s="1659"/>
      <c r="O591" s="1659"/>
      <c r="P591" s="1660"/>
      <c r="Q591" s="1727">
        <f>IF(ISERROR(IF((((E591/$BJ$528)*100)&gt;100),"EXCESSIVE VALUE",(E591/$BJ$528)*100)),0,IF((((E591/$BJ$528)*100)&gt;100),"EXCESSIVE VALUE",(E591/$BJ$528)*100))</f>
        <v>19.444444444444446</v>
      </c>
      <c r="R591" s="1728"/>
      <c r="S591" s="1728"/>
      <c r="T591" s="1728"/>
      <c r="U591" s="1728"/>
      <c r="V591" s="1729"/>
      <c r="W591" s="1667">
        <f>IF(FLOOR(Q591,5)&gt;80,80,FLOOR(Q591,5))</f>
        <v>15</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608</v>
      </c>
      <c r="BK591"/>
      <c r="BL591"/>
      <c r="BM591"/>
      <c r="BN591"/>
      <c r="BO591"/>
      <c r="BP591"/>
      <c r="BQ591"/>
    </row>
    <row r="592" spans="5:96" s="4" customFormat="1" ht="12.75" customHeight="1">
      <c r="E592" s="1750">
        <f>SUM(E581:J591)</f>
        <v>36</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604</v>
      </c>
      <c r="AC592" s="1747">
        <f>IF(SUM(AC581:AH591)&gt;0,SUM(AC581:AH591),0)</f>
        <v>50</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2221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1935</v>
      </c>
      <c r="AG596" s="1711" t="s">
        <v>102</v>
      </c>
      <c r="AH596" s="1711"/>
      <c r="AI596" s="1711"/>
      <c r="AJ596" s="1711"/>
      <c r="AK596" s="5"/>
      <c r="AL596" s="5"/>
      <c r="AM596" s="5"/>
      <c r="AN596" s="281"/>
    </row>
    <row r="597" spans="1:64" s="4" customFormat="1" ht="12.75" customHeight="1">
      <c r="B597" s="1673" t="s">
        <v>2108</v>
      </c>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I597" s="21"/>
      <c r="AJ597" s="21"/>
      <c r="AK597"/>
      <c r="AL597"/>
      <c r="AM597"/>
      <c r="AN597" s="281"/>
    </row>
    <row r="598" spans="1:64" s="4" customFormat="1" ht="12.75" customHeight="1">
      <c r="A598" s="2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c r="AI598" s="21"/>
      <c r="AJ598" s="21"/>
      <c r="AK598"/>
      <c r="AL598"/>
      <c r="AM598"/>
      <c r="AN598" s="281"/>
    </row>
    <row r="599" spans="1:64" s="4" customFormat="1" ht="12.75" customHeight="1">
      <c r="A599" s="21"/>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3"/>
      <c r="Z599" s="1673"/>
      <c r="AA599" s="1673"/>
      <c r="AB599" s="1673"/>
      <c r="AC599" s="1673"/>
      <c r="AD599" s="1673"/>
      <c r="AE599" s="1673"/>
      <c r="AF599" s="1673"/>
      <c r="AG599" s="1673"/>
      <c r="AH599" s="1673"/>
      <c r="AI599" s="21"/>
      <c r="AJ599" s="21"/>
      <c r="AK599"/>
      <c r="AL599"/>
      <c r="AM599"/>
      <c r="AN599" s="281"/>
    </row>
    <row r="600" spans="1:64" s="4" customFormat="1" ht="12.75" customHeight="1">
      <c r="A600" s="21"/>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3"/>
      <c r="Z600" s="1673"/>
      <c r="AA600" s="1673"/>
      <c r="AB600" s="1673"/>
      <c r="AC600" s="1673"/>
      <c r="AD600" s="1673"/>
      <c r="AE600" s="1673"/>
      <c r="AF600" s="1673"/>
      <c r="AG600" s="1673"/>
      <c r="AH600" s="1673"/>
      <c r="AI600" s="21"/>
      <c r="AJ600" s="21"/>
      <c r="AK600"/>
      <c r="AL600"/>
      <c r="AM600"/>
      <c r="AN600" s="669"/>
    </row>
    <row r="601" spans="1:64">
      <c r="B601" s="1673"/>
      <c r="C601" s="1673"/>
      <c r="D601" s="1673"/>
      <c r="E601" s="1673"/>
      <c r="F601" s="1673"/>
      <c r="G601" s="1673"/>
      <c r="H601" s="1673"/>
      <c r="I601" s="1673"/>
      <c r="J601" s="1673"/>
      <c r="K601" s="1673"/>
      <c r="L601" s="1673"/>
      <c r="M601" s="1673"/>
      <c r="N601" s="1673"/>
      <c r="O601" s="1673"/>
      <c r="P601" s="1673"/>
      <c r="Q601" s="1673"/>
      <c r="R601" s="1673"/>
      <c r="S601" s="1673"/>
      <c r="T601" s="1673"/>
      <c r="U601" s="1673"/>
      <c r="V601" s="1673"/>
      <c r="W601" s="1673"/>
      <c r="X601" s="1673"/>
      <c r="Y601" s="1673"/>
      <c r="Z601" s="1673"/>
      <c r="AA601" s="1673"/>
      <c r="AB601" s="1673"/>
      <c r="AC601" s="1673"/>
      <c r="AD601" s="1673"/>
      <c r="AE601" s="1673"/>
      <c r="AF601" s="1673"/>
      <c r="AG601" s="1673"/>
      <c r="AH601" s="1673"/>
      <c r="AK601"/>
      <c r="AL601"/>
      <c r="AM601"/>
      <c r="BD601" s="21"/>
      <c r="BE601" s="21"/>
      <c r="BF601" s="21"/>
      <c r="BG601" s="21"/>
      <c r="BH601" s="21"/>
    </row>
    <row r="602" spans="1:64" ht="12.75" customHeight="1">
      <c r="B602" s="1673"/>
      <c r="C602" s="1673"/>
      <c r="D602" s="1673"/>
      <c r="E602" s="1673"/>
      <c r="F602" s="1673"/>
      <c r="G602" s="1673"/>
      <c r="H602" s="1673"/>
      <c r="I602" s="1673"/>
      <c r="J602" s="1673"/>
      <c r="K602" s="1673"/>
      <c r="L602" s="1673"/>
      <c r="M602" s="1673"/>
      <c r="N602" s="1673"/>
      <c r="O602" s="1673"/>
      <c r="P602" s="1673"/>
      <c r="Q602" s="1673"/>
      <c r="R602" s="1673"/>
      <c r="S602" s="1673"/>
      <c r="T602" s="1673"/>
      <c r="U602" s="1673"/>
      <c r="V602" s="1673"/>
      <c r="W602" s="1673"/>
      <c r="X602" s="1673"/>
      <c r="Y602" s="1673"/>
      <c r="Z602" s="1673"/>
      <c r="AA602" s="1673"/>
      <c r="AB602" s="1673"/>
      <c r="AC602" s="1673"/>
      <c r="AD602" s="1673"/>
      <c r="AE602" s="1673"/>
      <c r="AF602" s="1673"/>
      <c r="AG602" s="1673"/>
      <c r="AH602" s="1673"/>
    </row>
    <row r="603" spans="1:64" ht="12.75" customHeight="1">
      <c r="E603" s="162"/>
    </row>
    <row r="604" spans="1:64">
      <c r="J604" s="1804" t="s">
        <v>794</v>
      </c>
      <c r="K604" s="1805"/>
      <c r="L604" s="1805"/>
      <c r="M604" s="1805"/>
      <c r="N604" s="1806"/>
      <c r="O604" s="1512" t="s">
        <v>1496</v>
      </c>
      <c r="P604" s="1513"/>
      <c r="Q604" s="1513"/>
      <c r="R604" s="1513"/>
      <c r="S604" s="1514"/>
      <c r="T604" s="1512" t="s">
        <v>1759</v>
      </c>
      <c r="U604" s="1513"/>
      <c r="V604" s="1513"/>
      <c r="W604" s="1513"/>
      <c r="X604" s="1514"/>
      <c r="Y604" s="1512" t="s">
        <v>1497</v>
      </c>
      <c r="Z604" s="1513"/>
      <c r="AA604" s="1513"/>
      <c r="AB604" s="1513"/>
      <c r="AC604" s="1514"/>
      <c r="AF604"/>
      <c r="AG604"/>
      <c r="AH604"/>
      <c r="AI604"/>
      <c r="AJ604"/>
    </row>
    <row r="605" spans="1:64">
      <c r="D605"/>
      <c r="E605"/>
      <c r="F605"/>
      <c r="G605"/>
      <c r="H605"/>
      <c r="I605"/>
      <c r="J605" s="1704"/>
      <c r="K605" s="1705"/>
      <c r="L605" s="1705"/>
      <c r="M605" s="1705"/>
      <c r="N605" s="1807"/>
      <c r="O605" s="1515"/>
      <c r="P605" s="1516"/>
      <c r="Q605" s="1516"/>
      <c r="R605" s="1516"/>
      <c r="S605" s="1517"/>
      <c r="T605" s="1515"/>
      <c r="U605" s="1516"/>
      <c r="V605" s="1516"/>
      <c r="W605" s="1516"/>
      <c r="X605" s="1517"/>
      <c r="Y605" s="1515"/>
      <c r="Z605" s="1516"/>
      <c r="AA605" s="1516"/>
      <c r="AB605" s="1516"/>
      <c r="AC605" s="1517"/>
      <c r="AF605"/>
      <c r="AG605"/>
      <c r="AH605"/>
      <c r="AI605"/>
      <c r="AJ605"/>
      <c r="AO605" s="38" t="s">
        <v>2217</v>
      </c>
      <c r="AR605" s="21" t="b">
        <f>$Y$614&gt;=10%</f>
        <v>1</v>
      </c>
    </row>
    <row r="606" spans="1:64">
      <c r="I606"/>
      <c r="J606" s="1704"/>
      <c r="K606" s="1705"/>
      <c r="L606" s="1705"/>
      <c r="M606" s="1705"/>
      <c r="N606" s="1807"/>
      <c r="O606" s="1515"/>
      <c r="P606" s="1516"/>
      <c r="Q606" s="1516"/>
      <c r="R606" s="1516"/>
      <c r="S606" s="1517"/>
      <c r="T606" s="1515"/>
      <c r="U606" s="1516"/>
      <c r="V606" s="1516"/>
      <c r="W606" s="1516"/>
      <c r="X606" s="1517"/>
      <c r="Y606" s="1515"/>
      <c r="Z606" s="1516"/>
      <c r="AA606" s="1516"/>
      <c r="AB606" s="1516"/>
      <c r="AC606" s="1517"/>
      <c r="AD606"/>
      <c r="AF606"/>
      <c r="AG606"/>
      <c r="AH606"/>
      <c r="AI606"/>
      <c r="AJ606"/>
      <c r="AO606" s="38" t="s">
        <v>2218</v>
      </c>
      <c r="AR606" s="954">
        <f>ROUNDUP(($O$614*10%),0)</f>
        <v>4</v>
      </c>
    </row>
    <row r="607" spans="1:64">
      <c r="D607"/>
      <c r="E607"/>
      <c r="F607"/>
      <c r="G607"/>
      <c r="H607"/>
      <c r="I607"/>
      <c r="J607" s="1704"/>
      <c r="K607" s="1705"/>
      <c r="L607" s="1705"/>
      <c r="M607" s="1705"/>
      <c r="N607" s="1807"/>
      <c r="O607" s="1515"/>
      <c r="P607" s="1516"/>
      <c r="Q607" s="1516"/>
      <c r="R607" s="1516"/>
      <c r="S607" s="1517"/>
      <c r="T607" s="1515"/>
      <c r="U607" s="1516"/>
      <c r="V607" s="1516"/>
      <c r="W607" s="1516"/>
      <c r="X607" s="1517"/>
      <c r="Y607" s="1515"/>
      <c r="Z607" s="1516"/>
      <c r="AA607" s="1516"/>
      <c r="AB607" s="1516"/>
      <c r="AC607" s="1517"/>
      <c r="AD607"/>
      <c r="AF607"/>
      <c r="AG607"/>
      <c r="AH607"/>
      <c r="AI607"/>
      <c r="AJ607"/>
      <c r="AO607" s="38" t="s">
        <v>2219</v>
      </c>
      <c r="AR607" s="21" t="s">
        <v>2220</v>
      </c>
    </row>
    <row r="608" spans="1:64">
      <c r="D608"/>
      <c r="E608"/>
      <c r="F608"/>
      <c r="G608"/>
      <c r="H608"/>
      <c r="I608"/>
      <c r="J608" s="1735" t="s">
        <v>224</v>
      </c>
      <c r="K608" s="1736"/>
      <c r="L608" s="1736"/>
      <c r="M608" s="1736"/>
      <c r="N608" s="1737"/>
      <c r="O608" s="1658">
        <f>Application!CM626</f>
        <v>0</v>
      </c>
      <c r="P608" s="1659"/>
      <c r="Q608" s="1659"/>
      <c r="R608" s="1659"/>
      <c r="S608" s="1660"/>
      <c r="T608" s="1658">
        <f>Application!DR627</f>
        <v>0</v>
      </c>
      <c r="U608" s="1659"/>
      <c r="V608" s="1659"/>
      <c r="W608" s="1659"/>
      <c r="X608" s="1660"/>
      <c r="Y608" s="1742">
        <f t="shared" ref="Y608:Y612" si="8">IF(T608&gt;0,T608/O608,0)</f>
        <v>0</v>
      </c>
      <c r="Z608" s="1743"/>
      <c r="AA608" s="1743"/>
      <c r="AB608" s="1743"/>
      <c r="AC608" s="1744"/>
      <c r="AD608"/>
      <c r="AF608"/>
      <c r="AG608"/>
      <c r="AH608"/>
      <c r="AI608"/>
      <c r="AJ608"/>
      <c r="AO608" s="954">
        <f>ROUNDUP((O608*10%),0)</f>
        <v>0</v>
      </c>
      <c r="AP608" s="206"/>
      <c r="AR608" s="955" t="b">
        <f>OR(SUM($T$608:T608)&gt;=$AR$606,T608&gt;=AO608)</f>
        <v>1</v>
      </c>
    </row>
    <row r="609" spans="1:60">
      <c r="D609"/>
      <c r="E609"/>
      <c r="F609"/>
      <c r="G609"/>
      <c r="H609"/>
      <c r="I609"/>
      <c r="J609" s="1735" t="s">
        <v>31</v>
      </c>
      <c r="K609" s="1736"/>
      <c r="L609" s="1736"/>
      <c r="M609" s="1736"/>
      <c r="N609" s="1737"/>
      <c r="O609" s="1658">
        <f>Application!CH626</f>
        <v>0</v>
      </c>
      <c r="P609" s="1659"/>
      <c r="Q609" s="1659"/>
      <c r="R609" s="1659"/>
      <c r="S609" s="1660"/>
      <c r="T609" s="1658">
        <f>Application!DM627</f>
        <v>0</v>
      </c>
      <c r="U609" s="1659"/>
      <c r="V609" s="1659"/>
      <c r="W609" s="1659"/>
      <c r="X609" s="1660"/>
      <c r="Y609" s="1742">
        <f t="shared" si="8"/>
        <v>0</v>
      </c>
      <c r="Z609" s="1743"/>
      <c r="AA609" s="1743"/>
      <c r="AB609" s="1743"/>
      <c r="AC609" s="1744"/>
      <c r="AD609"/>
      <c r="AF609"/>
      <c r="AG609"/>
      <c r="AH609"/>
      <c r="AI609"/>
      <c r="AJ609"/>
      <c r="AO609" s="954">
        <f t="shared" ref="AO609:AO613" si="9">ROUNDUP((O609*10%),0)</f>
        <v>0</v>
      </c>
      <c r="AP609" s="206"/>
      <c r="AR609" s="955" t="b">
        <f>OR(SUM($T$608:T609)&gt;=$AR$606,T609&gt;=AO609)</f>
        <v>1</v>
      </c>
    </row>
    <row r="610" spans="1:60">
      <c r="D610"/>
      <c r="E610"/>
      <c r="F610"/>
      <c r="G610"/>
      <c r="H610"/>
      <c r="I610"/>
      <c r="J610" s="1735" t="s">
        <v>264</v>
      </c>
      <c r="K610" s="1736"/>
      <c r="L610" s="1736"/>
      <c r="M610" s="1736"/>
      <c r="N610" s="1737"/>
      <c r="O610" s="1658">
        <f>Application!CC626</f>
        <v>9</v>
      </c>
      <c r="P610" s="1659"/>
      <c r="Q610" s="1659"/>
      <c r="R610" s="1659"/>
      <c r="S610" s="1660"/>
      <c r="T610" s="1658">
        <f>Application!DH627</f>
        <v>2</v>
      </c>
      <c r="U610" s="1659"/>
      <c r="V610" s="1659"/>
      <c r="W610" s="1659"/>
      <c r="X610" s="1660"/>
      <c r="Y610" s="1742">
        <f t="shared" si="8"/>
        <v>0.22222222222222221</v>
      </c>
      <c r="Z610" s="1743"/>
      <c r="AA610" s="1743"/>
      <c r="AB610" s="1743"/>
      <c r="AC610" s="1744"/>
      <c r="AD610"/>
      <c r="AF610"/>
      <c r="AG610"/>
      <c r="AH610"/>
      <c r="AI610"/>
      <c r="AJ610"/>
      <c r="AO610" s="954">
        <f t="shared" si="9"/>
        <v>1</v>
      </c>
      <c r="AP610" s="206"/>
      <c r="AR610" s="955" t="b">
        <f>OR(SUM($T$608:T610)&gt;=$AR$606,T610&gt;=AO610)</f>
        <v>1</v>
      </c>
    </row>
    <row r="611" spans="1:60">
      <c r="D611"/>
      <c r="E611"/>
      <c r="F611"/>
      <c r="G611"/>
      <c r="H611"/>
      <c r="I611"/>
      <c r="J611" s="1735" t="s">
        <v>263</v>
      </c>
      <c r="K611" s="1736"/>
      <c r="L611" s="1736"/>
      <c r="M611" s="1736"/>
      <c r="N611" s="1737"/>
      <c r="O611" s="1658">
        <f>Application!BX626</f>
        <v>9</v>
      </c>
      <c r="P611" s="1659"/>
      <c r="Q611" s="1659"/>
      <c r="R611" s="1659"/>
      <c r="S611" s="1660"/>
      <c r="T611" s="1658">
        <f>Application!DC627</f>
        <v>2</v>
      </c>
      <c r="U611" s="1659"/>
      <c r="V611" s="1659"/>
      <c r="W611" s="1659"/>
      <c r="X611" s="1660"/>
      <c r="Y611" s="1742">
        <f t="shared" si="8"/>
        <v>0.22222222222222221</v>
      </c>
      <c r="Z611" s="1743"/>
      <c r="AA611" s="1743"/>
      <c r="AB611" s="1743"/>
      <c r="AC611" s="1744"/>
      <c r="AD611"/>
      <c r="AF611"/>
      <c r="AG611"/>
      <c r="AH611"/>
      <c r="AI611"/>
      <c r="AJ611"/>
      <c r="AO611" s="954">
        <f t="shared" si="9"/>
        <v>1</v>
      </c>
      <c r="AP611" s="206"/>
      <c r="AR611" s="955" t="b">
        <f>OR(SUM($T$608:T611)&gt;=$AR$606,T611&gt;=AO611)</f>
        <v>1</v>
      </c>
    </row>
    <row r="612" spans="1:60">
      <c r="D612"/>
      <c r="E612"/>
      <c r="F612"/>
      <c r="G612"/>
      <c r="H612"/>
      <c r="I612"/>
      <c r="J612" s="1735" t="s">
        <v>262</v>
      </c>
      <c r="K612" s="1736"/>
      <c r="L612" s="1736"/>
      <c r="M612" s="1736"/>
      <c r="N612" s="1737"/>
      <c r="O612" s="1658">
        <f>Application!BS626</f>
        <v>18</v>
      </c>
      <c r="P612" s="1659"/>
      <c r="Q612" s="1659"/>
      <c r="R612" s="1659"/>
      <c r="S612" s="1660"/>
      <c r="T612" s="1658">
        <f>Application!CX627</f>
        <v>18</v>
      </c>
      <c r="U612" s="1659"/>
      <c r="V612" s="1659"/>
      <c r="W612" s="1659"/>
      <c r="X612" s="1660"/>
      <c r="Y612" s="1742">
        <f t="shared" si="8"/>
        <v>1</v>
      </c>
      <c r="Z612" s="1743"/>
      <c r="AA612" s="1743"/>
      <c r="AB612" s="1743"/>
      <c r="AC612" s="1744"/>
      <c r="AD612"/>
      <c r="AF612"/>
      <c r="AG612"/>
      <c r="AH612"/>
      <c r="AI612"/>
      <c r="AJ612"/>
      <c r="AO612" s="954">
        <f t="shared" si="9"/>
        <v>2</v>
      </c>
      <c r="AP612" s="206"/>
      <c r="AR612" s="955" t="b">
        <f>OR(SUM($T$608:T612)&gt;=$AR$606,T612&gt;=AO612)</f>
        <v>1</v>
      </c>
    </row>
    <row r="613" spans="1:60">
      <c r="D613"/>
      <c r="E613"/>
      <c r="F613"/>
      <c r="G613"/>
      <c r="H613"/>
      <c r="I613"/>
      <c r="J613" s="1735" t="s">
        <v>614</v>
      </c>
      <c r="K613" s="1736"/>
      <c r="L613" s="1736"/>
      <c r="M613" s="1736"/>
      <c r="N613" s="1737"/>
      <c r="O613" s="1658">
        <f>Application!BN626</f>
        <v>0</v>
      </c>
      <c r="P613" s="1659"/>
      <c r="Q613" s="1659"/>
      <c r="R613" s="1659"/>
      <c r="S613" s="1660"/>
      <c r="T613" s="1658">
        <f>Application!CS627</f>
        <v>0</v>
      </c>
      <c r="U613" s="1659"/>
      <c r="V613" s="1659"/>
      <c r="W613" s="1659"/>
      <c r="X613" s="1660"/>
      <c r="Y613" s="1742">
        <f>IF(T613&gt;0,T613/O613,0)</f>
        <v>0</v>
      </c>
      <c r="Z613" s="1743"/>
      <c r="AA613" s="1743"/>
      <c r="AB613" s="1743"/>
      <c r="AC613" s="1744"/>
      <c r="AD613"/>
      <c r="AF613"/>
      <c r="AG613"/>
      <c r="AH613"/>
      <c r="AI613"/>
      <c r="AJ613"/>
      <c r="AO613" s="954">
        <f t="shared" si="9"/>
        <v>0</v>
      </c>
      <c r="AP613" s="206"/>
      <c r="AR613" s="955" t="b">
        <f>OR(SUM($T$608:T613)&gt;=$AR$606,T613&gt;=AO613)</f>
        <v>1</v>
      </c>
    </row>
    <row r="614" spans="1:60">
      <c r="D614"/>
      <c r="E614"/>
      <c r="F614"/>
      <c r="G614"/>
      <c r="H614"/>
      <c r="I614"/>
      <c r="J614" s="1155" t="s">
        <v>875</v>
      </c>
      <c r="K614" s="1156"/>
      <c r="L614" s="1156"/>
      <c r="M614" s="1156"/>
      <c r="N614" s="1157"/>
      <c r="O614" s="1724">
        <f>SUM(O608:S613)</f>
        <v>36</v>
      </c>
      <c r="P614" s="1725"/>
      <c r="Q614" s="1725"/>
      <c r="R614" s="1725"/>
      <c r="S614" s="1726"/>
      <c r="T614" s="1724">
        <f>SUM(T608:X613)</f>
        <v>22</v>
      </c>
      <c r="U614" s="1725"/>
      <c r="V614" s="1725"/>
      <c r="W614" s="1725"/>
      <c r="X614" s="1726"/>
      <c r="Y614" s="1801">
        <f>IF(T614&gt;0,T614/O614,0)</f>
        <v>0.61111111111111116</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4" t="s">
        <v>1500</v>
      </c>
      <c r="B617" s="1185"/>
      <c r="C617" s="1185"/>
      <c r="D617" s="1185"/>
      <c r="E617" s="1185"/>
      <c r="F617" s="1185"/>
      <c r="G617" s="1185"/>
      <c r="H617" s="1185"/>
      <c r="I617" s="1185"/>
      <c r="J617" s="1185"/>
      <c r="K617" s="1185"/>
      <c r="L617" s="1185"/>
      <c r="M617" s="1185"/>
      <c r="N617" s="1185"/>
      <c r="O617" s="1185"/>
      <c r="P617" s="1185"/>
      <c r="Q617" s="1185"/>
      <c r="R617" s="1185"/>
      <c r="S617" s="1185"/>
      <c r="T617" s="1185"/>
      <c r="U617" s="1185"/>
      <c r="V617" s="1185"/>
      <c r="W617" s="1185"/>
      <c r="X617" s="1185"/>
      <c r="Y617" s="1185"/>
      <c r="Z617" s="1185"/>
      <c r="AA617" s="1185"/>
      <c r="AB617" s="1185"/>
      <c r="AC617" s="1185"/>
      <c r="AD617" s="1185"/>
      <c r="AE617" s="1185"/>
      <c r="AF617" s="1185"/>
      <c r="AG617" s="1185"/>
      <c r="AH617" s="1185"/>
      <c r="AI617" s="1186"/>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179</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7">
        <f>IF($E$592=Application!G730,$AC$592+$AJ$617,0)</f>
        <v>52</v>
      </c>
      <c r="AL619" s="1268"/>
      <c r="AM619" s="126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5" t="s">
        <v>1501</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107</v>
      </c>
      <c r="D627" s="1100"/>
      <c r="E627" s="185"/>
      <c r="F627" s="1884" t="s">
        <v>2210</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7" t="s">
        <v>937</v>
      </c>
      <c r="AH627" s="1037"/>
      <c r="AI627" s="1037"/>
      <c r="AJ627" s="1037"/>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65"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75" t="s">
        <v>2215</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65"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6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65"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65"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65"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65"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6"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1937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107</v>
      </c>
      <c r="D650" s="1100"/>
      <c r="E650" s="185" t="s">
        <v>580</v>
      </c>
      <c r="F650" s="19" t="s">
        <v>1763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1764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123</v>
      </c>
      <c r="D655" s="1100"/>
      <c r="E655" s="185" t="s">
        <v>196</v>
      </c>
      <c r="F655" s="19" t="s">
        <v>1150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123</v>
      </c>
      <c r="D659" s="1100"/>
      <c r="E659" s="185" t="s">
        <v>889</v>
      </c>
      <c r="F659" s="502" t="s">
        <v>1259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123</v>
      </c>
      <c r="D663" s="1100"/>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123</v>
      </c>
      <c r="D665" s="1100"/>
      <c r="E665" s="185" t="s">
        <v>731</v>
      </c>
      <c r="F665" s="19" t="s">
        <v>1260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123</v>
      </c>
      <c r="D670" s="1100"/>
      <c r="E670" s="185" t="s">
        <v>279</v>
      </c>
      <c r="F670" s="19" t="s">
        <v>1121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123</v>
      </c>
      <c r="D673" s="1100"/>
      <c r="E673" s="185" t="s">
        <v>280</v>
      </c>
      <c r="F673" s="1675" t="s">
        <v>2202</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102</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721</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1" t="s">
        <v>1931</v>
      </c>
      <c r="B694" s="1171"/>
      <c r="C694" s="1171"/>
      <c r="D694" s="1171"/>
      <c r="E694" s="1171"/>
      <c r="F694" s="1171"/>
      <c r="G694" s="1171"/>
      <c r="H694" s="1171"/>
      <c r="I694" s="1171"/>
      <c r="J694" s="1171"/>
      <c r="K694" s="1171"/>
      <c r="L694" s="1171"/>
      <c r="M694" s="1171"/>
      <c r="N694" s="1171"/>
      <c r="O694" s="1171"/>
      <c r="P694" s="1171"/>
      <c r="Q694" s="1171"/>
      <c r="R694" s="1171"/>
      <c r="S694" s="1171"/>
      <c r="T694" s="1171"/>
      <c r="U694" s="1171"/>
      <c r="V694" s="1171"/>
      <c r="W694" s="1171"/>
      <c r="X694" s="1171"/>
      <c r="Y694" s="1171"/>
      <c r="Z694" s="1171"/>
      <c r="AA694" s="1171"/>
      <c r="AB694" s="1171"/>
      <c r="AC694" s="1171"/>
      <c r="AD694" s="1171"/>
      <c r="AE694" s="1171"/>
      <c r="AF694" s="1171"/>
      <c r="AG694" s="1171"/>
      <c r="AH694" s="1171"/>
      <c r="AI694" s="1171"/>
      <c r="AJ694" s="1171"/>
      <c r="AK694" s="1171"/>
      <c r="AL694" s="1171"/>
      <c r="AM694" s="1171"/>
      <c r="AO694" s="206">
        <f>IF(T703&gt;15,15,T703)</f>
        <v>15</v>
      </c>
      <c r="AP694" s="206"/>
      <c r="AQ694" s="206"/>
    </row>
    <row r="695" spans="1:43">
      <c r="A695" s="1171" t="s">
        <v>1932</v>
      </c>
      <c r="B695" s="1171"/>
      <c r="C695" s="1171"/>
      <c r="D695" s="1171"/>
      <c r="E695" s="1171"/>
      <c r="F695" s="1171"/>
      <c r="G695" s="1171"/>
      <c r="H695" s="1171"/>
      <c r="I695" s="1171"/>
      <c r="J695" s="1171"/>
      <c r="K695" s="1171"/>
      <c r="L695" s="1171"/>
      <c r="M695" s="1171"/>
      <c r="N695" s="1171"/>
      <c r="O695" s="1171"/>
      <c r="P695" s="1171"/>
      <c r="Q695" s="1171"/>
      <c r="R695" s="1171"/>
      <c r="S695" s="1171"/>
      <c r="T695" s="1171"/>
      <c r="U695" s="1171"/>
      <c r="V695" s="1171"/>
      <c r="W695" s="1171"/>
      <c r="X695" s="1171"/>
      <c r="Y695" s="1171"/>
      <c r="Z695" s="1171"/>
      <c r="AA695" s="1171"/>
      <c r="AB695" s="1171"/>
      <c r="AC695" s="1171"/>
      <c r="AD695" s="1171"/>
      <c r="AE695" s="1171"/>
      <c r="AF695" s="1171"/>
      <c r="AG695" s="1171"/>
      <c r="AH695" s="1171"/>
      <c r="AI695" s="1171"/>
      <c r="AJ695" s="1171"/>
      <c r="AK695" s="1171"/>
      <c r="AL695" s="1171"/>
      <c r="AM695" s="117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5" t="s">
        <v>233</v>
      </c>
      <c r="U696" s="1553"/>
      <c r="V696" s="1553"/>
      <c r="W696" s="1553"/>
      <c r="X696" s="1553"/>
      <c r="Y696" s="1554"/>
      <c r="Z696" s="1555" t="s">
        <v>232</v>
      </c>
      <c r="AA696" s="1553"/>
      <c r="AB696" s="1553"/>
      <c r="AC696" s="1553"/>
      <c r="AD696" s="1553"/>
      <c r="AE696" s="1554"/>
      <c r="AF696" s="1555" t="s">
        <v>234</v>
      </c>
      <c r="AG696" s="1553"/>
      <c r="AH696" s="1553"/>
      <c r="AI696" s="1553"/>
      <c r="AJ696" s="1553"/>
      <c r="AK696" s="155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6"/>
      <c r="U697" s="1547"/>
      <c r="V697" s="1547"/>
      <c r="W697" s="1547"/>
      <c r="X697" s="1547"/>
      <c r="Y697" s="1548"/>
      <c r="Z697" s="1546"/>
      <c r="AA697" s="1547"/>
      <c r="AB697" s="1547"/>
      <c r="AC697" s="1547"/>
      <c r="AD697" s="1547"/>
      <c r="AE697" s="1548"/>
      <c r="AF697" s="1546"/>
      <c r="AG697" s="1547"/>
      <c r="AH697" s="1547"/>
      <c r="AI697" s="1547"/>
      <c r="AJ697" s="1547"/>
      <c r="AK697" s="1548"/>
      <c r="AL697" s="778"/>
      <c r="AM697" s="20"/>
    </row>
    <row r="698" spans="1:43">
      <c r="A698" s="594" t="s">
        <v>652</v>
      </c>
      <c r="B698" s="1768" t="s">
        <v>269</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c r="A699" s="614"/>
      <c r="B699" s="615"/>
      <c r="C699" s="620"/>
      <c r="D699" s="306" t="s">
        <v>209</v>
      </c>
      <c r="E699" s="1771" t="s">
        <v>235</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70">
        <v>7</v>
      </c>
      <c r="AA699" s="1670"/>
      <c r="AB699" s="1670"/>
      <c r="AC699" s="1670"/>
      <c r="AD699" s="1670"/>
      <c r="AE699" s="1670"/>
      <c r="AF699" s="1783"/>
      <c r="AG699" s="1783"/>
      <c r="AH699" s="1783"/>
      <c r="AI699" s="1783"/>
      <c r="AJ699" s="1783"/>
      <c r="AK699" s="1783"/>
      <c r="AL699" s="778"/>
      <c r="AM699" s="20"/>
    </row>
    <row r="700" spans="1:43">
      <c r="A700" s="616"/>
      <c r="B700" s="615"/>
      <c r="C700" s="615"/>
      <c r="D700" s="306" t="s">
        <v>427</v>
      </c>
      <c r="E700" s="1771" t="s">
        <v>236</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70">
        <v>3</v>
      </c>
      <c r="AA700" s="1670"/>
      <c r="AB700" s="1670"/>
      <c r="AC700" s="1670"/>
      <c r="AD700" s="1670"/>
      <c r="AE700" s="1670"/>
      <c r="AF700" s="1783"/>
      <c r="AG700" s="1783"/>
      <c r="AH700" s="1783"/>
      <c r="AI700" s="1783"/>
      <c r="AJ700" s="1783"/>
      <c r="AK700" s="1783"/>
      <c r="AL700" s="778"/>
      <c r="AM700" s="20"/>
    </row>
    <row r="701" spans="1:43">
      <c r="A701" s="594" t="s">
        <v>8</v>
      </c>
      <c r="B701" s="1768" t="s">
        <v>270</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502">
        <v>10</v>
      </c>
      <c r="AA701" s="1502"/>
      <c r="AB701" s="1502"/>
      <c r="AC701" s="1502"/>
      <c r="AD701" s="1502"/>
      <c r="AE701" s="1502"/>
      <c r="AF701" s="1502">
        <f>IF(T701&gt;Z701,Z701,T701)</f>
        <v>10</v>
      </c>
      <c r="AG701" s="1502"/>
      <c r="AH701" s="1502"/>
      <c r="AI701" s="1502"/>
      <c r="AJ701" s="1502"/>
      <c r="AK701" s="1502"/>
      <c r="AL701" s="778"/>
      <c r="AM701" s="20"/>
    </row>
    <row r="702" spans="1:43">
      <c r="A702" s="594" t="s">
        <v>118</v>
      </c>
      <c r="B702" s="1768" t="s">
        <v>271</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c r="A703" s="594"/>
      <c r="B703" s="615"/>
      <c r="C703" s="615"/>
      <c r="D703" s="306" t="s">
        <v>1459</v>
      </c>
      <c r="E703" s="1771" t="s">
        <v>293</v>
      </c>
      <c r="F703" s="1771"/>
      <c r="G703" s="1771"/>
      <c r="H703" s="1771"/>
      <c r="I703" s="1771"/>
      <c r="J703" s="1771"/>
      <c r="K703" s="1771"/>
      <c r="L703" s="1771"/>
      <c r="M703" s="1771"/>
      <c r="N703" s="1771"/>
      <c r="O703" s="1771"/>
      <c r="P703" s="1771"/>
      <c r="Q703" s="1771"/>
      <c r="R703" s="1771"/>
      <c r="S703" s="1772"/>
      <c r="T703" s="1770">
        <f>AK283</f>
        <v>25</v>
      </c>
      <c r="U703" s="1770"/>
      <c r="V703" s="1770"/>
      <c r="W703" s="1770"/>
      <c r="X703" s="1770"/>
      <c r="Y703" s="1770"/>
      <c r="Z703" s="1670">
        <v>15</v>
      </c>
      <c r="AA703" s="1670"/>
      <c r="AB703" s="1670"/>
      <c r="AC703" s="1670"/>
      <c r="AD703" s="1670"/>
      <c r="AE703" s="1670"/>
      <c r="AF703" s="1783"/>
      <c r="AG703" s="1783"/>
      <c r="AH703" s="1783"/>
      <c r="AI703" s="1783"/>
      <c r="AJ703" s="1783"/>
      <c r="AK703" s="1783"/>
      <c r="AL703" s="778"/>
      <c r="AM703" s="20"/>
    </row>
    <row r="704" spans="1:43">
      <c r="A704" s="617"/>
      <c r="B704" s="90"/>
      <c r="C704" s="90"/>
      <c r="D704" s="618" t="s">
        <v>1460</v>
      </c>
      <c r="E704" s="1771" t="s">
        <v>294</v>
      </c>
      <c r="F704" s="1771"/>
      <c r="G704" s="1771"/>
      <c r="H704" s="1771"/>
      <c r="I704" s="1771"/>
      <c r="J704" s="1771"/>
      <c r="K704" s="1771"/>
      <c r="L704" s="1771"/>
      <c r="M704" s="1771"/>
      <c r="N704" s="1771"/>
      <c r="O704" s="1771"/>
      <c r="P704" s="1771"/>
      <c r="Q704" s="1771"/>
      <c r="R704" s="1771"/>
      <c r="S704" s="1772"/>
      <c r="T704" s="1770">
        <f>AK474</f>
        <v>10</v>
      </c>
      <c r="U704" s="1770"/>
      <c r="V704" s="1770"/>
      <c r="W704" s="1770"/>
      <c r="X704" s="1770"/>
      <c r="Y704" s="1770"/>
      <c r="Z704" s="1670">
        <v>10</v>
      </c>
      <c r="AA704" s="1670"/>
      <c r="AB704" s="1670"/>
      <c r="AC704" s="1670"/>
      <c r="AD704" s="1670"/>
      <c r="AE704" s="1670"/>
      <c r="AF704" s="1783"/>
      <c r="AG704" s="1783"/>
      <c r="AH704" s="1783"/>
      <c r="AI704" s="1783"/>
      <c r="AJ704" s="1783"/>
      <c r="AK704" s="1783"/>
      <c r="AL704" s="778"/>
      <c r="AM704" s="20"/>
    </row>
    <row r="705" spans="1:39" hidden="1">
      <c r="A705" s="594" t="s">
        <v>121</v>
      </c>
      <c r="B705" s="1768" t="s">
        <v>539</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502"/>
      <c r="AA705" s="1502"/>
      <c r="AB705" s="1502"/>
      <c r="AC705" s="1502"/>
      <c r="AD705" s="1502"/>
      <c r="AE705" s="1502"/>
      <c r="AF705" s="1502"/>
      <c r="AG705" s="1502"/>
      <c r="AH705" s="1502"/>
      <c r="AI705" s="1502"/>
      <c r="AJ705" s="1502"/>
      <c r="AK705" s="1502"/>
      <c r="AL705" s="778"/>
      <c r="AM705" s="20"/>
    </row>
    <row r="706" spans="1:39">
      <c r="A706" s="594" t="s">
        <v>121</v>
      </c>
      <c r="B706" s="1768" t="s">
        <v>540</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2207</v>
      </c>
      <c r="E707" s="1771" t="s">
        <v>182</v>
      </c>
      <c r="F707" s="1771"/>
      <c r="G707" s="1771"/>
      <c r="H707" s="1771"/>
      <c r="I707" s="1771"/>
      <c r="J707" s="1771"/>
      <c r="K707" s="1771"/>
      <c r="L707" s="1771"/>
      <c r="M707" s="1771"/>
      <c r="N707" s="1771"/>
      <c r="O707" s="1771"/>
      <c r="P707" s="1771"/>
      <c r="Q707" s="1771"/>
      <c r="R707" s="1771"/>
      <c r="S707" s="1772"/>
      <c r="T707" s="1764">
        <f>AC592</f>
        <v>50</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2208</v>
      </c>
      <c r="E708" s="1771" t="s">
        <v>268</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7">
        <v>2</v>
      </c>
      <c r="AA708" s="1268"/>
      <c r="AB708" s="1268"/>
      <c r="AC708" s="1268"/>
      <c r="AD708" s="1268"/>
      <c r="AE708" s="1269"/>
      <c r="AF708" s="1786"/>
      <c r="AG708" s="1787"/>
      <c r="AH708" s="1787"/>
      <c r="AI708" s="1787"/>
      <c r="AJ708" s="1787"/>
      <c r="AK708" s="1788"/>
      <c r="AL708" s="778"/>
      <c r="AM708" s="4"/>
    </row>
    <row r="709" spans="1:39">
      <c r="A709" s="619" t="s">
        <v>122</v>
      </c>
      <c r="B709" s="1768" t="s">
        <v>541</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502">
        <v>10</v>
      </c>
      <c r="AA709" s="1502"/>
      <c r="AB709" s="1502"/>
      <c r="AC709" s="1502"/>
      <c r="AD709" s="1502"/>
      <c r="AE709" s="1502"/>
      <c r="AF709" s="1350">
        <f>IF(T709&gt;Z709,Z709,T709)</f>
        <v>10</v>
      </c>
      <c r="AG709" s="1351"/>
      <c r="AH709" s="1351"/>
      <c r="AI709" s="1351"/>
      <c r="AJ709" s="1351"/>
      <c r="AK709" s="1370"/>
      <c r="AL709" s="778"/>
      <c r="AM709" s="20"/>
    </row>
    <row r="710" spans="1:39">
      <c r="A710" s="619" t="s">
        <v>124</v>
      </c>
      <c r="B710" s="1768" t="s">
        <v>984</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50">
        <v>2</v>
      </c>
      <c r="AA710" s="1351"/>
      <c r="AB710" s="1351"/>
      <c r="AC710" s="1351"/>
      <c r="AD710" s="1351"/>
      <c r="AE710" s="1370"/>
      <c r="AF710" s="1350">
        <f>IF(T710&gt;Z710,Z710,T710)</f>
        <v>2</v>
      </c>
      <c r="AG710" s="1784"/>
      <c r="AH710" s="1784"/>
      <c r="AI710" s="1784"/>
      <c r="AJ710" s="1784"/>
      <c r="AK710" s="1785"/>
      <c r="AL710" s="3"/>
      <c r="AM710" s="20"/>
    </row>
    <row r="711" spans="1:39">
      <c r="A711" s="1865" t="s">
        <v>296</v>
      </c>
      <c r="B711" s="1768"/>
      <c r="C711" s="1768"/>
      <c r="D711" s="1768"/>
      <c r="E711" s="1768"/>
      <c r="F711" s="1768"/>
      <c r="G711" s="1768"/>
      <c r="H711" s="1768"/>
      <c r="I711" s="1768"/>
      <c r="J711" s="1768"/>
      <c r="K711" s="1768"/>
      <c r="L711" s="1768"/>
      <c r="M711" s="1768"/>
      <c r="N711" s="1768"/>
      <c r="O711" s="1768"/>
      <c r="P711" s="1768"/>
      <c r="Q711" s="1768"/>
      <c r="R711" s="1768"/>
      <c r="S711" s="1769"/>
      <c r="T711" s="1093"/>
      <c r="U711" s="1093"/>
      <c r="V711" s="1093"/>
      <c r="W711" s="1093"/>
      <c r="X711" s="1093"/>
      <c r="Y711" s="1093"/>
      <c r="Z711" s="1670" t="s">
        <v>295</v>
      </c>
      <c r="AA711" s="1670"/>
      <c r="AB711" s="1670"/>
      <c r="AC711" s="1670"/>
      <c r="AD711" s="1670"/>
      <c r="AE711" s="1670"/>
      <c r="AF711" s="1350">
        <f>IF(T711&gt;0,T711,0)</f>
        <v>0</v>
      </c>
      <c r="AG711" s="1351"/>
      <c r="AH711" s="1351"/>
      <c r="AI711" s="1351"/>
      <c r="AJ711" s="1351"/>
      <c r="AK711" s="1370"/>
      <c r="AL711" s="18"/>
      <c r="AM711" s="20"/>
    </row>
    <row r="712" spans="1:39" ht="15.6">
      <c r="A712" s="1855" t="s">
        <v>720</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3">
        <f>SUM(AF698:AK710)-AF711</f>
        <v>109</v>
      </c>
      <c r="AG712" s="1774"/>
      <c r="AH712" s="1774"/>
      <c r="AI712" s="1774"/>
      <c r="AJ712" s="1774"/>
      <c r="AK712" s="1775"/>
      <c r="AL712" s="779"/>
      <c r="AM712" s="4"/>
    </row>
    <row r="713" spans="1:39" ht="12.6"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6"/>
      <c r="AG713" s="1777"/>
      <c r="AH713" s="1777"/>
      <c r="AI713" s="1777"/>
      <c r="AJ713" s="1777"/>
      <c r="AK713" s="1778"/>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2"/>
    </row>
    <row r="715" spans="1:39" ht="12.6"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2"/>
    </row>
    <row r="716" spans="1:39" ht="12.6"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2"/>
    </row>
    <row r="717" spans="1:39" ht="12.6"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2"/>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2"/>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5" customWidth="1"/>
    <col min="11" max="11" width="2.44140625" style="896" customWidth="1"/>
    <col min="12" max="43" width="2.44140625" style="895" customWidth="1"/>
    <col min="44" max="47" width="2.44140625" style="895" hidden="1" customWidth="1"/>
    <col min="48" max="16384" width="9.109375" style="895" hidden="1"/>
  </cols>
  <sheetData>
    <row r="1" spans="1:57" ht="15" customHeight="1">
      <c r="A1" s="1910" t="s">
        <v>2024</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7"/>
      <c r="B3" s="897"/>
      <c r="I3" s="898"/>
      <c r="K3" s="899"/>
    </row>
    <row r="4" spans="1:57" ht="14.25" customHeight="1">
      <c r="A4" s="1899" t="s">
        <v>2025</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7"/>
      <c r="B5" s="897"/>
      <c r="I5" s="898"/>
      <c r="K5" s="899"/>
    </row>
    <row r="6" spans="1:57">
      <c r="A6" s="897"/>
      <c r="B6" s="897"/>
      <c r="D6" s="895" t="s">
        <v>2028</v>
      </c>
      <c r="I6" s="898"/>
      <c r="K6" s="899"/>
      <c r="U6" s="1909"/>
      <c r="V6" s="1909"/>
      <c r="W6" s="1909"/>
      <c r="BC6" s="895" t="s">
        <v>2026</v>
      </c>
    </row>
    <row r="7" spans="1:57">
      <c r="A7" s="897"/>
      <c r="B7" s="897"/>
      <c r="D7" s="501" t="s">
        <v>2029</v>
      </c>
      <c r="I7" s="898"/>
      <c r="K7" s="899"/>
      <c r="BC7" s="895" t="s">
        <v>2027</v>
      </c>
    </row>
    <row r="8" spans="1:57">
      <c r="A8" s="897"/>
      <c r="B8" s="897"/>
      <c r="D8" s="501"/>
      <c r="E8" s="895" t="s">
        <v>2041</v>
      </c>
      <c r="BC8" s="895" t="s">
        <v>2030</v>
      </c>
    </row>
    <row r="9" spans="1:57">
      <c r="A9" s="897"/>
      <c r="B9" s="897"/>
      <c r="E9" s="895" t="s">
        <v>2040</v>
      </c>
      <c r="I9" s="898"/>
      <c r="K9" s="899"/>
      <c r="P9" s="1900"/>
      <c r="Q9" s="1900"/>
      <c r="R9" s="1900"/>
      <c r="S9" s="1900"/>
      <c r="T9" s="1900"/>
    </row>
    <row r="10" spans="1:57">
      <c r="A10" s="897"/>
      <c r="B10" s="897"/>
      <c r="I10" s="898"/>
      <c r="K10" s="899"/>
    </row>
    <row r="11" spans="1:57">
      <c r="A11" s="1899" t="s">
        <v>2031</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5" t="s">
        <v>107</v>
      </c>
    </row>
    <row r="12" spans="1:57">
      <c r="A12" s="897"/>
      <c r="B12" s="897"/>
      <c r="I12" s="898"/>
      <c r="K12" s="899"/>
      <c r="BC12" s="895" t="s">
        <v>481</v>
      </c>
    </row>
    <row r="13" spans="1:57">
      <c r="A13" s="897"/>
      <c r="B13" s="897"/>
      <c r="D13" s="895" t="s">
        <v>2032</v>
      </c>
      <c r="I13" s="898"/>
      <c r="K13" s="899"/>
      <c r="T13" s="1909"/>
      <c r="U13" s="1909"/>
      <c r="V13" s="1909"/>
    </row>
    <row r="14" spans="1:57">
      <c r="A14" s="897"/>
      <c r="B14" s="897"/>
      <c r="E14" s="895" t="s">
        <v>2039</v>
      </c>
      <c r="I14" s="898"/>
      <c r="K14" s="899"/>
      <c r="N14" s="1897"/>
      <c r="O14" s="1897"/>
      <c r="P14" s="1897"/>
      <c r="Q14" s="1897"/>
      <c r="R14" s="1897"/>
      <c r="S14" s="1897"/>
      <c r="T14" s="1897"/>
      <c r="U14" s="1897"/>
      <c r="V14" s="1897"/>
      <c r="W14" s="1897"/>
      <c r="X14" s="1897"/>
      <c r="Y14" s="1897"/>
      <c r="Z14" s="1897"/>
      <c r="AA14" s="1897"/>
      <c r="AB14" s="1897"/>
      <c r="AC14" s="1897"/>
      <c r="AD14" s="1897"/>
      <c r="AE14" s="1897"/>
    </row>
    <row r="15" spans="1:57">
      <c r="A15" s="897"/>
      <c r="B15" s="897"/>
      <c r="E15" s="895" t="s">
        <v>2033</v>
      </c>
      <c r="I15" s="898"/>
      <c r="K15" s="899"/>
      <c r="N15" s="916"/>
      <c r="O15" s="916"/>
      <c r="P15" s="916"/>
      <c r="Q15" s="916"/>
      <c r="R15" s="916"/>
      <c r="S15" s="916"/>
      <c r="T15" s="916"/>
      <c r="U15" s="916"/>
      <c r="V15" s="916"/>
      <c r="W15" s="916"/>
      <c r="X15" s="916"/>
      <c r="Y15" s="916"/>
      <c r="Z15" s="916"/>
      <c r="AA15" s="916"/>
      <c r="AB15" s="916"/>
      <c r="AC15" s="916"/>
      <c r="AD15" s="916"/>
      <c r="AE15" s="916"/>
      <c r="BC15" s="895" t="s">
        <v>2042</v>
      </c>
      <c r="BE15" s="895">
        <f>'Basis &amp; Credits'!AB55</f>
        <v>2014262.7</v>
      </c>
    </row>
    <row r="16" spans="1:57">
      <c r="A16" s="897"/>
      <c r="B16" s="897"/>
      <c r="BC16" s="895" t="s">
        <v>2043</v>
      </c>
      <c r="BE16" s="895">
        <f>'Basis &amp; Credits'!T11+'Basis &amp; Credits'!AD11</f>
        <v>37957353</v>
      </c>
    </row>
    <row r="17" spans="1:43">
      <c r="A17" s="897"/>
      <c r="B17" s="897"/>
      <c r="D17" s="895" t="s">
        <v>2034</v>
      </c>
      <c r="I17" s="898"/>
      <c r="K17" s="899"/>
      <c r="U17" s="1898" t="str">
        <f>IF(T13="yes",(BE15/BE16)," ")</f>
        <v xml:space="preserve"> </v>
      </c>
      <c r="V17" s="1898"/>
      <c r="W17" s="1898"/>
      <c r="X17" s="1898"/>
      <c r="Y17" s="1898"/>
    </row>
    <row r="18" spans="1:43">
      <c r="A18" s="897"/>
      <c r="B18" s="897"/>
      <c r="I18" s="898"/>
      <c r="K18" s="899"/>
    </row>
    <row r="19" spans="1:43">
      <c r="A19" s="1899" t="s">
        <v>2036</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7"/>
      <c r="D20" s="897"/>
      <c r="K20" s="898"/>
      <c r="M20" s="899"/>
    </row>
    <row r="21" spans="1:43">
      <c r="C21" s="897"/>
      <c r="D21" s="897"/>
      <c r="K21" s="898"/>
      <c r="M21" s="899"/>
    </row>
    <row r="22" spans="1:43">
      <c r="C22" s="900" t="s">
        <v>727</v>
      </c>
      <c r="D22" s="900"/>
      <c r="E22" s="895" t="s">
        <v>2037</v>
      </c>
      <c r="H22" s="901"/>
      <c r="K22" s="895"/>
      <c r="Q22" s="1901">
        <f>ROUND('Basis &amp; Credits'!AB55,0)</f>
        <v>2014263</v>
      </c>
      <c r="R22" s="1901"/>
      <c r="S22" s="1901"/>
      <c r="T22" s="1901"/>
      <c r="U22" s="1901"/>
      <c r="V22" s="1901"/>
      <c r="W22" s="1901"/>
      <c r="X22" s="1901"/>
      <c r="Y22" s="915"/>
    </row>
    <row r="23" spans="1:43">
      <c r="C23" s="897"/>
      <c r="D23" s="897"/>
      <c r="G23" s="902"/>
      <c r="H23" s="902"/>
      <c r="I23" s="903"/>
      <c r="J23" s="903"/>
      <c r="K23" s="902"/>
      <c r="M23" s="896"/>
    </row>
    <row r="24" spans="1:43">
      <c r="C24" s="904"/>
      <c r="D24" s="904"/>
      <c r="E24" s="905"/>
      <c r="J24" s="903"/>
      <c r="K24" s="895"/>
      <c r="L24" s="1908" t="s">
        <v>2014</v>
      </c>
      <c r="M24" s="1908"/>
      <c r="N24" s="1908"/>
      <c r="P24" s="1904" t="s">
        <v>2015</v>
      </c>
      <c r="Q24" s="1904"/>
      <c r="R24" s="1904"/>
      <c r="S24" s="1904"/>
      <c r="T24" s="1904"/>
      <c r="V24" s="1904" t="s">
        <v>2016</v>
      </c>
      <c r="W24" s="1904"/>
      <c r="X24" s="1904"/>
    </row>
    <row r="25" spans="1:43">
      <c r="C25" s="900" t="s">
        <v>189</v>
      </c>
      <c r="D25" s="900"/>
      <c r="E25" s="895" t="s">
        <v>985</v>
      </c>
      <c r="J25" s="903"/>
      <c r="L25" s="1905" t="s">
        <v>2017</v>
      </c>
      <c r="M25" s="1905"/>
      <c r="N25" s="1905"/>
      <c r="P25" s="1905" t="s">
        <v>2018</v>
      </c>
      <c r="Q25" s="1905"/>
      <c r="R25" s="1905"/>
      <c r="S25" s="1905"/>
      <c r="T25" s="1905"/>
      <c r="V25" s="1905" t="s">
        <v>2017</v>
      </c>
      <c r="W25" s="1905"/>
      <c r="X25" s="1905"/>
    </row>
    <row r="26" spans="1:43">
      <c r="C26" s="897"/>
      <c r="D26" s="897"/>
      <c r="E26" s="906" t="s">
        <v>2019</v>
      </c>
      <c r="F26" s="906"/>
      <c r="J26" s="907"/>
      <c r="L26" s="1902">
        <f>Application!BN626</f>
        <v>0</v>
      </c>
      <c r="M26" s="1902"/>
      <c r="N26" s="1902"/>
      <c r="P26" s="1906">
        <v>0.9</v>
      </c>
      <c r="Q26" s="1906"/>
      <c r="R26" s="1906"/>
      <c r="S26" s="1906"/>
      <c r="T26" s="1906"/>
      <c r="V26" s="1906">
        <f>L26*P26</f>
        <v>0</v>
      </c>
      <c r="W26" s="1906"/>
      <c r="X26" s="1906"/>
    </row>
    <row r="27" spans="1:43">
      <c r="C27" s="897"/>
      <c r="D27" s="897"/>
      <c r="E27" s="895" t="s">
        <v>2020</v>
      </c>
      <c r="J27" s="907"/>
      <c r="L27" s="1911">
        <f>Application!BS626</f>
        <v>18</v>
      </c>
      <c r="M27" s="1911">
        <f>Application!BS634+Application!BS643+Application!CX657</f>
        <v>0</v>
      </c>
      <c r="N27" s="1911"/>
      <c r="P27" s="1907">
        <v>1</v>
      </c>
      <c r="Q27" s="1907"/>
      <c r="R27" s="1907"/>
      <c r="S27" s="1907"/>
      <c r="T27" s="1907"/>
      <c r="V27" s="1907">
        <f>L27*P27</f>
        <v>18</v>
      </c>
      <c r="W27" s="1907"/>
      <c r="X27" s="1907"/>
    </row>
    <row r="28" spans="1:43">
      <c r="C28" s="897"/>
      <c r="D28" s="897"/>
      <c r="E28" s="895" t="s">
        <v>2021</v>
      </c>
      <c r="J28" s="907"/>
      <c r="L28" s="1911">
        <f>Application!BX626</f>
        <v>9</v>
      </c>
      <c r="M28" s="1911">
        <f>Application!BX634+Application!BX643+Application!DC657</f>
        <v>0</v>
      </c>
      <c r="N28" s="1911"/>
      <c r="P28" s="1907">
        <v>1.25</v>
      </c>
      <c r="Q28" s="1907"/>
      <c r="R28" s="1907"/>
      <c r="S28" s="1907"/>
      <c r="T28" s="1907"/>
      <c r="V28" s="1907">
        <f>L28*P28</f>
        <v>11.25</v>
      </c>
      <c r="W28" s="1907"/>
      <c r="X28" s="1907"/>
    </row>
    <row r="29" spans="1:43">
      <c r="C29" s="897"/>
      <c r="D29" s="897"/>
      <c r="E29" s="895" t="s">
        <v>2022</v>
      </c>
      <c r="J29" s="907"/>
      <c r="L29" s="1911">
        <f>Application!CC626</f>
        <v>9</v>
      </c>
      <c r="M29" s="1911">
        <f>Application!CC634+Application!CC643+Application!DH657</f>
        <v>0</v>
      </c>
      <c r="N29" s="1911"/>
      <c r="P29" s="1907">
        <v>1.5</v>
      </c>
      <c r="Q29" s="1907"/>
      <c r="R29" s="1907"/>
      <c r="S29" s="1907"/>
      <c r="T29" s="1907"/>
      <c r="V29" s="1907">
        <f>L29*P29</f>
        <v>13.5</v>
      </c>
      <c r="W29" s="1907"/>
      <c r="X29" s="1907"/>
    </row>
    <row r="30" spans="1:43">
      <c r="C30" s="897"/>
      <c r="D30" s="897"/>
      <c r="E30" s="895" t="s">
        <v>2023</v>
      </c>
      <c r="J30" s="907"/>
      <c r="L30" s="1912">
        <f>Application!CH626+Application!CM626</f>
        <v>0</v>
      </c>
      <c r="M30" s="1912"/>
      <c r="N30" s="1912"/>
      <c r="P30" s="1907">
        <v>1.75</v>
      </c>
      <c r="Q30" s="1907"/>
      <c r="R30" s="1907">
        <f>1.75+0.25*0</f>
        <v>1.75</v>
      </c>
      <c r="S30" s="1907"/>
      <c r="T30" s="1907"/>
      <c r="V30" s="1916">
        <f>L30*P30</f>
        <v>0</v>
      </c>
      <c r="W30" s="1916"/>
      <c r="X30" s="1916"/>
    </row>
    <row r="31" spans="1:43">
      <c r="C31" s="897"/>
      <c r="D31" s="897"/>
      <c r="L31" s="1902">
        <f>SUM(L26:N30)</f>
        <v>36</v>
      </c>
      <c r="M31" s="1903"/>
      <c r="N31" s="1903"/>
      <c r="V31" s="1906">
        <f>SUM(V26:X30)</f>
        <v>42.75</v>
      </c>
      <c r="W31" s="1906"/>
      <c r="X31" s="1906"/>
    </row>
    <row r="32" spans="1:43">
      <c r="C32" s="897"/>
      <c r="D32" s="897"/>
      <c r="K32" s="908"/>
    </row>
    <row r="33" spans="1:27">
      <c r="C33" s="900" t="s">
        <v>190</v>
      </c>
      <c r="D33" s="900"/>
      <c r="E33" s="897" t="s">
        <v>2038</v>
      </c>
      <c r="H33" s="909"/>
      <c r="I33" s="910"/>
      <c r="J33" s="911"/>
      <c r="K33" s="908"/>
      <c r="M33" s="896"/>
      <c r="V33" s="1913">
        <f>IF(V31&gt;0,V31/Q22," ")</f>
        <v>2.1223643585768093E-5</v>
      </c>
      <c r="W33" s="1914"/>
      <c r="X33" s="1914"/>
      <c r="Y33" s="1914"/>
      <c r="Z33" s="1914"/>
      <c r="AA33" s="1915"/>
    </row>
    <row r="34" spans="1:27">
      <c r="K34" s="895"/>
      <c r="M34" s="896"/>
    </row>
    <row r="35" spans="1:27">
      <c r="E35" s="897" t="s">
        <v>2044</v>
      </c>
      <c r="F35" s="897"/>
      <c r="G35" s="897"/>
      <c r="H35" s="897"/>
      <c r="I35" s="897"/>
      <c r="J35" s="897"/>
      <c r="K35" s="897"/>
      <c r="L35" s="897"/>
      <c r="M35" s="917"/>
      <c r="N35" s="897"/>
      <c r="O35" s="897"/>
      <c r="P35" s="897"/>
      <c r="Q35" s="897"/>
      <c r="R35" s="897"/>
      <c r="V35" s="1894">
        <f>IF(V31&gt;0,1/V33," ")</f>
        <v>47117.26315789474</v>
      </c>
      <c r="W35" s="1895"/>
      <c r="X35" s="1895"/>
      <c r="Y35" s="1895"/>
      <c r="Z35" s="1895"/>
      <c r="AA35" s="1896"/>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2024-06-30T00:46:41Z</cp:lastPrinted>
  <dcterms:created xsi:type="dcterms:W3CDTF">2007-12-27T18:26:28Z</dcterms:created>
  <dcterms:modified xsi:type="dcterms:W3CDTF">2024-07-03T19:35:02Z</dcterms:modified>
</cp:coreProperties>
</file>